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2075" windowHeight="8025" firstSheet="1" activeTab="6"/>
  </bookViews>
  <sheets>
    <sheet name="parque aéreo" sheetId="7" r:id="rId1"/>
    <sheet name="Transporte terrestre" sheetId="2" r:id="rId2"/>
    <sheet name="parque ferroviario" sheetId="5" r:id="rId3"/>
    <sheet name="parque acuático" sheetId="8" r:id="rId4"/>
    <sheet name="FE GL 2006" sheetId="4" r:id="rId5"/>
    <sheet name="GL 2006" sheetId="3" r:id="rId6"/>
    <sheet name="Resumen" sheetId="9" r:id="rId7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<sst xmlns="http://schemas.openxmlformats.org/spreadsheetml/2006/main" count="318" uniqueCount="197">
  <si>
    <t>PASO 1</t>
  </si>
  <si>
    <t>PASO 2</t>
  </si>
  <si>
    <t>PASO 3</t>
  </si>
  <si>
    <t>PASO 4</t>
  </si>
  <si>
    <t>PASO 5</t>
  </si>
  <si>
    <t>PASO 6</t>
  </si>
  <si>
    <t>Transporte</t>
  </si>
  <si>
    <t>A</t>
  </si>
  <si>
    <t>B</t>
  </si>
  <si>
    <t>C</t>
  </si>
  <si>
    <t>D</t>
  </si>
  <si>
    <t>E</t>
  </si>
  <si>
    <t>G</t>
  </si>
  <si>
    <t>H</t>
  </si>
  <si>
    <t>I</t>
  </si>
  <si>
    <t>J</t>
  </si>
  <si>
    <t>Consumo* (Galones)</t>
  </si>
  <si>
    <t>Consumo / Cantidad vendida (TJ)</t>
  </si>
  <si>
    <t>Transporte por carretera</t>
  </si>
  <si>
    <t>Gasolina</t>
  </si>
  <si>
    <t>Petróleo Diesel</t>
  </si>
  <si>
    <t>GLP</t>
  </si>
  <si>
    <t>SubTotal</t>
  </si>
  <si>
    <t>Transporte ferroviario</t>
  </si>
  <si>
    <t>Sub Total</t>
  </si>
  <si>
    <t>TOTAL - TERRESTRE</t>
  </si>
  <si>
    <t>Transporte Aéreo</t>
  </si>
  <si>
    <t>Gasolina de Aviación</t>
  </si>
  <si>
    <t>Turbo Jet</t>
  </si>
  <si>
    <t>TOTAL - AEREO</t>
  </si>
  <si>
    <t>Transporte Acuático</t>
  </si>
  <si>
    <t>TOTAL - ACUATICO</t>
  </si>
  <si>
    <t>TOTAL</t>
  </si>
  <si>
    <t>Combustible</t>
  </si>
  <si>
    <t>Grados API</t>
  </si>
  <si>
    <t>Densidad (g/l)</t>
  </si>
  <si>
    <t>Densidad (Ton/galón)</t>
  </si>
  <si>
    <t>Consumo (Galones)</t>
  </si>
  <si>
    <t>Consumo (Ton)</t>
  </si>
  <si>
    <r>
      <t>Consumo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Ton)</t>
    </r>
  </si>
  <si>
    <r>
      <t>Factorde conversión (TJ/10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Ton)</t>
    </r>
  </si>
  <si>
    <t>Consumo (TJ)</t>
  </si>
  <si>
    <t>Gasolina 84</t>
  </si>
  <si>
    <t>Gasolina 90</t>
  </si>
  <si>
    <t>Gasolina 95</t>
  </si>
  <si>
    <t>Gasolina 97</t>
  </si>
  <si>
    <t>Diesel</t>
  </si>
  <si>
    <t>Factores de emisión originales - Aviación (1A3a)</t>
  </si>
  <si>
    <r>
      <t>FACTORES DE EMISIÓN DE 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 xml:space="preserve"> </t>
    </r>
  </si>
  <si>
    <r>
      <t xml:space="preserve"> FACTORES DE EMISIÓN NO CO</t>
    </r>
    <r>
      <rPr>
        <b/>
        <vertAlign val="subscript"/>
        <sz val="9"/>
        <color theme="0"/>
        <rFont val="Arial"/>
        <family val="2"/>
      </rPr>
      <t>2</t>
    </r>
  </si>
  <si>
    <t>Tipo de combustible</t>
  </si>
  <si>
    <t>Por defecto [kg/TJ]</t>
  </si>
  <si>
    <t>Inferior</t>
  </si>
  <si>
    <t>Superior</t>
  </si>
  <si>
    <r>
      <t>CH</t>
    </r>
    <r>
      <rPr>
        <b/>
        <vertAlign val="subscript"/>
        <sz val="9"/>
        <color theme="1"/>
        <rFont val="Arial"/>
        <family val="2"/>
      </rPr>
      <t xml:space="preserve">4                                                                                         </t>
    </r>
    <r>
      <rPr>
        <b/>
        <sz val="9"/>
        <color theme="1"/>
        <rFont val="Arial"/>
        <family val="2"/>
      </rPr>
      <t>[kg/TJ]</t>
    </r>
  </si>
  <si>
    <r>
      <t>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</t>
    </r>
    <r>
      <rPr>
        <b/>
        <vertAlign val="subscript"/>
        <sz val="9"/>
        <color theme="1"/>
        <rFont val="Arial"/>
        <family val="2"/>
      </rPr>
      <t xml:space="preserve">                                                                                    </t>
    </r>
    <r>
      <rPr>
        <b/>
        <sz val="9"/>
        <color theme="1"/>
        <rFont val="Arial"/>
        <family val="2"/>
      </rPr>
      <t>[kg/TJ]</t>
    </r>
  </si>
  <si>
    <t>Gasolina para aviación</t>
  </si>
  <si>
    <t>Por defecto</t>
  </si>
  <si>
    <t>Queroseno para motor reacción</t>
  </si>
  <si>
    <t xml:space="preserve">Todos los combustibles </t>
  </si>
  <si>
    <t>Fuente: Directrices del IPCC de 2006 para los inventarios nacionales de gases de efecto invernadero - Volumen 2: Energía, pag. 3.64</t>
  </si>
  <si>
    <t>Notas:</t>
  </si>
  <si>
    <t>Gasolina para aviación = Gasolina 100L</t>
  </si>
  <si>
    <t>Queroseno para motor reacción = Turbo A1</t>
  </si>
  <si>
    <t>Factores de emisión originales - Transporte Terrestre (1A3b)</t>
  </si>
  <si>
    <r>
      <t xml:space="preserve">    FACTORES DE EMISIÓN DE 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 xml:space="preserve"> POR DEFECTO DEL TRANSPORTE TERRESTRE Y RANGOS DE INCERTIDUMBRE</t>
    </r>
    <r>
      <rPr>
        <b/>
        <vertAlign val="superscript"/>
        <sz val="9"/>
        <color theme="0"/>
        <rFont val="Arial"/>
        <family val="2"/>
      </rPr>
      <t>a</t>
    </r>
  </si>
  <si>
    <r>
      <t xml:space="preserve"> FACTORES DE EMISIÓN POR DEFECTO DE N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O Y CH</t>
    </r>
    <r>
      <rPr>
        <b/>
        <vertAlign val="subscript"/>
        <sz val="9"/>
        <color theme="0"/>
        <rFont val="Arial"/>
        <family val="2"/>
      </rPr>
      <t>4</t>
    </r>
    <r>
      <rPr>
        <b/>
        <sz val="9"/>
        <color theme="0"/>
        <rFont val="Arial"/>
        <family val="2"/>
      </rPr>
      <t xml:space="preserve"> DEL TRANSPORTE TERRESTRE Y RANGOS DE INCERTIDUMBRE</t>
    </r>
    <r>
      <rPr>
        <b/>
        <vertAlign val="superscript"/>
        <sz val="9"/>
        <color theme="0"/>
        <rFont val="Arial"/>
        <family val="2"/>
      </rPr>
      <t>(a)</t>
    </r>
  </si>
  <si>
    <t>Tipo de combustible / Categoría representativa de vehículo</t>
  </si>
  <si>
    <r>
      <t>CH</t>
    </r>
    <r>
      <rPr>
        <b/>
        <vertAlign val="subscript"/>
        <sz val="9"/>
        <color theme="0"/>
        <rFont val="Arial"/>
        <family val="2"/>
      </rPr>
      <t xml:space="preserve">4                                                                                         </t>
    </r>
    <r>
      <rPr>
        <b/>
        <sz val="9"/>
        <color theme="0"/>
        <rFont val="Arial"/>
        <family val="2"/>
      </rPr>
      <t>[kg/TJ]</t>
    </r>
  </si>
  <si>
    <r>
      <t>N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O</t>
    </r>
    <r>
      <rPr>
        <b/>
        <vertAlign val="subscript"/>
        <sz val="9"/>
        <color theme="0"/>
        <rFont val="Arial"/>
        <family val="2"/>
      </rPr>
      <t xml:space="preserve">                                                                                    </t>
    </r>
    <r>
      <rPr>
        <b/>
        <sz val="9"/>
        <color theme="0"/>
        <rFont val="Arial"/>
        <family val="2"/>
      </rPr>
      <t>[kg/TJ]</t>
    </r>
  </si>
  <si>
    <t>Gasolina para motores</t>
  </si>
  <si>
    <t>Gas/Diesel Oil</t>
  </si>
  <si>
    <r>
      <t>Gasolina para motores - sin controlar</t>
    </r>
    <r>
      <rPr>
        <vertAlign val="superscript"/>
        <sz val="9"/>
        <color theme="1"/>
        <rFont val="Arial"/>
        <family val="2"/>
      </rPr>
      <t>(b)</t>
    </r>
  </si>
  <si>
    <t>Gases licuados de petróleo</t>
  </si>
  <si>
    <r>
      <t>Gasolina para motores - catalizador de oxidación</t>
    </r>
    <r>
      <rPr>
        <vertAlign val="superscript"/>
        <sz val="9"/>
        <color theme="1"/>
        <rFont val="Arial"/>
        <family val="2"/>
      </rPr>
      <t>(c)</t>
    </r>
  </si>
  <si>
    <t>Queroseno</t>
  </si>
  <si>
    <r>
      <t>Gasolina para motores - vehículo para servicio ligero con poco kilometraje, modelo 1995 o más nuevo</t>
    </r>
    <r>
      <rPr>
        <vertAlign val="superscript"/>
        <sz val="9"/>
        <color theme="1"/>
        <rFont val="Arial"/>
        <family val="2"/>
      </rPr>
      <t>(d)</t>
    </r>
  </si>
  <si>
    <r>
      <t>Lubricantes</t>
    </r>
    <r>
      <rPr>
        <vertAlign val="superscript"/>
        <sz val="9"/>
        <color theme="1"/>
        <rFont val="Arial"/>
        <family val="2"/>
      </rPr>
      <t>b</t>
    </r>
  </si>
  <si>
    <r>
      <t>Gas / Diesel Oil</t>
    </r>
    <r>
      <rPr>
        <vertAlign val="superscript"/>
        <sz val="9"/>
        <color theme="1"/>
        <rFont val="Arial"/>
        <family val="2"/>
      </rPr>
      <t>(e)</t>
    </r>
  </si>
  <si>
    <t>Gas natural comprimido</t>
  </si>
  <si>
    <r>
      <t xml:space="preserve">Gas Natural </t>
    </r>
    <r>
      <rPr>
        <vertAlign val="superscript"/>
        <sz val="9"/>
        <color theme="1"/>
        <rFont val="Arial"/>
        <family val="2"/>
      </rPr>
      <t>(f)</t>
    </r>
  </si>
  <si>
    <t>Gas natural</t>
  </si>
  <si>
    <r>
      <t xml:space="preserve">Gas licuado de petróleo </t>
    </r>
    <r>
      <rPr>
        <vertAlign val="superscript"/>
        <sz val="9"/>
        <color theme="1"/>
        <rFont val="Arial"/>
        <family val="2"/>
      </rPr>
      <t>(g)</t>
    </r>
  </si>
  <si>
    <t>na</t>
  </si>
  <si>
    <r>
      <t xml:space="preserve">Etanol, camionetas Estados Unidos </t>
    </r>
    <r>
      <rPr>
        <vertAlign val="superscript"/>
        <sz val="9"/>
        <color theme="1"/>
        <rFont val="Arial"/>
        <family val="2"/>
      </rPr>
      <t>(h)</t>
    </r>
  </si>
  <si>
    <r>
      <t xml:space="preserve">Etanol, automóviles, Brasil </t>
    </r>
    <r>
      <rPr>
        <vertAlign val="superscript"/>
        <sz val="9"/>
        <color theme="1"/>
        <rFont val="Arial"/>
        <family val="2"/>
      </rPr>
      <t>(i)</t>
    </r>
  </si>
  <si>
    <t>Fuente: Directrices del IPCC de 2006 para los inventarios nacionales de gases de efecto invernadero - Volumen 2: Energía, pag. 3.16, cuadro 3.2.1</t>
  </si>
  <si>
    <t>Fuente: Directrices del IPCC de 2006 para los inventarios nacionales de gases de efecto invernadero - Volumen 2: Energía, pag. 3.21</t>
  </si>
  <si>
    <t>Factores de emisión originales - Ferroviario (1A3c)</t>
  </si>
  <si>
    <t xml:space="preserve">  FACTORES DE EMISIÓN POR DEFECTO PARA LOS COMBUSTIBLES USADOS EN EL TRANSPORTE FERROVIARIO</t>
  </si>
  <si>
    <t>GEI</t>
  </si>
  <si>
    <t>DIESEL (Kg/TJ)</t>
  </si>
  <si>
    <t>Carbón sub-bituminoso (Kg/TJ)</t>
  </si>
  <si>
    <r>
      <t>CO</t>
    </r>
    <r>
      <rPr>
        <vertAlign val="subscript"/>
        <sz val="9"/>
        <color theme="1"/>
        <rFont val="Arial"/>
        <family val="2"/>
      </rPr>
      <t>2</t>
    </r>
  </si>
  <si>
    <r>
      <t>CH</t>
    </r>
    <r>
      <rPr>
        <vertAlign val="subscript"/>
        <sz val="9"/>
        <color theme="1"/>
        <rFont val="Arial"/>
        <family val="2"/>
      </rPr>
      <t>4</t>
    </r>
  </si>
  <si>
    <r>
      <t>N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</si>
  <si>
    <t>Fuente: Directrices del IPCC de 2006 para los inventarios nacionales de gases de efecto invernadero - Volumen 2: Energía, pag. 3.43</t>
  </si>
  <si>
    <t>Factores de emisión originales - Marítimo y Fluvial (1A3d)</t>
  </si>
  <si>
    <r>
      <t>FACTORES DE EMISIÓN POR DEFECTO DE N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O Y CH</t>
    </r>
    <r>
      <rPr>
        <b/>
        <vertAlign val="subscript"/>
        <sz val="9"/>
        <color theme="0"/>
        <rFont val="Arial"/>
        <family val="2"/>
      </rPr>
      <t>4</t>
    </r>
    <r>
      <rPr>
        <b/>
        <sz val="9"/>
        <color theme="0"/>
        <rFont val="Arial"/>
        <family val="2"/>
      </rPr>
      <t xml:space="preserve"> PROCEDENTES DE LA NAVEGACIÓN MARÍTIMA Y FLUVIAL</t>
    </r>
  </si>
  <si>
    <t>Transatlánticos *</t>
  </si>
  <si>
    <t>Otro queroseno</t>
  </si>
  <si>
    <t>* Valores por defecto derivados para los motores diesel que utilizan fulelóleo pesado.</t>
  </si>
  <si>
    <t>Gas/Diesel oil</t>
  </si>
  <si>
    <t>Fuente: Directrices del IPCC de 2006 para los inventarios nacionales de gases de efecto invernadero - Volumen 2: Energía, pag. 3.50</t>
  </si>
  <si>
    <t>Fuelóleo residual</t>
  </si>
  <si>
    <t>Gas Licuado de Petróleo</t>
  </si>
  <si>
    <t xml:space="preserve">factor Emisiones  de CO2 (Kg CO2/TJ) </t>
  </si>
  <si>
    <t xml:space="preserve"> emisiones de CO2 (Gg CO2) </t>
  </si>
  <si>
    <t xml:space="preserve">factor Emisiones  de CH4 (Kg CH4/TJ) </t>
  </si>
  <si>
    <t xml:space="preserve">emisiones de CH4 (t CH4) </t>
  </si>
  <si>
    <t xml:space="preserve">factor emisión N2O (Kg N2O / TJ) </t>
  </si>
  <si>
    <t>emisiones de N2O (t N2O)</t>
  </si>
  <si>
    <t>Emisiones GEI
 Gg CO2e</t>
  </si>
  <si>
    <t>CÁLCULO DE LAS EMISIONES DE GASES DE EFECTO INVERNADERO DE CO2e</t>
  </si>
  <si>
    <r>
      <t>Consumo (10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Ton)</t>
    </r>
  </si>
  <si>
    <r>
      <t>Factor de Conversión (TJ/ 10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Ton)</t>
    </r>
  </si>
  <si>
    <t>Fuente: PROCLIM - MTC</t>
  </si>
  <si>
    <t>Parque Ferroviario - Resumen</t>
  </si>
  <si>
    <t>Tipo</t>
  </si>
  <si>
    <t>Descripción</t>
  </si>
  <si>
    <t>Total</t>
  </si>
  <si>
    <t>Huancayo - Huancavelica</t>
  </si>
  <si>
    <t>Southern Perú</t>
  </si>
  <si>
    <t>LOCOMOTORA</t>
  </si>
  <si>
    <t>DIESEL</t>
  </si>
  <si>
    <t xml:space="preserve">AUTOVAGON </t>
  </si>
  <si>
    <t>AUTOCARRIL</t>
  </si>
  <si>
    <t>Estimación del Consumo de Combustible</t>
  </si>
  <si>
    <t>Empresa</t>
  </si>
  <si>
    <t>Central Andino</t>
  </si>
  <si>
    <t>Número de vehículos</t>
  </si>
  <si>
    <t>kms/año</t>
  </si>
  <si>
    <t>Galones/año</t>
  </si>
  <si>
    <t>Galones</t>
  </si>
  <si>
    <t>Toneladas</t>
  </si>
  <si>
    <t xml:space="preserve">Diesel </t>
  </si>
  <si>
    <t>CATEGORÍA</t>
  </si>
  <si>
    <t>Volumen Naviero</t>
  </si>
  <si>
    <t>Población estratificada</t>
  </si>
  <si>
    <t>Muestra 5% error</t>
  </si>
  <si>
    <t>Hay</t>
  </si>
  <si>
    <t>Aerocomercial</t>
  </si>
  <si>
    <t>Turístico</t>
  </si>
  <si>
    <t>Especial</t>
  </si>
  <si>
    <t>Tipo de Combustible</t>
  </si>
  <si>
    <t>Consumo Promedio</t>
  </si>
  <si>
    <t>Total Anual (Gl)</t>
  </si>
  <si>
    <t>Mogas 90 Oct</t>
  </si>
  <si>
    <t>Gasolina 100 LL</t>
  </si>
  <si>
    <t>Parque Acuático - Resumen</t>
  </si>
  <si>
    <t xml:space="preserve">TIPO </t>
  </si>
  <si>
    <t>DESCRIPCION</t>
  </si>
  <si>
    <t>Pisco y Puno</t>
  </si>
  <si>
    <t>Iquitos</t>
  </si>
  <si>
    <t>Madre de Dios</t>
  </si>
  <si>
    <t>Yurimaguas</t>
  </si>
  <si>
    <t>Callao</t>
  </si>
  <si>
    <t>A/F</t>
  </si>
  <si>
    <t>ARTEFACTO FLUVIAL</t>
  </si>
  <si>
    <t>E/F</t>
  </si>
  <si>
    <t>EMPUJADOR FLUVIAL</t>
  </si>
  <si>
    <t>B/F</t>
  </si>
  <si>
    <t>BOTE FLUVIAL</t>
  </si>
  <si>
    <t>B/L</t>
  </si>
  <si>
    <t>BOTE LACUSTRE</t>
  </si>
  <si>
    <t>A/L</t>
  </si>
  <si>
    <t>ARTEFACTO LACUSTRE</t>
  </si>
  <si>
    <t>D/M</t>
  </si>
  <si>
    <t>NAVES DE RECREO</t>
  </si>
  <si>
    <t>LANCHA</t>
  </si>
  <si>
    <t>EMBARCACION FLUVIAL</t>
  </si>
  <si>
    <t>M/F</t>
  </si>
  <si>
    <t>MOTONAVE FLUVIAL</t>
  </si>
  <si>
    <t>M/L</t>
  </si>
  <si>
    <t>MOTONAVE LACUSTRE</t>
  </si>
  <si>
    <t>Y/C</t>
  </si>
  <si>
    <t>YATE COSTERO</t>
  </si>
  <si>
    <t>M/N</t>
  </si>
  <si>
    <t xml:space="preserve">MOTONAVE </t>
  </si>
  <si>
    <t>Diesel 2</t>
  </si>
  <si>
    <t>Gasolina de 84</t>
  </si>
  <si>
    <t>* Datos promedio del año 2003</t>
  </si>
  <si>
    <t>CO2</t>
  </si>
  <si>
    <t>CH4</t>
  </si>
  <si>
    <t>N2O</t>
  </si>
  <si>
    <t>Categorías de fuentes y sumideros</t>
  </si>
  <si>
    <r>
      <t>Dióxido de carbono
[GgCO</t>
    </r>
    <r>
      <rPr>
        <vertAlign val="sub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>]</t>
    </r>
  </si>
  <si>
    <r>
      <t>Metano
[tCH</t>
    </r>
    <r>
      <rPr>
        <vertAlign val="subscript"/>
        <sz val="9"/>
        <color theme="0"/>
        <rFont val="Arial"/>
        <family val="2"/>
      </rPr>
      <t>4</t>
    </r>
    <r>
      <rPr>
        <sz val="9"/>
        <color theme="0"/>
        <rFont val="Arial"/>
        <family val="2"/>
      </rPr>
      <t>]</t>
    </r>
  </si>
  <si>
    <r>
      <t>Óxido nitroso
[tN</t>
    </r>
    <r>
      <rPr>
        <vertAlign val="sub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>O]</t>
    </r>
  </si>
  <si>
    <r>
      <t>Emisiones de GEI
[GgCO</t>
    </r>
    <r>
      <rPr>
        <vertAlign val="sub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>e]</t>
    </r>
  </si>
  <si>
    <t>Aviación de nacional</t>
  </si>
  <si>
    <t>Transporte terrestre</t>
  </si>
  <si>
    <t>Ferroviario</t>
  </si>
  <si>
    <t>Navegación nacional</t>
  </si>
  <si>
    <t>Otro tipo de transporte (*)</t>
  </si>
  <si>
    <t>(*) Resultado tomado del sector de energía (fuentes fijas) del INGEI 2000</t>
  </si>
  <si>
    <t>Inventario Nacional de Gases Efecto Invernadero - Fuentes Móviles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</si>
</sst>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27"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vertAlign val="subscript"/>
      <sz val="9"/>
      <color theme="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6B95C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3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5" fontId="0" fillId="0" borderId="7" xfId="0" applyNumberFormat="1" applyBorder="1"/>
    <xf numFmtId="164" fontId="0" fillId="0" borderId="8" xfId="0" applyNumberFormat="1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165" fontId="0" fillId="0" borderId="10" xfId="0" applyNumberFormat="1" applyBorder="1"/>
    <xf numFmtId="164" fontId="0" fillId="0" borderId="11" xfId="0" applyNumberFormat="1" applyBorder="1"/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6" fillId="4" borderId="0" xfId="20" applyFont="1" applyFill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8" fillId="5" borderId="12" xfId="20" applyFont="1" applyFill="1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1" fontId="1" fillId="6" borderId="12" xfId="20" applyNumberFormat="1" applyFont="1" applyFill="1" applyBorder="1" applyAlignment="1">
      <alignment horizontal="center" vertical="center"/>
      <protection/>
    </xf>
    <xf numFmtId="2" fontId="1" fillId="6" borderId="12" xfId="20" applyNumberFormat="1" applyFont="1" applyFill="1" applyBorder="1" applyAlignment="1">
      <alignment horizontal="center" vertical="center"/>
      <protection/>
    </xf>
    <xf numFmtId="0" fontId="10" fillId="0" borderId="13" xfId="20" applyFont="1" applyBorder="1" applyAlignment="1">
      <alignment vertical="center"/>
      <protection/>
    </xf>
    <xf numFmtId="0" fontId="10" fillId="0" borderId="13" xfId="20" applyFont="1" applyBorder="1" applyAlignment="1">
      <alignment vertical="center" wrapText="1"/>
      <protection/>
    </xf>
    <xf numFmtId="0" fontId="10" fillId="0" borderId="0" xfId="20" applyFont="1" applyBorder="1" applyAlignment="1">
      <alignment vertical="center" wrapText="1"/>
      <protection/>
    </xf>
    <xf numFmtId="0" fontId="1" fillId="0" borderId="14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0" applyFont="1" applyBorder="1" applyAlignment="1">
      <alignment vertical="center"/>
      <protection/>
    </xf>
    <xf numFmtId="0" fontId="1" fillId="0" borderId="17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8" xfId="20" applyFont="1" applyBorder="1" applyAlignment="1">
      <alignment vertical="center"/>
      <protection/>
    </xf>
    <xf numFmtId="0" fontId="1" fillId="0" borderId="19" xfId="20" applyFont="1" applyBorder="1" applyAlignment="1">
      <alignment vertical="center"/>
      <protection/>
    </xf>
    <xf numFmtId="0" fontId="1" fillId="0" borderId="20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6" fillId="7" borderId="12" xfId="20" applyFont="1" applyFill="1" applyBorder="1" applyAlignment="1">
      <alignment horizontal="center" vertical="center" wrapText="1"/>
      <protection/>
    </xf>
    <xf numFmtId="0" fontId="6" fillId="7" borderId="12" xfId="20" applyFont="1" applyFill="1" applyBorder="1" applyAlignment="1">
      <alignment horizontal="center" vertical="center"/>
      <protection/>
    </xf>
    <xf numFmtId="0" fontId="1" fillId="6" borderId="22" xfId="20" applyFont="1" applyFill="1" applyBorder="1" applyAlignment="1">
      <alignment vertical="center"/>
      <protection/>
    </xf>
    <xf numFmtId="3" fontId="1" fillId="6" borderId="12" xfId="20" applyNumberFormat="1" applyFont="1" applyFill="1" applyBorder="1" applyAlignment="1">
      <alignment horizontal="center" vertical="center"/>
      <protection/>
    </xf>
    <xf numFmtId="4" fontId="1" fillId="6" borderId="12" xfId="20" applyNumberFormat="1" applyFont="1" applyFill="1" applyBorder="1" applyAlignment="1">
      <alignment horizontal="center" vertical="center"/>
      <protection/>
    </xf>
    <xf numFmtId="0" fontId="6" fillId="7" borderId="23" xfId="20" applyFont="1" applyFill="1" applyBorder="1" applyAlignment="1">
      <alignment vertical="center" wrapText="1"/>
      <protection/>
    </xf>
    <xf numFmtId="0" fontId="6" fillId="7" borderId="13" xfId="20" applyFont="1" applyFill="1" applyBorder="1" applyAlignment="1">
      <alignment vertical="center" wrapText="1"/>
      <protection/>
    </xf>
    <xf numFmtId="0" fontId="6" fillId="7" borderId="24" xfId="20" applyFont="1" applyFill="1" applyBorder="1" applyAlignment="1">
      <alignment vertical="center" wrapText="1"/>
      <protection/>
    </xf>
    <xf numFmtId="0" fontId="6" fillId="7" borderId="22" xfId="20" applyFont="1" applyFill="1" applyBorder="1" applyAlignment="1">
      <alignment horizontal="center" vertical="center" wrapText="1"/>
      <protection/>
    </xf>
    <xf numFmtId="0" fontId="14" fillId="0" borderId="13" xfId="20" applyFont="1" applyBorder="1" applyAlignment="1">
      <alignment vertical="center" wrapText="1"/>
      <protection/>
    </xf>
    <xf numFmtId="0" fontId="14" fillId="0" borderId="0" xfId="20" applyFont="1" applyBorder="1" applyAlignment="1">
      <alignment vertical="center" wrapText="1"/>
      <protection/>
    </xf>
    <xf numFmtId="164" fontId="0" fillId="0" borderId="3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0" xfId="0" applyFont="1"/>
    <xf numFmtId="0" fontId="16" fillId="0" borderId="0" xfId="0" applyFont="1"/>
    <xf numFmtId="0" fontId="15" fillId="8" borderId="2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2" fontId="16" fillId="0" borderId="25" xfId="0" applyNumberFormat="1" applyFont="1" applyBorder="1"/>
    <xf numFmtId="4" fontId="16" fillId="0" borderId="26" xfId="0" applyNumberFormat="1" applyFont="1" applyBorder="1"/>
    <xf numFmtId="164" fontId="16" fillId="0" borderId="26" xfId="0" applyNumberFormat="1" applyFont="1" applyBorder="1"/>
    <xf numFmtId="2" fontId="16" fillId="0" borderId="27" xfId="0" applyNumberFormat="1" applyFont="1" applyBorder="1"/>
    <xf numFmtId="4" fontId="16" fillId="0" borderId="12" xfId="0" applyNumberFormat="1" applyFont="1" applyBorder="1"/>
    <xf numFmtId="164" fontId="16" fillId="0" borderId="12" xfId="0" applyNumberFormat="1" applyFont="1" applyBorder="1"/>
    <xf numFmtId="2" fontId="16" fillId="0" borderId="28" xfId="0" applyNumberFormat="1" applyFont="1" applyBorder="1"/>
    <xf numFmtId="164" fontId="16" fillId="0" borderId="29" xfId="0" applyNumberFormat="1" applyFont="1" applyBorder="1"/>
    <xf numFmtId="164" fontId="16" fillId="0" borderId="30" xfId="0" applyNumberFormat="1" applyFont="1" applyBorder="1"/>
    <xf numFmtId="2" fontId="16" fillId="0" borderId="29" xfId="0" applyNumberFormat="1" applyFont="1" applyBorder="1"/>
    <xf numFmtId="2" fontId="16" fillId="0" borderId="30" xfId="0" applyNumberFormat="1" applyFont="1" applyBorder="1"/>
    <xf numFmtId="2" fontId="16" fillId="0" borderId="31" xfId="0" applyNumberFormat="1" applyFont="1" applyBorder="1"/>
    <xf numFmtId="2" fontId="16" fillId="0" borderId="32" xfId="0" applyNumberFormat="1" applyFont="1" applyBorder="1"/>
    <xf numFmtId="2" fontId="16" fillId="0" borderId="32" xfId="0" applyNumberFormat="1" applyFont="1" applyBorder="1" applyAlignment="1">
      <alignment horizontal="right"/>
    </xf>
    <xf numFmtId="2" fontId="15" fillId="0" borderId="32" xfId="0" applyNumberFormat="1" applyFont="1" applyBorder="1"/>
    <xf numFmtId="2" fontId="16" fillId="0" borderId="33" xfId="0" applyNumberFormat="1" applyFont="1" applyBorder="1"/>
    <xf numFmtId="164" fontId="16" fillId="0" borderId="34" xfId="0" applyNumberFormat="1" applyFont="1" applyBorder="1"/>
    <xf numFmtId="0" fontId="16" fillId="0" borderId="25" xfId="0" applyFont="1" applyBorder="1" applyAlignment="1">
      <alignment horizontal="left"/>
    </xf>
    <xf numFmtId="2" fontId="16" fillId="0" borderId="26" xfId="0" applyNumberFormat="1" applyFont="1" applyBorder="1" applyAlignment="1">
      <alignment horizontal="right"/>
    </xf>
    <xf numFmtId="164" fontId="16" fillId="0" borderId="26" xfId="0" applyNumberFormat="1" applyFont="1" applyBorder="1" applyAlignment="1">
      <alignment horizontal="right"/>
    </xf>
    <xf numFmtId="0" fontId="16" fillId="0" borderId="27" xfId="0" applyFont="1" applyBorder="1"/>
    <xf numFmtId="0" fontId="16" fillId="0" borderId="31" xfId="0" applyFont="1" applyBorder="1"/>
    <xf numFmtId="0" fontId="15" fillId="0" borderId="1" xfId="0" applyFont="1" applyBorder="1"/>
    <xf numFmtId="0" fontId="15" fillId="5" borderId="12" xfId="0" applyFont="1" applyFill="1" applyBorder="1" applyAlignment="1">
      <alignment horizontal="center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center" vertical="center" wrapText="1"/>
    </xf>
    <xf numFmtId="2" fontId="16" fillId="0" borderId="26" xfId="0" applyNumberFormat="1" applyFont="1" applyBorder="1"/>
    <xf numFmtId="166" fontId="16" fillId="0" borderId="26" xfId="0" applyNumberFormat="1" applyFont="1" applyBorder="1"/>
    <xf numFmtId="1" fontId="16" fillId="0" borderId="26" xfId="0" applyNumberFormat="1" applyFont="1" applyBorder="1"/>
    <xf numFmtId="2" fontId="16" fillId="0" borderId="12" xfId="0" applyNumberFormat="1" applyFont="1" applyBorder="1"/>
    <xf numFmtId="166" fontId="16" fillId="0" borderId="12" xfId="0" applyNumberFormat="1" applyFont="1" applyBorder="1"/>
    <xf numFmtId="1" fontId="16" fillId="0" borderId="12" xfId="0" applyNumberFormat="1" applyFont="1" applyBorder="1"/>
    <xf numFmtId="2" fontId="16" fillId="0" borderId="35" xfId="0" applyNumberFormat="1" applyFont="1" applyBorder="1"/>
    <xf numFmtId="2" fontId="16" fillId="0" borderId="36" xfId="0" applyNumberFormat="1" applyFont="1" applyBorder="1"/>
    <xf numFmtId="2" fontId="16" fillId="0" borderId="37" xfId="0" applyNumberFormat="1" applyFont="1" applyBorder="1"/>
    <xf numFmtId="2" fontId="16" fillId="0" borderId="38" xfId="0" applyNumberFormat="1" applyFont="1" applyBorder="1"/>
    <xf numFmtId="0" fontId="0" fillId="0" borderId="0" xfId="21" applyBorder="1">
      <alignment/>
      <protection/>
    </xf>
    <xf numFmtId="0" fontId="0" fillId="0" borderId="0" xfId="2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3" fillId="2" borderId="39" xfId="21" applyFont="1" applyFill="1" applyBorder="1" applyAlignment="1">
      <alignment horizontal="center"/>
      <protection/>
    </xf>
    <xf numFmtId="0" fontId="3" fillId="2" borderId="40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44" xfId="2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3" fillId="0" borderId="1" xfId="21" applyFont="1" applyBorder="1" applyAlignment="1">
      <alignment/>
      <protection/>
    </xf>
    <xf numFmtId="0" fontId="3" fillId="0" borderId="45" xfId="21" applyFont="1" applyBorder="1" applyAlignment="1">
      <alignment/>
      <protection/>
    </xf>
    <xf numFmtId="0" fontId="0" fillId="0" borderId="1" xfId="2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3" fillId="0" borderId="0" xfId="21" applyFont="1" applyAlignment="1">
      <alignment horizontal="center"/>
      <protection/>
    </xf>
    <xf numFmtId="0" fontId="3" fillId="2" borderId="47" xfId="21" applyFont="1" applyFill="1" applyBorder="1">
      <alignment/>
      <protection/>
    </xf>
    <xf numFmtId="0" fontId="3" fillId="2" borderId="2" xfId="21" applyFont="1" applyFill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7" xfId="21" applyFont="1" applyBorder="1" applyAlignment="1">
      <alignment horizontal="center" vertical="center"/>
      <protection/>
    </xf>
    <xf numFmtId="2" fontId="0" fillId="0" borderId="6" xfId="21" applyNumberFormat="1" applyFill="1" applyBorder="1" applyAlignment="1">
      <alignment horizontal="center"/>
      <protection/>
    </xf>
    <xf numFmtId="0" fontId="3" fillId="2" borderId="19" xfId="21" applyFont="1" applyFill="1" applyBorder="1">
      <alignment/>
      <protection/>
    </xf>
    <xf numFmtId="0" fontId="0" fillId="0" borderId="10" xfId="21" applyFont="1" applyBorder="1" applyAlignment="1">
      <alignment horizontal="center" vertical="center"/>
      <protection/>
    </xf>
    <xf numFmtId="2" fontId="0" fillId="0" borderId="10" xfId="21" applyNumberFormat="1" applyFont="1" applyBorder="1" applyAlignment="1">
      <alignment horizontal="center" vertical="center"/>
      <protection/>
    </xf>
    <xf numFmtId="2" fontId="0" fillId="0" borderId="9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>
      <alignment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/>
      <protection/>
    </xf>
    <xf numFmtId="2" fontId="0" fillId="0" borderId="1" xfId="21" applyNumberFormat="1" applyBorder="1" applyAlignment="1">
      <alignment horizontal="right"/>
      <protection/>
    </xf>
    <xf numFmtId="164" fontId="0" fillId="0" borderId="1" xfId="21" applyNumberFormat="1" applyBorder="1" applyAlignment="1">
      <alignment horizontal="right"/>
      <protection/>
    </xf>
    <xf numFmtId="165" fontId="0" fillId="0" borderId="1" xfId="21" applyNumberFormat="1" applyBorder="1">
      <alignment/>
      <protection/>
    </xf>
    <xf numFmtId="0" fontId="0" fillId="0" borderId="1" xfId="21" applyBorder="1" applyAlignment="1">
      <alignment horizontal="right"/>
      <protection/>
    </xf>
    <xf numFmtId="2" fontId="0" fillId="0" borderId="1" xfId="21" applyNumberFormat="1" applyFont="1" applyBorder="1" applyAlignment="1">
      <alignment horizontal="right"/>
      <protection/>
    </xf>
    <xf numFmtId="3" fontId="16" fillId="0" borderId="12" xfId="0" applyNumberFormat="1" applyFont="1" applyBorder="1"/>
    <xf numFmtId="0" fontId="3" fillId="2" borderId="25" xfId="21" applyFont="1" applyFill="1" applyBorder="1" applyAlignment="1">
      <alignment horizontal="center" vertical="center"/>
      <protection/>
    </xf>
    <xf numFmtId="0" fontId="3" fillId="2" borderId="26" xfId="21" applyFont="1" applyFill="1" applyBorder="1" applyAlignment="1">
      <alignment horizontal="center" vertical="center" wrapText="1"/>
      <protection/>
    </xf>
    <xf numFmtId="0" fontId="3" fillId="2" borderId="36" xfId="21" applyFont="1" applyFill="1" applyBorder="1" applyAlignment="1">
      <alignment horizontal="center" vertical="center" wrapText="1"/>
      <protection/>
    </xf>
    <xf numFmtId="0" fontId="0" fillId="0" borderId="49" xfId="21" applyFont="1" applyFill="1" applyBorder="1" applyAlignment="1">
      <alignment horizontal="center" vertical="center"/>
      <protection/>
    </xf>
    <xf numFmtId="0" fontId="0" fillId="0" borderId="35" xfId="21" applyFont="1" applyFill="1" applyBorder="1" applyAlignment="1">
      <alignment vertical="center" wrapText="1"/>
      <protection/>
    </xf>
    <xf numFmtId="166" fontId="0" fillId="0" borderId="35" xfId="21" applyNumberFormat="1" applyFont="1" applyFill="1" applyBorder="1" applyAlignment="1">
      <alignment horizontal="center" vertical="center" wrapText="1"/>
      <protection/>
    </xf>
    <xf numFmtId="1" fontId="0" fillId="0" borderId="35" xfId="21" applyNumberFormat="1" applyFont="1" applyFill="1" applyBorder="1" applyAlignment="1">
      <alignment horizontal="center" vertical="center" wrapText="1"/>
      <protection/>
    </xf>
    <xf numFmtId="0" fontId="0" fillId="0" borderId="50" xfId="21" applyFont="1" applyFill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center"/>
      <protection/>
    </xf>
    <xf numFmtId="0" fontId="0" fillId="0" borderId="12" xfId="21" applyFont="1" applyBorder="1" applyAlignment="1">
      <alignment/>
      <protection/>
    </xf>
    <xf numFmtId="166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19" fillId="2" borderId="31" xfId="21" applyFont="1" applyFill="1" applyBorder="1" applyAlignment="1">
      <alignment horizontal="center"/>
      <protection/>
    </xf>
    <xf numFmtId="0" fontId="19" fillId="2" borderId="32" xfId="21" applyFont="1" applyFill="1" applyBorder="1" applyAlignment="1">
      <alignment horizontal="right"/>
      <protection/>
    </xf>
    <xf numFmtId="166" fontId="19" fillId="2" borderId="32" xfId="21" applyNumberFormat="1" applyFont="1" applyFill="1" applyBorder="1" applyAlignment="1">
      <alignment horizontal="center"/>
      <protection/>
    </xf>
    <xf numFmtId="1" fontId="19" fillId="2" borderId="32" xfId="21" applyNumberFormat="1" applyFont="1" applyFill="1" applyBorder="1" applyAlignment="1">
      <alignment horizontal="center"/>
      <protection/>
    </xf>
    <xf numFmtId="0" fontId="3" fillId="2" borderId="33" xfId="21" applyFont="1" applyFill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3" fillId="2" borderId="39" xfId="21" applyFont="1" applyFill="1" applyBorder="1" applyAlignment="1">
      <alignment horizontal="center" vertical="center"/>
      <protection/>
    </xf>
    <xf numFmtId="0" fontId="3" fillId="2" borderId="51" xfId="21" applyFont="1" applyFill="1" applyBorder="1" applyAlignment="1">
      <alignment horizontal="center" vertical="center" wrapText="1"/>
      <protection/>
    </xf>
    <xf numFmtId="0" fontId="3" fillId="2" borderId="52" xfId="21" applyFont="1" applyFill="1" applyBorder="1" applyAlignment="1">
      <alignment horizontal="center" vertical="center" wrapText="1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vertical="center" wrapText="1"/>
      <protection/>
    </xf>
    <xf numFmtId="0" fontId="0" fillId="0" borderId="26" xfId="21" applyBorder="1">
      <alignment/>
      <protection/>
    </xf>
    <xf numFmtId="1" fontId="0" fillId="0" borderId="36" xfId="21" applyNumberFormat="1" applyBorder="1">
      <alignment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vertical="center" wrapText="1"/>
      <protection/>
    </xf>
    <xf numFmtId="0" fontId="0" fillId="0" borderId="12" xfId="21" applyBorder="1">
      <alignment/>
      <protection/>
    </xf>
    <xf numFmtId="0" fontId="0" fillId="0" borderId="37" xfId="21" applyBorder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/>
      <protection/>
    </xf>
    <xf numFmtId="0" fontId="0" fillId="0" borderId="32" xfId="21" applyBorder="1">
      <alignment/>
      <protection/>
    </xf>
    <xf numFmtId="0" fontId="0" fillId="0" borderId="33" xfId="21" applyBorder="1">
      <alignment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0" fontId="0" fillId="0" borderId="4" xfId="21" applyBorder="1">
      <alignment/>
      <protection/>
    </xf>
    <xf numFmtId="0" fontId="0" fillId="0" borderId="3" xfId="21" applyBorder="1">
      <alignment/>
      <protection/>
    </xf>
    <xf numFmtId="164" fontId="0" fillId="0" borderId="3" xfId="21" applyNumberFormat="1" applyBorder="1">
      <alignment/>
      <protection/>
    </xf>
    <xf numFmtId="165" fontId="0" fillId="0" borderId="3" xfId="21" applyNumberFormat="1" applyBorder="1">
      <alignment/>
      <protection/>
    </xf>
    <xf numFmtId="1" fontId="0" fillId="0" borderId="3" xfId="21" applyNumberFormat="1" applyBorder="1" applyAlignment="1">
      <alignment horizontal="right"/>
      <protection/>
    </xf>
    <xf numFmtId="2" fontId="0" fillId="0" borderId="3" xfId="21" applyNumberFormat="1" applyBorder="1" applyAlignment="1">
      <alignment horizontal="center"/>
      <protection/>
    </xf>
    <xf numFmtId="2" fontId="0" fillId="0" borderId="3" xfId="21" applyNumberFormat="1" applyFont="1" applyBorder="1" applyAlignment="1">
      <alignment horizontal="center"/>
      <protection/>
    </xf>
    <xf numFmtId="2" fontId="0" fillId="0" borderId="5" xfId="21" applyNumberFormat="1" applyBorder="1" applyAlignment="1">
      <alignment horizontal="center"/>
      <protection/>
    </xf>
    <xf numFmtId="0" fontId="0" fillId="0" borderId="10" xfId="21" applyBorder="1">
      <alignment/>
      <protection/>
    </xf>
    <xf numFmtId="0" fontId="22" fillId="0" borderId="9" xfId="21" applyFont="1" applyBorder="1">
      <alignment/>
      <protection/>
    </xf>
    <xf numFmtId="165" fontId="0" fillId="0" borderId="9" xfId="21" applyNumberFormat="1" applyFont="1" applyBorder="1">
      <alignment/>
      <protection/>
    </xf>
    <xf numFmtId="1" fontId="0" fillId="0" borderId="9" xfId="21" applyNumberFormat="1" applyBorder="1" applyAlignment="1">
      <alignment horizontal="right"/>
      <protection/>
    </xf>
    <xf numFmtId="2" fontId="0" fillId="0" borderId="9" xfId="21" applyNumberFormat="1" applyBorder="1" applyAlignment="1">
      <alignment horizontal="center"/>
      <protection/>
    </xf>
    <xf numFmtId="2" fontId="0" fillId="0" borderId="9" xfId="21" applyNumberFormat="1" applyFont="1" applyBorder="1" applyAlignment="1">
      <alignment horizontal="center"/>
      <protection/>
    </xf>
    <xf numFmtId="2" fontId="0" fillId="0" borderId="11" xfId="21" applyNumberFormat="1" applyBorder="1" applyAlignment="1">
      <alignment horizontal="center"/>
      <protection/>
    </xf>
    <xf numFmtId="0" fontId="22" fillId="0" borderId="0" xfId="21" applyFont="1">
      <alignment/>
      <protection/>
    </xf>
    <xf numFmtId="1" fontId="16" fillId="0" borderId="12" xfId="0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3" fillId="2" borderId="14" xfId="21" applyFont="1" applyFill="1" applyBorder="1" applyAlignment="1">
      <alignment horizontal="center"/>
      <protection/>
    </xf>
    <xf numFmtId="0" fontId="3" fillId="2" borderId="47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42" xfId="21" applyBorder="1">
      <alignment/>
      <protection/>
    </xf>
    <xf numFmtId="0" fontId="0" fillId="0" borderId="27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27" xfId="21" applyFont="1" applyFill="1" applyBorder="1">
      <alignment/>
      <protection/>
    </xf>
    <xf numFmtId="0" fontId="0" fillId="0" borderId="22" xfId="21" applyFont="1" applyFill="1" applyBorder="1">
      <alignment/>
      <protection/>
    </xf>
    <xf numFmtId="0" fontId="0" fillId="0" borderId="31" xfId="21" applyFont="1" applyFill="1" applyBorder="1">
      <alignment/>
      <protection/>
    </xf>
    <xf numFmtId="0" fontId="0" fillId="0" borderId="54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3" fillId="2" borderId="51" xfId="21" applyFont="1" applyFill="1" applyBorder="1" applyAlignment="1">
      <alignment horizontal="center" vertical="center"/>
      <protection/>
    </xf>
    <xf numFmtId="0" fontId="3" fillId="2" borderId="38" xfId="21" applyFont="1" applyFill="1" applyBorder="1" applyAlignment="1">
      <alignment horizontal="center" vertical="center" wrapText="1"/>
      <protection/>
    </xf>
    <xf numFmtId="0" fontId="0" fillId="0" borderId="26" xfId="21" applyFont="1" applyBorder="1">
      <alignment/>
      <protection/>
    </xf>
    <xf numFmtId="0" fontId="0" fillId="0" borderId="26" xfId="21" applyFont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36" xfId="21" applyFont="1" applyBorder="1" applyAlignment="1">
      <alignment horizontal="right"/>
      <protection/>
    </xf>
    <xf numFmtId="0" fontId="0" fillId="0" borderId="5" xfId="21" applyFont="1" applyBorder="1" applyAlignment="1">
      <alignment horizontal="right"/>
      <protection/>
    </xf>
    <xf numFmtId="0" fontId="0" fillId="0" borderId="12" xfId="21" applyFont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37" xfId="21" applyFont="1" applyBorder="1" applyAlignment="1">
      <alignment horizontal="right"/>
      <protection/>
    </xf>
    <xf numFmtId="1" fontId="0" fillId="0" borderId="8" xfId="21" applyNumberFormat="1" applyFont="1" applyBorder="1" applyAlignment="1">
      <alignment horizontal="right"/>
      <protection/>
    </xf>
    <xf numFmtId="0" fontId="0" fillId="0" borderId="8" xfId="21" applyFont="1" applyBorder="1" applyAlignment="1">
      <alignment horizontal="right"/>
      <protection/>
    </xf>
    <xf numFmtId="0" fontId="0" fillId="0" borderId="12" xfId="21" applyFont="1" applyFill="1" applyBorder="1">
      <alignment/>
      <protection/>
    </xf>
    <xf numFmtId="0" fontId="0" fillId="0" borderId="32" xfId="21" applyFont="1" applyBorder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33" xfId="21" applyFont="1" applyBorder="1" applyAlignment="1">
      <alignment horizontal="right"/>
      <protection/>
    </xf>
    <xf numFmtId="0" fontId="0" fillId="0" borderId="11" xfId="21" applyFont="1" applyBorder="1" applyAlignment="1">
      <alignment horizontal="right"/>
      <protection/>
    </xf>
    <xf numFmtId="0" fontId="3" fillId="0" borderId="4" xfId="21" applyFont="1" applyBorder="1" applyAlignment="1">
      <alignment horizontal="center"/>
      <protection/>
    </xf>
    <xf numFmtId="2" fontId="0" fillId="0" borderId="56" xfId="21" applyNumberForma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0" fillId="0" borderId="9" xfId="21" applyBorder="1">
      <alignment/>
      <protection/>
    </xf>
    <xf numFmtId="164" fontId="0" fillId="0" borderId="9" xfId="21" applyNumberFormat="1" applyBorder="1">
      <alignment/>
      <protection/>
    </xf>
    <xf numFmtId="165" fontId="0" fillId="0" borderId="9" xfId="21" applyNumberFormat="1" applyBorder="1">
      <alignment/>
      <protection/>
    </xf>
    <xf numFmtId="2" fontId="0" fillId="0" borderId="57" xfId="21" applyNumberFormat="1" applyBorder="1" applyAlignment="1">
      <alignment horizontal="center"/>
      <protection/>
    </xf>
    <xf numFmtId="166" fontId="16" fillId="0" borderId="26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/>
    </xf>
    <xf numFmtId="1" fontId="16" fillId="0" borderId="26" xfId="0" applyNumberFormat="1" applyFont="1" applyBorder="1" applyAlignment="1">
      <alignment horizontal="right"/>
    </xf>
    <xf numFmtId="2" fontId="16" fillId="0" borderId="21" xfId="0" applyNumberFormat="1" applyFont="1" applyBorder="1"/>
    <xf numFmtId="2" fontId="16" fillId="0" borderId="1" xfId="0" applyNumberFormat="1" applyFont="1" applyBorder="1"/>
    <xf numFmtId="0" fontId="23" fillId="9" borderId="0" xfId="21" applyFont="1" applyFill="1">
      <alignment/>
      <protection/>
    </xf>
    <xf numFmtId="0" fontId="16" fillId="9" borderId="0" xfId="21" applyFont="1" applyFill="1">
      <alignment/>
      <protection/>
    </xf>
    <xf numFmtId="0" fontId="24" fillId="9" borderId="0" xfId="21" applyFont="1" applyFill="1">
      <alignment/>
      <protection/>
    </xf>
    <xf numFmtId="0" fontId="1" fillId="0" borderId="0" xfId="21" applyFont="1">
      <alignment/>
      <protection/>
    </xf>
    <xf numFmtId="0" fontId="25" fillId="0" borderId="0" xfId="21" applyFont="1">
      <alignment/>
      <protection/>
    </xf>
    <xf numFmtId="0" fontId="25" fillId="7" borderId="12" xfId="21" applyFont="1" applyFill="1" applyBorder="1" applyAlignment="1">
      <alignment horizontal="center" vertical="center" wrapText="1"/>
      <protection/>
    </xf>
    <xf numFmtId="0" fontId="8" fillId="10" borderId="12" xfId="21" applyFont="1" applyFill="1" applyBorder="1" applyAlignment="1">
      <alignment horizontal="left" vertical="center" wrapText="1"/>
      <protection/>
    </xf>
    <xf numFmtId="43" fontId="8" fillId="10" borderId="12" xfId="21" applyNumberFormat="1" applyFont="1" applyFill="1" applyBorder="1">
      <alignment/>
      <protection/>
    </xf>
    <xf numFmtId="0" fontId="1" fillId="11" borderId="12" xfId="21" applyFont="1" applyFill="1" applyBorder="1" applyAlignment="1">
      <alignment horizontal="left" vertical="center" wrapText="1"/>
      <protection/>
    </xf>
    <xf numFmtId="2" fontId="16" fillId="11" borderId="12" xfId="21" applyNumberFormat="1" applyFont="1" applyFill="1" applyBorder="1" applyAlignment="1">
      <alignment horizontal="right"/>
      <protection/>
    </xf>
    <xf numFmtId="2" fontId="15" fillId="0" borderId="47" xfId="0" applyNumberFormat="1" applyFont="1" applyBorder="1" applyAlignment="1">
      <alignment/>
    </xf>
    <xf numFmtId="2" fontId="15" fillId="0" borderId="46" xfId="0" applyNumberFormat="1" applyFont="1" applyBorder="1" applyAlignment="1">
      <alignment/>
    </xf>
    <xf numFmtId="2" fontId="15" fillId="0" borderId="19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6" fillId="0" borderId="46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43" fontId="0" fillId="0" borderId="0" xfId="0" applyNumberFormat="1"/>
    <xf numFmtId="0" fontId="1" fillId="11" borderId="29" xfId="21" applyFont="1" applyFill="1" applyBorder="1" applyAlignment="1">
      <alignment horizontal="left" vertical="center" wrapText="1"/>
      <protection/>
    </xf>
    <xf numFmtId="2" fontId="16" fillId="11" borderId="29" xfId="21" applyNumberFormat="1" applyFont="1" applyFill="1" applyBorder="1" applyAlignment="1">
      <alignment horizontal="right"/>
      <protection/>
    </xf>
    <xf numFmtId="0" fontId="6" fillId="12" borderId="12" xfId="20" applyFont="1" applyFill="1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0" fontId="8" fillId="5" borderId="12" xfId="20" applyFont="1" applyFill="1" applyBorder="1" applyAlignment="1">
      <alignment horizontal="center" vertical="center" wrapText="1"/>
      <protection/>
    </xf>
    <xf numFmtId="0" fontId="1" fillId="6" borderId="12" xfId="20" applyFont="1" applyFill="1" applyBorder="1" applyAlignment="1">
      <alignment horizontal="left" vertical="center"/>
      <protection/>
    </xf>
    <xf numFmtId="0" fontId="6" fillId="7" borderId="12" xfId="20" applyFont="1" applyFill="1" applyBorder="1" applyAlignment="1">
      <alignment horizontal="center" vertical="center"/>
      <protection/>
    </xf>
    <xf numFmtId="0" fontId="6" fillId="7" borderId="12" xfId="20" applyFont="1" applyFill="1" applyBorder="1" applyAlignment="1">
      <alignment horizontal="center" vertical="center" wrapText="1"/>
      <protection/>
    </xf>
    <xf numFmtId="0" fontId="0" fillId="6" borderId="12" xfId="20" applyFont="1" applyFill="1" applyBorder="1" applyAlignment="1">
      <alignment horizontal="left" vertical="center"/>
      <protection/>
    </xf>
    <xf numFmtId="0" fontId="10" fillId="0" borderId="13" xfId="20" applyFont="1" applyBorder="1" applyAlignment="1">
      <alignment horizontal="left" vertical="center" wrapText="1"/>
      <protection/>
    </xf>
    <xf numFmtId="0" fontId="10" fillId="0" borderId="0" xfId="20" applyFont="1" applyBorder="1" applyAlignment="1">
      <alignment horizontal="left" vertical="center" wrapText="1"/>
      <protection/>
    </xf>
    <xf numFmtId="0" fontId="1" fillId="6" borderId="22" xfId="20" applyFont="1" applyFill="1" applyBorder="1" applyAlignment="1">
      <alignment horizontal="left" vertical="center" wrapText="1"/>
      <protection/>
    </xf>
    <xf numFmtId="0" fontId="1" fillId="6" borderId="58" xfId="20" applyFont="1" applyFill="1" applyBorder="1" applyAlignment="1">
      <alignment horizontal="left" vertical="center" wrapText="1"/>
      <protection/>
    </xf>
    <xf numFmtId="0" fontId="1" fillId="6" borderId="59" xfId="20" applyFont="1" applyFill="1" applyBorder="1" applyAlignment="1">
      <alignment horizontal="left" vertical="center" wrapText="1"/>
      <protection/>
    </xf>
    <xf numFmtId="0" fontId="1" fillId="6" borderId="23" xfId="20" applyFont="1" applyFill="1" applyBorder="1" applyAlignment="1">
      <alignment horizontal="left" vertical="center"/>
      <protection/>
    </xf>
    <xf numFmtId="0" fontId="1" fillId="6" borderId="13" xfId="20" applyFont="1" applyFill="1" applyBorder="1" applyAlignment="1">
      <alignment horizontal="left" vertical="center"/>
      <protection/>
    </xf>
    <xf numFmtId="0" fontId="1" fillId="6" borderId="24" xfId="20" applyFont="1" applyFill="1" applyBorder="1" applyAlignment="1">
      <alignment horizontal="left" vertical="center"/>
      <protection/>
    </xf>
    <xf numFmtId="0" fontId="6" fillId="7" borderId="60" xfId="20" applyFont="1" applyFill="1" applyBorder="1" applyAlignment="1">
      <alignment horizontal="center" vertical="center" wrapText="1"/>
      <protection/>
    </xf>
    <xf numFmtId="0" fontId="6" fillId="7" borderId="41" xfId="20" applyFont="1" applyFill="1" applyBorder="1" applyAlignment="1">
      <alignment horizontal="center" vertical="center" wrapText="1"/>
      <protection/>
    </xf>
    <xf numFmtId="0" fontId="6" fillId="7" borderId="29" xfId="20" applyFont="1" applyFill="1" applyBorder="1" applyAlignment="1">
      <alignment horizontal="center" vertical="center"/>
      <protection/>
    </xf>
    <xf numFmtId="0" fontId="6" fillId="7" borderId="35" xfId="20" applyFont="1" applyFill="1" applyBorder="1" applyAlignment="1">
      <alignment horizontal="center" vertical="center"/>
      <protection/>
    </xf>
    <xf numFmtId="0" fontId="6" fillId="7" borderId="22" xfId="20" applyFont="1" applyFill="1" applyBorder="1" applyAlignment="1">
      <alignment horizontal="center" vertical="center" wrapText="1"/>
      <protection/>
    </xf>
    <xf numFmtId="0" fontId="6" fillId="7" borderId="58" xfId="20" applyFont="1" applyFill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/>
      <protection/>
    </xf>
    <xf numFmtId="0" fontId="3" fillId="0" borderId="47" xfId="21" applyFont="1" applyBorder="1" applyAlignment="1">
      <alignment horizontal="center"/>
      <protection/>
    </xf>
    <xf numFmtId="0" fontId="3" fillId="0" borderId="46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5" fillId="8" borderId="52" xfId="0" applyFont="1" applyFill="1" applyBorder="1" applyAlignment="1">
      <alignment horizontal="center"/>
    </xf>
    <xf numFmtId="0" fontId="15" fillId="8" borderId="51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2" fontId="15" fillId="0" borderId="14" xfId="0" applyNumberFormat="1" applyFont="1" applyBorder="1" applyAlignment="1">
      <alignment horizontal="left"/>
    </xf>
    <xf numFmtId="2" fontId="15" fillId="0" borderId="15" xfId="0" applyNumberFormat="1" applyFont="1" applyBorder="1" applyAlignment="1">
      <alignment horizontal="left"/>
    </xf>
    <xf numFmtId="2" fontId="15" fillId="0" borderId="16" xfId="0" applyNumberFormat="1" applyFont="1" applyBorder="1" applyAlignment="1">
      <alignment horizontal="left"/>
    </xf>
    <xf numFmtId="2" fontId="15" fillId="0" borderId="47" xfId="0" applyNumberFormat="1" applyFont="1" applyBorder="1" applyAlignment="1">
      <alignment horizontal="left"/>
    </xf>
    <xf numFmtId="2" fontId="15" fillId="0" borderId="46" xfId="0" applyNumberFormat="1" applyFont="1" applyBorder="1" applyAlignment="1">
      <alignment horizontal="left"/>
    </xf>
    <xf numFmtId="2" fontId="15" fillId="0" borderId="45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" fillId="4" borderId="13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workbookViewId="0" topLeftCell="A7">
      <selection activeCell="A18" sqref="A18"/>
    </sheetView>
  </sheetViews>
  <sheetFormatPr defaultColWidth="11.421875" defaultRowHeight="12.75"/>
  <cols>
    <col min="1" max="1" width="15.57421875" style="93" customWidth="1"/>
    <col min="2" max="2" width="11.421875" style="93" customWidth="1"/>
    <col min="3" max="3" width="14.7109375" style="93" customWidth="1"/>
    <col min="4" max="4" width="13.00390625" style="93" customWidth="1"/>
    <col min="5" max="256" width="11.421875" style="93" customWidth="1"/>
    <col min="257" max="257" width="15.57421875" style="93" customWidth="1"/>
    <col min="258" max="258" width="11.421875" style="93" customWidth="1"/>
    <col min="259" max="259" width="14.7109375" style="93" customWidth="1"/>
    <col min="260" max="260" width="13.00390625" style="93" customWidth="1"/>
    <col min="261" max="512" width="11.421875" style="93" customWidth="1"/>
    <col min="513" max="513" width="15.57421875" style="93" customWidth="1"/>
    <col min="514" max="514" width="11.421875" style="93" customWidth="1"/>
    <col min="515" max="515" width="14.7109375" style="93" customWidth="1"/>
    <col min="516" max="516" width="13.00390625" style="93" customWidth="1"/>
    <col min="517" max="768" width="11.421875" style="93" customWidth="1"/>
    <col min="769" max="769" width="15.57421875" style="93" customWidth="1"/>
    <col min="770" max="770" width="11.421875" style="93" customWidth="1"/>
    <col min="771" max="771" width="14.7109375" style="93" customWidth="1"/>
    <col min="772" max="772" width="13.00390625" style="93" customWidth="1"/>
    <col min="773" max="1024" width="11.421875" style="93" customWidth="1"/>
    <col min="1025" max="1025" width="15.57421875" style="93" customWidth="1"/>
    <col min="1026" max="1026" width="11.421875" style="93" customWidth="1"/>
    <col min="1027" max="1027" width="14.7109375" style="93" customWidth="1"/>
    <col min="1028" max="1028" width="13.00390625" style="93" customWidth="1"/>
    <col min="1029" max="1280" width="11.421875" style="93" customWidth="1"/>
    <col min="1281" max="1281" width="15.57421875" style="93" customWidth="1"/>
    <col min="1282" max="1282" width="11.421875" style="93" customWidth="1"/>
    <col min="1283" max="1283" width="14.7109375" style="93" customWidth="1"/>
    <col min="1284" max="1284" width="13.00390625" style="93" customWidth="1"/>
    <col min="1285" max="1536" width="11.421875" style="93" customWidth="1"/>
    <col min="1537" max="1537" width="15.57421875" style="93" customWidth="1"/>
    <col min="1538" max="1538" width="11.421875" style="93" customWidth="1"/>
    <col min="1539" max="1539" width="14.7109375" style="93" customWidth="1"/>
    <col min="1540" max="1540" width="13.00390625" style="93" customWidth="1"/>
    <col min="1541" max="1792" width="11.421875" style="93" customWidth="1"/>
    <col min="1793" max="1793" width="15.57421875" style="93" customWidth="1"/>
    <col min="1794" max="1794" width="11.421875" style="93" customWidth="1"/>
    <col min="1795" max="1795" width="14.7109375" style="93" customWidth="1"/>
    <col min="1796" max="1796" width="13.00390625" style="93" customWidth="1"/>
    <col min="1797" max="2048" width="11.421875" style="93" customWidth="1"/>
    <col min="2049" max="2049" width="15.57421875" style="93" customWidth="1"/>
    <col min="2050" max="2050" width="11.421875" style="93" customWidth="1"/>
    <col min="2051" max="2051" width="14.7109375" style="93" customWidth="1"/>
    <col min="2052" max="2052" width="13.00390625" style="93" customWidth="1"/>
    <col min="2053" max="2304" width="11.421875" style="93" customWidth="1"/>
    <col min="2305" max="2305" width="15.57421875" style="93" customWidth="1"/>
    <col min="2306" max="2306" width="11.421875" style="93" customWidth="1"/>
    <col min="2307" max="2307" width="14.7109375" style="93" customWidth="1"/>
    <col min="2308" max="2308" width="13.00390625" style="93" customWidth="1"/>
    <col min="2309" max="2560" width="11.421875" style="93" customWidth="1"/>
    <col min="2561" max="2561" width="15.57421875" style="93" customWidth="1"/>
    <col min="2562" max="2562" width="11.421875" style="93" customWidth="1"/>
    <col min="2563" max="2563" width="14.7109375" style="93" customWidth="1"/>
    <col min="2564" max="2564" width="13.00390625" style="93" customWidth="1"/>
    <col min="2565" max="2816" width="11.421875" style="93" customWidth="1"/>
    <col min="2817" max="2817" width="15.57421875" style="93" customWidth="1"/>
    <col min="2818" max="2818" width="11.421875" style="93" customWidth="1"/>
    <col min="2819" max="2819" width="14.7109375" style="93" customWidth="1"/>
    <col min="2820" max="2820" width="13.00390625" style="93" customWidth="1"/>
    <col min="2821" max="3072" width="11.421875" style="93" customWidth="1"/>
    <col min="3073" max="3073" width="15.57421875" style="93" customWidth="1"/>
    <col min="3074" max="3074" width="11.421875" style="93" customWidth="1"/>
    <col min="3075" max="3075" width="14.7109375" style="93" customWidth="1"/>
    <col min="3076" max="3076" width="13.00390625" style="93" customWidth="1"/>
    <col min="3077" max="3328" width="11.421875" style="93" customWidth="1"/>
    <col min="3329" max="3329" width="15.57421875" style="93" customWidth="1"/>
    <col min="3330" max="3330" width="11.421875" style="93" customWidth="1"/>
    <col min="3331" max="3331" width="14.7109375" style="93" customWidth="1"/>
    <col min="3332" max="3332" width="13.00390625" style="93" customWidth="1"/>
    <col min="3333" max="3584" width="11.421875" style="93" customWidth="1"/>
    <col min="3585" max="3585" width="15.57421875" style="93" customWidth="1"/>
    <col min="3586" max="3586" width="11.421875" style="93" customWidth="1"/>
    <col min="3587" max="3587" width="14.7109375" style="93" customWidth="1"/>
    <col min="3588" max="3588" width="13.00390625" style="93" customWidth="1"/>
    <col min="3589" max="3840" width="11.421875" style="93" customWidth="1"/>
    <col min="3841" max="3841" width="15.57421875" style="93" customWidth="1"/>
    <col min="3842" max="3842" width="11.421875" style="93" customWidth="1"/>
    <col min="3843" max="3843" width="14.7109375" style="93" customWidth="1"/>
    <col min="3844" max="3844" width="13.00390625" style="93" customWidth="1"/>
    <col min="3845" max="4096" width="11.421875" style="93" customWidth="1"/>
    <col min="4097" max="4097" width="15.57421875" style="93" customWidth="1"/>
    <col min="4098" max="4098" width="11.421875" style="93" customWidth="1"/>
    <col min="4099" max="4099" width="14.7109375" style="93" customWidth="1"/>
    <col min="4100" max="4100" width="13.00390625" style="93" customWidth="1"/>
    <col min="4101" max="4352" width="11.421875" style="93" customWidth="1"/>
    <col min="4353" max="4353" width="15.57421875" style="93" customWidth="1"/>
    <col min="4354" max="4354" width="11.421875" style="93" customWidth="1"/>
    <col min="4355" max="4355" width="14.7109375" style="93" customWidth="1"/>
    <col min="4356" max="4356" width="13.00390625" style="93" customWidth="1"/>
    <col min="4357" max="4608" width="11.421875" style="93" customWidth="1"/>
    <col min="4609" max="4609" width="15.57421875" style="93" customWidth="1"/>
    <col min="4610" max="4610" width="11.421875" style="93" customWidth="1"/>
    <col min="4611" max="4611" width="14.7109375" style="93" customWidth="1"/>
    <col min="4612" max="4612" width="13.00390625" style="93" customWidth="1"/>
    <col min="4613" max="4864" width="11.421875" style="93" customWidth="1"/>
    <col min="4865" max="4865" width="15.57421875" style="93" customWidth="1"/>
    <col min="4866" max="4866" width="11.421875" style="93" customWidth="1"/>
    <col min="4867" max="4867" width="14.7109375" style="93" customWidth="1"/>
    <col min="4868" max="4868" width="13.00390625" style="93" customWidth="1"/>
    <col min="4869" max="5120" width="11.421875" style="93" customWidth="1"/>
    <col min="5121" max="5121" width="15.57421875" style="93" customWidth="1"/>
    <col min="5122" max="5122" width="11.421875" style="93" customWidth="1"/>
    <col min="5123" max="5123" width="14.7109375" style="93" customWidth="1"/>
    <col min="5124" max="5124" width="13.00390625" style="93" customWidth="1"/>
    <col min="5125" max="5376" width="11.421875" style="93" customWidth="1"/>
    <col min="5377" max="5377" width="15.57421875" style="93" customWidth="1"/>
    <col min="5378" max="5378" width="11.421875" style="93" customWidth="1"/>
    <col min="5379" max="5379" width="14.7109375" style="93" customWidth="1"/>
    <col min="5380" max="5380" width="13.00390625" style="93" customWidth="1"/>
    <col min="5381" max="5632" width="11.421875" style="93" customWidth="1"/>
    <col min="5633" max="5633" width="15.57421875" style="93" customWidth="1"/>
    <col min="5634" max="5634" width="11.421875" style="93" customWidth="1"/>
    <col min="5635" max="5635" width="14.7109375" style="93" customWidth="1"/>
    <col min="5636" max="5636" width="13.00390625" style="93" customWidth="1"/>
    <col min="5637" max="5888" width="11.421875" style="93" customWidth="1"/>
    <col min="5889" max="5889" width="15.57421875" style="93" customWidth="1"/>
    <col min="5890" max="5890" width="11.421875" style="93" customWidth="1"/>
    <col min="5891" max="5891" width="14.7109375" style="93" customWidth="1"/>
    <col min="5892" max="5892" width="13.00390625" style="93" customWidth="1"/>
    <col min="5893" max="6144" width="11.421875" style="93" customWidth="1"/>
    <col min="6145" max="6145" width="15.57421875" style="93" customWidth="1"/>
    <col min="6146" max="6146" width="11.421875" style="93" customWidth="1"/>
    <col min="6147" max="6147" width="14.7109375" style="93" customWidth="1"/>
    <col min="6148" max="6148" width="13.00390625" style="93" customWidth="1"/>
    <col min="6149" max="6400" width="11.421875" style="93" customWidth="1"/>
    <col min="6401" max="6401" width="15.57421875" style="93" customWidth="1"/>
    <col min="6402" max="6402" width="11.421875" style="93" customWidth="1"/>
    <col min="6403" max="6403" width="14.7109375" style="93" customWidth="1"/>
    <col min="6404" max="6404" width="13.00390625" style="93" customWidth="1"/>
    <col min="6405" max="6656" width="11.421875" style="93" customWidth="1"/>
    <col min="6657" max="6657" width="15.57421875" style="93" customWidth="1"/>
    <col min="6658" max="6658" width="11.421875" style="93" customWidth="1"/>
    <col min="6659" max="6659" width="14.7109375" style="93" customWidth="1"/>
    <col min="6660" max="6660" width="13.00390625" style="93" customWidth="1"/>
    <col min="6661" max="6912" width="11.421875" style="93" customWidth="1"/>
    <col min="6913" max="6913" width="15.57421875" style="93" customWidth="1"/>
    <col min="6914" max="6914" width="11.421875" style="93" customWidth="1"/>
    <col min="6915" max="6915" width="14.7109375" style="93" customWidth="1"/>
    <col min="6916" max="6916" width="13.00390625" style="93" customWidth="1"/>
    <col min="6917" max="7168" width="11.421875" style="93" customWidth="1"/>
    <col min="7169" max="7169" width="15.57421875" style="93" customWidth="1"/>
    <col min="7170" max="7170" width="11.421875" style="93" customWidth="1"/>
    <col min="7171" max="7171" width="14.7109375" style="93" customWidth="1"/>
    <col min="7172" max="7172" width="13.00390625" style="93" customWidth="1"/>
    <col min="7173" max="7424" width="11.421875" style="93" customWidth="1"/>
    <col min="7425" max="7425" width="15.57421875" style="93" customWidth="1"/>
    <col min="7426" max="7426" width="11.421875" style="93" customWidth="1"/>
    <col min="7427" max="7427" width="14.7109375" style="93" customWidth="1"/>
    <col min="7428" max="7428" width="13.00390625" style="93" customWidth="1"/>
    <col min="7429" max="7680" width="11.421875" style="93" customWidth="1"/>
    <col min="7681" max="7681" width="15.57421875" style="93" customWidth="1"/>
    <col min="7682" max="7682" width="11.421875" style="93" customWidth="1"/>
    <col min="7683" max="7683" width="14.7109375" style="93" customWidth="1"/>
    <col min="7684" max="7684" width="13.00390625" style="93" customWidth="1"/>
    <col min="7685" max="7936" width="11.421875" style="93" customWidth="1"/>
    <col min="7937" max="7937" width="15.57421875" style="93" customWidth="1"/>
    <col min="7938" max="7938" width="11.421875" style="93" customWidth="1"/>
    <col min="7939" max="7939" width="14.7109375" style="93" customWidth="1"/>
    <col min="7940" max="7940" width="13.00390625" style="93" customWidth="1"/>
    <col min="7941" max="8192" width="11.421875" style="93" customWidth="1"/>
    <col min="8193" max="8193" width="15.57421875" style="93" customWidth="1"/>
    <col min="8194" max="8194" width="11.421875" style="93" customWidth="1"/>
    <col min="8195" max="8195" width="14.7109375" style="93" customWidth="1"/>
    <col min="8196" max="8196" width="13.00390625" style="93" customWidth="1"/>
    <col min="8197" max="8448" width="11.421875" style="93" customWidth="1"/>
    <col min="8449" max="8449" width="15.57421875" style="93" customWidth="1"/>
    <col min="8450" max="8450" width="11.421875" style="93" customWidth="1"/>
    <col min="8451" max="8451" width="14.7109375" style="93" customWidth="1"/>
    <col min="8452" max="8452" width="13.00390625" style="93" customWidth="1"/>
    <col min="8453" max="8704" width="11.421875" style="93" customWidth="1"/>
    <col min="8705" max="8705" width="15.57421875" style="93" customWidth="1"/>
    <col min="8706" max="8706" width="11.421875" style="93" customWidth="1"/>
    <col min="8707" max="8707" width="14.7109375" style="93" customWidth="1"/>
    <col min="8708" max="8708" width="13.00390625" style="93" customWidth="1"/>
    <col min="8709" max="8960" width="11.421875" style="93" customWidth="1"/>
    <col min="8961" max="8961" width="15.57421875" style="93" customWidth="1"/>
    <col min="8962" max="8962" width="11.421875" style="93" customWidth="1"/>
    <col min="8963" max="8963" width="14.7109375" style="93" customWidth="1"/>
    <col min="8964" max="8964" width="13.00390625" style="93" customWidth="1"/>
    <col min="8965" max="9216" width="11.421875" style="93" customWidth="1"/>
    <col min="9217" max="9217" width="15.57421875" style="93" customWidth="1"/>
    <col min="9218" max="9218" width="11.421875" style="93" customWidth="1"/>
    <col min="9219" max="9219" width="14.7109375" style="93" customWidth="1"/>
    <col min="9220" max="9220" width="13.00390625" style="93" customWidth="1"/>
    <col min="9221" max="9472" width="11.421875" style="93" customWidth="1"/>
    <col min="9473" max="9473" width="15.57421875" style="93" customWidth="1"/>
    <col min="9474" max="9474" width="11.421875" style="93" customWidth="1"/>
    <col min="9475" max="9475" width="14.7109375" style="93" customWidth="1"/>
    <col min="9476" max="9476" width="13.00390625" style="93" customWidth="1"/>
    <col min="9477" max="9728" width="11.421875" style="93" customWidth="1"/>
    <col min="9729" max="9729" width="15.57421875" style="93" customWidth="1"/>
    <col min="9730" max="9730" width="11.421875" style="93" customWidth="1"/>
    <col min="9731" max="9731" width="14.7109375" style="93" customWidth="1"/>
    <col min="9732" max="9732" width="13.00390625" style="93" customWidth="1"/>
    <col min="9733" max="9984" width="11.421875" style="93" customWidth="1"/>
    <col min="9985" max="9985" width="15.57421875" style="93" customWidth="1"/>
    <col min="9986" max="9986" width="11.421875" style="93" customWidth="1"/>
    <col min="9987" max="9987" width="14.7109375" style="93" customWidth="1"/>
    <col min="9988" max="9988" width="13.00390625" style="93" customWidth="1"/>
    <col min="9989" max="10240" width="11.421875" style="93" customWidth="1"/>
    <col min="10241" max="10241" width="15.57421875" style="93" customWidth="1"/>
    <col min="10242" max="10242" width="11.421875" style="93" customWidth="1"/>
    <col min="10243" max="10243" width="14.7109375" style="93" customWidth="1"/>
    <col min="10244" max="10244" width="13.00390625" style="93" customWidth="1"/>
    <col min="10245" max="10496" width="11.421875" style="93" customWidth="1"/>
    <col min="10497" max="10497" width="15.57421875" style="93" customWidth="1"/>
    <col min="10498" max="10498" width="11.421875" style="93" customWidth="1"/>
    <col min="10499" max="10499" width="14.7109375" style="93" customWidth="1"/>
    <col min="10500" max="10500" width="13.00390625" style="93" customWidth="1"/>
    <col min="10501" max="10752" width="11.421875" style="93" customWidth="1"/>
    <col min="10753" max="10753" width="15.57421875" style="93" customWidth="1"/>
    <col min="10754" max="10754" width="11.421875" style="93" customWidth="1"/>
    <col min="10755" max="10755" width="14.7109375" style="93" customWidth="1"/>
    <col min="10756" max="10756" width="13.00390625" style="93" customWidth="1"/>
    <col min="10757" max="11008" width="11.421875" style="93" customWidth="1"/>
    <col min="11009" max="11009" width="15.57421875" style="93" customWidth="1"/>
    <col min="11010" max="11010" width="11.421875" style="93" customWidth="1"/>
    <col min="11011" max="11011" width="14.7109375" style="93" customWidth="1"/>
    <col min="11012" max="11012" width="13.00390625" style="93" customWidth="1"/>
    <col min="11013" max="11264" width="11.421875" style="93" customWidth="1"/>
    <col min="11265" max="11265" width="15.57421875" style="93" customWidth="1"/>
    <col min="11266" max="11266" width="11.421875" style="93" customWidth="1"/>
    <col min="11267" max="11267" width="14.7109375" style="93" customWidth="1"/>
    <col min="11268" max="11268" width="13.00390625" style="93" customWidth="1"/>
    <col min="11269" max="11520" width="11.421875" style="93" customWidth="1"/>
    <col min="11521" max="11521" width="15.57421875" style="93" customWidth="1"/>
    <col min="11522" max="11522" width="11.421875" style="93" customWidth="1"/>
    <col min="11523" max="11523" width="14.7109375" style="93" customWidth="1"/>
    <col min="11524" max="11524" width="13.00390625" style="93" customWidth="1"/>
    <col min="11525" max="11776" width="11.421875" style="93" customWidth="1"/>
    <col min="11777" max="11777" width="15.57421875" style="93" customWidth="1"/>
    <col min="11778" max="11778" width="11.421875" style="93" customWidth="1"/>
    <col min="11779" max="11779" width="14.7109375" style="93" customWidth="1"/>
    <col min="11780" max="11780" width="13.00390625" style="93" customWidth="1"/>
    <col min="11781" max="12032" width="11.421875" style="93" customWidth="1"/>
    <col min="12033" max="12033" width="15.57421875" style="93" customWidth="1"/>
    <col min="12034" max="12034" width="11.421875" style="93" customWidth="1"/>
    <col min="12035" max="12035" width="14.7109375" style="93" customWidth="1"/>
    <col min="12036" max="12036" width="13.00390625" style="93" customWidth="1"/>
    <col min="12037" max="12288" width="11.421875" style="93" customWidth="1"/>
    <col min="12289" max="12289" width="15.57421875" style="93" customWidth="1"/>
    <col min="12290" max="12290" width="11.421875" style="93" customWidth="1"/>
    <col min="12291" max="12291" width="14.7109375" style="93" customWidth="1"/>
    <col min="12292" max="12292" width="13.00390625" style="93" customWidth="1"/>
    <col min="12293" max="12544" width="11.421875" style="93" customWidth="1"/>
    <col min="12545" max="12545" width="15.57421875" style="93" customWidth="1"/>
    <col min="12546" max="12546" width="11.421875" style="93" customWidth="1"/>
    <col min="12547" max="12547" width="14.7109375" style="93" customWidth="1"/>
    <col min="12548" max="12548" width="13.00390625" style="93" customWidth="1"/>
    <col min="12549" max="12800" width="11.421875" style="93" customWidth="1"/>
    <col min="12801" max="12801" width="15.57421875" style="93" customWidth="1"/>
    <col min="12802" max="12802" width="11.421875" style="93" customWidth="1"/>
    <col min="12803" max="12803" width="14.7109375" style="93" customWidth="1"/>
    <col min="12804" max="12804" width="13.00390625" style="93" customWidth="1"/>
    <col min="12805" max="13056" width="11.421875" style="93" customWidth="1"/>
    <col min="13057" max="13057" width="15.57421875" style="93" customWidth="1"/>
    <col min="13058" max="13058" width="11.421875" style="93" customWidth="1"/>
    <col min="13059" max="13059" width="14.7109375" style="93" customWidth="1"/>
    <col min="13060" max="13060" width="13.00390625" style="93" customWidth="1"/>
    <col min="13061" max="13312" width="11.421875" style="93" customWidth="1"/>
    <col min="13313" max="13313" width="15.57421875" style="93" customWidth="1"/>
    <col min="13314" max="13314" width="11.421875" style="93" customWidth="1"/>
    <col min="13315" max="13315" width="14.7109375" style="93" customWidth="1"/>
    <col min="13316" max="13316" width="13.00390625" style="93" customWidth="1"/>
    <col min="13317" max="13568" width="11.421875" style="93" customWidth="1"/>
    <col min="13569" max="13569" width="15.57421875" style="93" customWidth="1"/>
    <col min="13570" max="13570" width="11.421875" style="93" customWidth="1"/>
    <col min="13571" max="13571" width="14.7109375" style="93" customWidth="1"/>
    <col min="13572" max="13572" width="13.00390625" style="93" customWidth="1"/>
    <col min="13573" max="13824" width="11.421875" style="93" customWidth="1"/>
    <col min="13825" max="13825" width="15.57421875" style="93" customWidth="1"/>
    <col min="13826" max="13826" width="11.421875" style="93" customWidth="1"/>
    <col min="13827" max="13827" width="14.7109375" style="93" customWidth="1"/>
    <col min="13828" max="13828" width="13.00390625" style="93" customWidth="1"/>
    <col min="13829" max="14080" width="11.421875" style="93" customWidth="1"/>
    <col min="14081" max="14081" width="15.57421875" style="93" customWidth="1"/>
    <col min="14082" max="14082" width="11.421875" style="93" customWidth="1"/>
    <col min="14083" max="14083" width="14.7109375" style="93" customWidth="1"/>
    <col min="14084" max="14084" width="13.00390625" style="93" customWidth="1"/>
    <col min="14085" max="14336" width="11.421875" style="93" customWidth="1"/>
    <col min="14337" max="14337" width="15.57421875" style="93" customWidth="1"/>
    <col min="14338" max="14338" width="11.421875" style="93" customWidth="1"/>
    <col min="14339" max="14339" width="14.7109375" style="93" customWidth="1"/>
    <col min="14340" max="14340" width="13.00390625" style="93" customWidth="1"/>
    <col min="14341" max="14592" width="11.421875" style="93" customWidth="1"/>
    <col min="14593" max="14593" width="15.57421875" style="93" customWidth="1"/>
    <col min="14594" max="14594" width="11.421875" style="93" customWidth="1"/>
    <col min="14595" max="14595" width="14.7109375" style="93" customWidth="1"/>
    <col min="14596" max="14596" width="13.00390625" style="93" customWidth="1"/>
    <col min="14597" max="14848" width="11.421875" style="93" customWidth="1"/>
    <col min="14849" max="14849" width="15.57421875" style="93" customWidth="1"/>
    <col min="14850" max="14850" width="11.421875" style="93" customWidth="1"/>
    <col min="14851" max="14851" width="14.7109375" style="93" customWidth="1"/>
    <col min="14852" max="14852" width="13.00390625" style="93" customWidth="1"/>
    <col min="14853" max="15104" width="11.421875" style="93" customWidth="1"/>
    <col min="15105" max="15105" width="15.57421875" style="93" customWidth="1"/>
    <col min="15106" max="15106" width="11.421875" style="93" customWidth="1"/>
    <col min="15107" max="15107" width="14.7109375" style="93" customWidth="1"/>
    <col min="15108" max="15108" width="13.00390625" style="93" customWidth="1"/>
    <col min="15109" max="15360" width="11.421875" style="93" customWidth="1"/>
    <col min="15361" max="15361" width="15.57421875" style="93" customWidth="1"/>
    <col min="15362" max="15362" width="11.421875" style="93" customWidth="1"/>
    <col min="15363" max="15363" width="14.7109375" style="93" customWidth="1"/>
    <col min="15364" max="15364" width="13.00390625" style="93" customWidth="1"/>
    <col min="15365" max="15616" width="11.421875" style="93" customWidth="1"/>
    <col min="15617" max="15617" width="15.57421875" style="93" customWidth="1"/>
    <col min="15618" max="15618" width="11.421875" style="93" customWidth="1"/>
    <col min="15619" max="15619" width="14.7109375" style="93" customWidth="1"/>
    <col min="15620" max="15620" width="13.00390625" style="93" customWidth="1"/>
    <col min="15621" max="15872" width="11.421875" style="93" customWidth="1"/>
    <col min="15873" max="15873" width="15.57421875" style="93" customWidth="1"/>
    <col min="15874" max="15874" width="11.421875" style="93" customWidth="1"/>
    <col min="15875" max="15875" width="14.7109375" style="93" customWidth="1"/>
    <col min="15876" max="15876" width="13.00390625" style="93" customWidth="1"/>
    <col min="15877" max="16128" width="11.421875" style="93" customWidth="1"/>
    <col min="16129" max="16129" width="15.57421875" style="93" customWidth="1"/>
    <col min="16130" max="16130" width="11.421875" style="93" customWidth="1"/>
    <col min="16131" max="16131" width="14.7109375" style="93" customWidth="1"/>
    <col min="16132" max="16132" width="13.00390625" style="93" customWidth="1"/>
    <col min="16133" max="16384" width="11.421875" style="93" customWidth="1"/>
  </cols>
  <sheetData>
    <row r="1" ht="13.5" thickBot="1"/>
    <row r="2" spans="1:5" ht="25.5" customHeight="1">
      <c r="A2" s="138" t="s">
        <v>136</v>
      </c>
      <c r="B2" s="139" t="s">
        <v>137</v>
      </c>
      <c r="C2" s="139" t="s">
        <v>138</v>
      </c>
      <c r="D2" s="139" t="s">
        <v>139</v>
      </c>
      <c r="E2" s="140" t="s">
        <v>140</v>
      </c>
    </row>
    <row r="3" spans="1:5" ht="15" customHeight="1">
      <c r="A3" s="141" t="s">
        <v>141</v>
      </c>
      <c r="B3" s="142">
        <v>56</v>
      </c>
      <c r="C3" s="143">
        <v>0.49557522123893805</v>
      </c>
      <c r="D3" s="144">
        <v>21.309734513274336</v>
      </c>
      <c r="E3" s="145">
        <v>43</v>
      </c>
    </row>
    <row r="4" spans="1:5" ht="15" customHeight="1">
      <c r="A4" s="141" t="s">
        <v>142</v>
      </c>
      <c r="B4" s="142">
        <v>11</v>
      </c>
      <c r="C4" s="143">
        <v>0.09734513274336283</v>
      </c>
      <c r="D4" s="144">
        <v>4.185840707964601</v>
      </c>
      <c r="E4" s="145">
        <v>1</v>
      </c>
    </row>
    <row r="5" spans="1:8" ht="12.75">
      <c r="A5" s="146" t="s">
        <v>143</v>
      </c>
      <c r="B5" s="147">
        <v>46</v>
      </c>
      <c r="C5" s="148">
        <v>0.40707964601769914</v>
      </c>
      <c r="D5" s="149">
        <v>17.504424778761063</v>
      </c>
      <c r="E5" s="150">
        <v>4</v>
      </c>
      <c r="G5" s="92"/>
      <c r="H5" s="92"/>
    </row>
    <row r="6" spans="1:8" ht="15.75" thickBot="1">
      <c r="A6" s="151"/>
      <c r="B6" s="152">
        <f>SUM(B3:B5)</f>
        <v>113</v>
      </c>
      <c r="C6" s="153">
        <f>SUM(C3:C5)</f>
        <v>1</v>
      </c>
      <c r="D6" s="154">
        <f>SUM(D3:D5)</f>
        <v>43</v>
      </c>
      <c r="E6" s="155">
        <f>SUM(E3:E5)</f>
        <v>48</v>
      </c>
      <c r="G6" s="156"/>
      <c r="H6" s="157"/>
    </row>
    <row r="7" spans="7:8" ht="13.5" thickBot="1">
      <c r="G7" s="156"/>
      <c r="H7" s="157"/>
    </row>
    <row r="8" spans="1:5" ht="26.25" thickBot="1">
      <c r="A8" s="158" t="s">
        <v>136</v>
      </c>
      <c r="B8" s="159" t="s">
        <v>120</v>
      </c>
      <c r="C8" s="159" t="s">
        <v>144</v>
      </c>
      <c r="D8" s="159" t="s">
        <v>145</v>
      </c>
      <c r="E8" s="160" t="s">
        <v>146</v>
      </c>
    </row>
    <row r="9" spans="1:5" ht="12.75">
      <c r="A9" s="161" t="s">
        <v>141</v>
      </c>
      <c r="B9" s="162">
        <v>56</v>
      </c>
      <c r="C9" s="163" t="s">
        <v>28</v>
      </c>
      <c r="D9" s="163">
        <v>776305.4550181015</v>
      </c>
      <c r="E9" s="164">
        <f>+B9*D9</f>
        <v>43473105.481013685</v>
      </c>
    </row>
    <row r="10" spans="1:5" ht="12.75">
      <c r="A10" s="165" t="s">
        <v>142</v>
      </c>
      <c r="B10" s="166">
        <v>11</v>
      </c>
      <c r="C10" s="167" t="s">
        <v>147</v>
      </c>
      <c r="D10" s="167">
        <v>8640</v>
      </c>
      <c r="E10" s="168">
        <f>+B10*D10</f>
        <v>95040</v>
      </c>
    </row>
    <row r="11" spans="1:5" ht="13.5" thickBot="1">
      <c r="A11" s="169" t="s">
        <v>143</v>
      </c>
      <c r="B11" s="170">
        <v>46</v>
      </c>
      <c r="C11" s="171" t="s">
        <v>148</v>
      </c>
      <c r="D11" s="171">
        <v>4523</v>
      </c>
      <c r="E11" s="172">
        <f>+B11*D11</f>
        <v>208058</v>
      </c>
    </row>
    <row r="12" ht="13.5" thickBot="1"/>
    <row r="13" spans="1:9" ht="53.25" thickBot="1">
      <c r="A13" s="173" t="s">
        <v>33</v>
      </c>
      <c r="B13" s="174" t="s">
        <v>34</v>
      </c>
      <c r="C13" s="174" t="s">
        <v>35</v>
      </c>
      <c r="D13" s="174" t="s">
        <v>36</v>
      </c>
      <c r="E13" s="173" t="s">
        <v>133</v>
      </c>
      <c r="F13" s="174" t="s">
        <v>134</v>
      </c>
      <c r="G13" s="174" t="s">
        <v>39</v>
      </c>
      <c r="H13" s="174" t="s">
        <v>40</v>
      </c>
      <c r="I13" s="174" t="s">
        <v>41</v>
      </c>
    </row>
    <row r="14" spans="1:9" ht="12.75">
      <c r="A14" s="175" t="s">
        <v>19</v>
      </c>
      <c r="B14" s="176">
        <v>60</v>
      </c>
      <c r="C14" s="177">
        <f>141.5/(131.5+B14)*1000</f>
        <v>738.9033942558747</v>
      </c>
      <c r="D14" s="178">
        <f>+(C14*3.7853)/1000000</f>
        <v>0.002796971018276762</v>
      </c>
      <c r="E14" s="179">
        <f>+E11</f>
        <v>208058</v>
      </c>
      <c r="F14" s="180">
        <f>D14*E14</f>
        <v>581.9321961206266</v>
      </c>
      <c r="G14" s="180">
        <f>F14/1000</f>
        <v>0.5819321961206266</v>
      </c>
      <c r="H14" s="181">
        <v>44.8</v>
      </c>
      <c r="I14" s="182">
        <f>(G14*H14)</f>
        <v>26.07056238620407</v>
      </c>
    </row>
    <row r="15" spans="1:9" ht="13.5" thickBot="1">
      <c r="A15" s="183" t="s">
        <v>28</v>
      </c>
      <c r="B15" s="184"/>
      <c r="C15" s="185"/>
      <c r="D15" s="185">
        <v>0.003061298286666666</v>
      </c>
      <c r="E15" s="186">
        <f>+E9</f>
        <v>43473105.481013685</v>
      </c>
      <c r="F15" s="187">
        <f>D15*E15</f>
        <v>133084.14332510644</v>
      </c>
      <c r="G15" s="187">
        <f>F15/1000</f>
        <v>133.08414332510645</v>
      </c>
      <c r="H15" s="188">
        <v>44.59</v>
      </c>
      <c r="I15" s="189">
        <f>(G15*H15)</f>
        <v>5934.2219508664975</v>
      </c>
    </row>
    <row r="17" ht="12.75">
      <c r="A17" s="52"/>
    </row>
    <row r="18" ht="12.75">
      <c r="A18" s="19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E9"/>
    </sheetView>
  </sheetViews>
  <sheetFormatPr defaultColWidth="11.421875" defaultRowHeight="12.75"/>
  <cols>
    <col min="1" max="1" width="19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3.8515625" style="0" bestFit="1" customWidth="1"/>
    <col min="6" max="6" width="16.00390625" style="0" bestFit="1" customWidth="1"/>
    <col min="7" max="7" width="13.28125" style="0" customWidth="1"/>
    <col min="8" max="8" width="13.57421875" style="0" customWidth="1"/>
    <col min="10" max="10" width="13.57421875" style="0" bestFit="1" customWidth="1"/>
  </cols>
  <sheetData>
    <row r="2" ht="13.5" thickBot="1"/>
    <row r="3" spans="1:9" ht="40.5" thickBot="1">
      <c r="A3" s="1" t="s">
        <v>33</v>
      </c>
      <c r="B3" s="2" t="s">
        <v>34</v>
      </c>
      <c r="C3" s="2" t="s">
        <v>35</v>
      </c>
      <c r="D3" s="2" t="s">
        <v>36</v>
      </c>
      <c r="E3" s="3" t="s">
        <v>37</v>
      </c>
      <c r="F3" s="2" t="s">
        <v>38</v>
      </c>
      <c r="G3" s="2" t="s">
        <v>39</v>
      </c>
      <c r="H3" s="2" t="s">
        <v>40</v>
      </c>
      <c r="I3" s="2" t="s">
        <v>41</v>
      </c>
    </row>
    <row r="4" spans="1:9" ht="12.75">
      <c r="A4" s="4" t="s">
        <v>42</v>
      </c>
      <c r="B4" s="5">
        <v>60</v>
      </c>
      <c r="C4" s="6">
        <f>141.5/(131.5+B4)*1000</f>
        <v>738.9033942558747</v>
      </c>
      <c r="D4" s="7">
        <f>+(C4*3.7853)/1000000</f>
        <v>0.002796971018276762</v>
      </c>
      <c r="E4" s="6">
        <v>38910779.07547578</v>
      </c>
      <c r="F4" s="8">
        <f aca="true" t="shared" si="0" ref="F4:F9">E4*D4</f>
        <v>108832.32137267562</v>
      </c>
      <c r="G4" s="6">
        <f aca="true" t="shared" si="1" ref="G4:G9">F4/1000</f>
        <v>108.83232137267562</v>
      </c>
      <c r="H4" s="50">
        <v>44.8</v>
      </c>
      <c r="I4" s="6">
        <f>(G4*H4)</f>
        <v>4875.687997495867</v>
      </c>
    </row>
    <row r="5" spans="1:9" ht="12.75">
      <c r="A5" s="9" t="s">
        <v>43</v>
      </c>
      <c r="B5" s="10">
        <v>59</v>
      </c>
      <c r="C5" s="11">
        <f>141.5/(131.5+B5)*1000</f>
        <v>742.7821522309711</v>
      </c>
      <c r="D5" s="12">
        <f>+(C5*3.7853)/1000000</f>
        <v>0.0028116532808398946</v>
      </c>
      <c r="E5" s="11">
        <v>319288307.79924655</v>
      </c>
      <c r="F5" s="13">
        <f t="shared" si="0"/>
        <v>897728.0181575697</v>
      </c>
      <c r="G5" s="11">
        <f t="shared" si="1"/>
        <v>897.7280181575696</v>
      </c>
      <c r="H5" s="51"/>
      <c r="I5" s="11">
        <f>(G5*H4)</f>
        <v>40218.215213459116</v>
      </c>
    </row>
    <row r="6" spans="1:9" ht="12.75">
      <c r="A6" s="9" t="s">
        <v>44</v>
      </c>
      <c r="B6" s="10">
        <v>53</v>
      </c>
      <c r="C6" s="11">
        <f>141.5/(131.5+B6)*1000</f>
        <v>766.9376693766937</v>
      </c>
      <c r="D6" s="12">
        <f>+(C6*3.7853)/1000000</f>
        <v>0.002903089159891599</v>
      </c>
      <c r="E6" s="11">
        <v>13715251.56652868</v>
      </c>
      <c r="F6" s="13">
        <f t="shared" si="0"/>
        <v>39816.59814797568</v>
      </c>
      <c r="G6" s="11">
        <f t="shared" si="1"/>
        <v>39.81659814797568</v>
      </c>
      <c r="H6" s="51"/>
      <c r="I6" s="11">
        <f>(G6*H4)</f>
        <v>1783.7835970293104</v>
      </c>
    </row>
    <row r="7" spans="1:9" ht="12.75">
      <c r="A7" s="9" t="s">
        <v>45</v>
      </c>
      <c r="B7" s="10">
        <v>50</v>
      </c>
      <c r="C7" s="11">
        <f>141.5/(131.5+B7)*1000</f>
        <v>779.6143250688705</v>
      </c>
      <c r="D7" s="12">
        <f>+(C7*3.7853)/1000000</f>
        <v>0.0029510741046831954</v>
      </c>
      <c r="E7" s="11">
        <v>15611326.853974279</v>
      </c>
      <c r="F7" s="13">
        <f t="shared" si="0"/>
        <v>46070.18241850887</v>
      </c>
      <c r="G7" s="11">
        <f t="shared" si="1"/>
        <v>46.07018241850887</v>
      </c>
      <c r="H7" s="51"/>
      <c r="I7" s="11">
        <f>(G7*H4)</f>
        <v>2063.9441723491973</v>
      </c>
    </row>
    <row r="8" spans="1:9" ht="12.75">
      <c r="A8" s="9" t="s">
        <v>46</v>
      </c>
      <c r="B8" s="10">
        <v>33.6</v>
      </c>
      <c r="C8" s="11">
        <f>141.5/(131.5+B8)*1000</f>
        <v>857.0563294972744</v>
      </c>
      <c r="D8" s="12">
        <f>+(C8*3.7853)/1000000</f>
        <v>0.003244215324046033</v>
      </c>
      <c r="E8" s="11">
        <v>540498262.69558</v>
      </c>
      <c r="F8" s="13">
        <f t="shared" si="0"/>
        <v>1753492.746457259</v>
      </c>
      <c r="G8" s="11">
        <f t="shared" si="1"/>
        <v>1753.492746457259</v>
      </c>
      <c r="H8" s="11">
        <v>43.33</v>
      </c>
      <c r="I8" s="11">
        <f>(G8*H8)</f>
        <v>75978.84070399303</v>
      </c>
    </row>
    <row r="9" spans="1:9" ht="13.5" thickBot="1">
      <c r="A9" s="14" t="s">
        <v>21</v>
      </c>
      <c r="B9" s="15"/>
      <c r="C9" s="16"/>
      <c r="D9" s="17">
        <v>0.002119768</v>
      </c>
      <c r="E9" s="16">
        <v>22771223.462238647</v>
      </c>
      <c r="F9" s="18">
        <f t="shared" si="0"/>
        <v>48269.7108161027</v>
      </c>
      <c r="G9" s="16">
        <f t="shared" si="1"/>
        <v>48.2697108161027</v>
      </c>
      <c r="H9" s="16">
        <v>47.31</v>
      </c>
      <c r="I9" s="16">
        <f>(G9*H9)</f>
        <v>2283.640018709819</v>
      </c>
    </row>
    <row r="10" ht="12.75">
      <c r="A10" s="52" t="s">
        <v>116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 topLeftCell="A10">
      <selection activeCell="A14" sqref="A14:D17"/>
    </sheetView>
  </sheetViews>
  <sheetFormatPr defaultColWidth="11.421875" defaultRowHeight="12.75"/>
  <cols>
    <col min="1" max="1" width="24.28125" style="93" bestFit="1" customWidth="1"/>
    <col min="2" max="2" width="24.140625" style="93" customWidth="1"/>
    <col min="3" max="3" width="27.8515625" style="93" bestFit="1" customWidth="1"/>
    <col min="4" max="4" width="24.28125" style="93" bestFit="1" customWidth="1"/>
    <col min="5" max="5" width="20.140625" style="93" bestFit="1" customWidth="1"/>
    <col min="6" max="6" width="14.57421875" style="93" customWidth="1"/>
    <col min="7" max="7" width="10.28125" style="93" customWidth="1"/>
    <col min="8" max="256" width="11.421875" style="93" customWidth="1"/>
    <col min="257" max="257" width="24.28125" style="93" bestFit="1" customWidth="1"/>
    <col min="258" max="258" width="24.140625" style="93" customWidth="1"/>
    <col min="259" max="259" width="27.8515625" style="93" bestFit="1" customWidth="1"/>
    <col min="260" max="260" width="24.28125" style="93" bestFit="1" customWidth="1"/>
    <col min="261" max="261" width="20.140625" style="93" bestFit="1" customWidth="1"/>
    <col min="262" max="262" width="14.57421875" style="93" customWidth="1"/>
    <col min="263" max="263" width="10.28125" style="93" customWidth="1"/>
    <col min="264" max="512" width="11.421875" style="93" customWidth="1"/>
    <col min="513" max="513" width="24.28125" style="93" bestFit="1" customWidth="1"/>
    <col min="514" max="514" width="24.140625" style="93" customWidth="1"/>
    <col min="515" max="515" width="27.8515625" style="93" bestFit="1" customWidth="1"/>
    <col min="516" max="516" width="24.28125" style="93" bestFit="1" customWidth="1"/>
    <col min="517" max="517" width="20.140625" style="93" bestFit="1" customWidth="1"/>
    <col min="518" max="518" width="14.57421875" style="93" customWidth="1"/>
    <col min="519" max="519" width="10.28125" style="93" customWidth="1"/>
    <col min="520" max="768" width="11.421875" style="93" customWidth="1"/>
    <col min="769" max="769" width="24.28125" style="93" bestFit="1" customWidth="1"/>
    <col min="770" max="770" width="24.140625" style="93" customWidth="1"/>
    <col min="771" max="771" width="27.8515625" style="93" bestFit="1" customWidth="1"/>
    <col min="772" max="772" width="24.28125" style="93" bestFit="1" customWidth="1"/>
    <col min="773" max="773" width="20.140625" style="93" bestFit="1" customWidth="1"/>
    <col min="774" max="774" width="14.57421875" style="93" customWidth="1"/>
    <col min="775" max="775" width="10.28125" style="93" customWidth="1"/>
    <col min="776" max="1024" width="11.421875" style="93" customWidth="1"/>
    <col min="1025" max="1025" width="24.28125" style="93" bestFit="1" customWidth="1"/>
    <col min="1026" max="1026" width="24.140625" style="93" customWidth="1"/>
    <col min="1027" max="1027" width="27.8515625" style="93" bestFit="1" customWidth="1"/>
    <col min="1028" max="1028" width="24.28125" style="93" bestFit="1" customWidth="1"/>
    <col min="1029" max="1029" width="20.140625" style="93" bestFit="1" customWidth="1"/>
    <col min="1030" max="1030" width="14.57421875" style="93" customWidth="1"/>
    <col min="1031" max="1031" width="10.28125" style="93" customWidth="1"/>
    <col min="1032" max="1280" width="11.421875" style="93" customWidth="1"/>
    <col min="1281" max="1281" width="24.28125" style="93" bestFit="1" customWidth="1"/>
    <col min="1282" max="1282" width="24.140625" style="93" customWidth="1"/>
    <col min="1283" max="1283" width="27.8515625" style="93" bestFit="1" customWidth="1"/>
    <col min="1284" max="1284" width="24.28125" style="93" bestFit="1" customWidth="1"/>
    <col min="1285" max="1285" width="20.140625" style="93" bestFit="1" customWidth="1"/>
    <col min="1286" max="1286" width="14.57421875" style="93" customWidth="1"/>
    <col min="1287" max="1287" width="10.28125" style="93" customWidth="1"/>
    <col min="1288" max="1536" width="11.421875" style="93" customWidth="1"/>
    <col min="1537" max="1537" width="24.28125" style="93" bestFit="1" customWidth="1"/>
    <col min="1538" max="1538" width="24.140625" style="93" customWidth="1"/>
    <col min="1539" max="1539" width="27.8515625" style="93" bestFit="1" customWidth="1"/>
    <col min="1540" max="1540" width="24.28125" style="93" bestFit="1" customWidth="1"/>
    <col min="1541" max="1541" width="20.140625" style="93" bestFit="1" customWidth="1"/>
    <col min="1542" max="1542" width="14.57421875" style="93" customWidth="1"/>
    <col min="1543" max="1543" width="10.28125" style="93" customWidth="1"/>
    <col min="1544" max="1792" width="11.421875" style="93" customWidth="1"/>
    <col min="1793" max="1793" width="24.28125" style="93" bestFit="1" customWidth="1"/>
    <col min="1794" max="1794" width="24.140625" style="93" customWidth="1"/>
    <col min="1795" max="1795" width="27.8515625" style="93" bestFit="1" customWidth="1"/>
    <col min="1796" max="1796" width="24.28125" style="93" bestFit="1" customWidth="1"/>
    <col min="1797" max="1797" width="20.140625" style="93" bestFit="1" customWidth="1"/>
    <col min="1798" max="1798" width="14.57421875" style="93" customWidth="1"/>
    <col min="1799" max="1799" width="10.28125" style="93" customWidth="1"/>
    <col min="1800" max="2048" width="11.421875" style="93" customWidth="1"/>
    <col min="2049" max="2049" width="24.28125" style="93" bestFit="1" customWidth="1"/>
    <col min="2050" max="2050" width="24.140625" style="93" customWidth="1"/>
    <col min="2051" max="2051" width="27.8515625" style="93" bestFit="1" customWidth="1"/>
    <col min="2052" max="2052" width="24.28125" style="93" bestFit="1" customWidth="1"/>
    <col min="2053" max="2053" width="20.140625" style="93" bestFit="1" customWidth="1"/>
    <col min="2054" max="2054" width="14.57421875" style="93" customWidth="1"/>
    <col min="2055" max="2055" width="10.28125" style="93" customWidth="1"/>
    <col min="2056" max="2304" width="11.421875" style="93" customWidth="1"/>
    <col min="2305" max="2305" width="24.28125" style="93" bestFit="1" customWidth="1"/>
    <col min="2306" max="2306" width="24.140625" style="93" customWidth="1"/>
    <col min="2307" max="2307" width="27.8515625" style="93" bestFit="1" customWidth="1"/>
    <col min="2308" max="2308" width="24.28125" style="93" bestFit="1" customWidth="1"/>
    <col min="2309" max="2309" width="20.140625" style="93" bestFit="1" customWidth="1"/>
    <col min="2310" max="2310" width="14.57421875" style="93" customWidth="1"/>
    <col min="2311" max="2311" width="10.28125" style="93" customWidth="1"/>
    <col min="2312" max="2560" width="11.421875" style="93" customWidth="1"/>
    <col min="2561" max="2561" width="24.28125" style="93" bestFit="1" customWidth="1"/>
    <col min="2562" max="2562" width="24.140625" style="93" customWidth="1"/>
    <col min="2563" max="2563" width="27.8515625" style="93" bestFit="1" customWidth="1"/>
    <col min="2564" max="2564" width="24.28125" style="93" bestFit="1" customWidth="1"/>
    <col min="2565" max="2565" width="20.140625" style="93" bestFit="1" customWidth="1"/>
    <col min="2566" max="2566" width="14.57421875" style="93" customWidth="1"/>
    <col min="2567" max="2567" width="10.28125" style="93" customWidth="1"/>
    <col min="2568" max="2816" width="11.421875" style="93" customWidth="1"/>
    <col min="2817" max="2817" width="24.28125" style="93" bestFit="1" customWidth="1"/>
    <col min="2818" max="2818" width="24.140625" style="93" customWidth="1"/>
    <col min="2819" max="2819" width="27.8515625" style="93" bestFit="1" customWidth="1"/>
    <col min="2820" max="2820" width="24.28125" style="93" bestFit="1" customWidth="1"/>
    <col min="2821" max="2821" width="20.140625" style="93" bestFit="1" customWidth="1"/>
    <col min="2822" max="2822" width="14.57421875" style="93" customWidth="1"/>
    <col min="2823" max="2823" width="10.28125" style="93" customWidth="1"/>
    <col min="2824" max="3072" width="11.421875" style="93" customWidth="1"/>
    <col min="3073" max="3073" width="24.28125" style="93" bestFit="1" customWidth="1"/>
    <col min="3074" max="3074" width="24.140625" style="93" customWidth="1"/>
    <col min="3075" max="3075" width="27.8515625" style="93" bestFit="1" customWidth="1"/>
    <col min="3076" max="3076" width="24.28125" style="93" bestFit="1" customWidth="1"/>
    <col min="3077" max="3077" width="20.140625" style="93" bestFit="1" customWidth="1"/>
    <col min="3078" max="3078" width="14.57421875" style="93" customWidth="1"/>
    <col min="3079" max="3079" width="10.28125" style="93" customWidth="1"/>
    <col min="3080" max="3328" width="11.421875" style="93" customWidth="1"/>
    <col min="3329" max="3329" width="24.28125" style="93" bestFit="1" customWidth="1"/>
    <col min="3330" max="3330" width="24.140625" style="93" customWidth="1"/>
    <col min="3331" max="3331" width="27.8515625" style="93" bestFit="1" customWidth="1"/>
    <col min="3332" max="3332" width="24.28125" style="93" bestFit="1" customWidth="1"/>
    <col min="3333" max="3333" width="20.140625" style="93" bestFit="1" customWidth="1"/>
    <col min="3334" max="3334" width="14.57421875" style="93" customWidth="1"/>
    <col min="3335" max="3335" width="10.28125" style="93" customWidth="1"/>
    <col min="3336" max="3584" width="11.421875" style="93" customWidth="1"/>
    <col min="3585" max="3585" width="24.28125" style="93" bestFit="1" customWidth="1"/>
    <col min="3586" max="3586" width="24.140625" style="93" customWidth="1"/>
    <col min="3587" max="3587" width="27.8515625" style="93" bestFit="1" customWidth="1"/>
    <col min="3588" max="3588" width="24.28125" style="93" bestFit="1" customWidth="1"/>
    <col min="3589" max="3589" width="20.140625" style="93" bestFit="1" customWidth="1"/>
    <col min="3590" max="3590" width="14.57421875" style="93" customWidth="1"/>
    <col min="3591" max="3591" width="10.28125" style="93" customWidth="1"/>
    <col min="3592" max="3840" width="11.421875" style="93" customWidth="1"/>
    <col min="3841" max="3841" width="24.28125" style="93" bestFit="1" customWidth="1"/>
    <col min="3842" max="3842" width="24.140625" style="93" customWidth="1"/>
    <col min="3843" max="3843" width="27.8515625" style="93" bestFit="1" customWidth="1"/>
    <col min="3844" max="3844" width="24.28125" style="93" bestFit="1" customWidth="1"/>
    <col min="3845" max="3845" width="20.140625" style="93" bestFit="1" customWidth="1"/>
    <col min="3846" max="3846" width="14.57421875" style="93" customWidth="1"/>
    <col min="3847" max="3847" width="10.28125" style="93" customWidth="1"/>
    <col min="3848" max="4096" width="11.421875" style="93" customWidth="1"/>
    <col min="4097" max="4097" width="24.28125" style="93" bestFit="1" customWidth="1"/>
    <col min="4098" max="4098" width="24.140625" style="93" customWidth="1"/>
    <col min="4099" max="4099" width="27.8515625" style="93" bestFit="1" customWidth="1"/>
    <col min="4100" max="4100" width="24.28125" style="93" bestFit="1" customWidth="1"/>
    <col min="4101" max="4101" width="20.140625" style="93" bestFit="1" customWidth="1"/>
    <col min="4102" max="4102" width="14.57421875" style="93" customWidth="1"/>
    <col min="4103" max="4103" width="10.28125" style="93" customWidth="1"/>
    <col min="4104" max="4352" width="11.421875" style="93" customWidth="1"/>
    <col min="4353" max="4353" width="24.28125" style="93" bestFit="1" customWidth="1"/>
    <col min="4354" max="4354" width="24.140625" style="93" customWidth="1"/>
    <col min="4355" max="4355" width="27.8515625" style="93" bestFit="1" customWidth="1"/>
    <col min="4356" max="4356" width="24.28125" style="93" bestFit="1" customWidth="1"/>
    <col min="4357" max="4357" width="20.140625" style="93" bestFit="1" customWidth="1"/>
    <col min="4358" max="4358" width="14.57421875" style="93" customWidth="1"/>
    <col min="4359" max="4359" width="10.28125" style="93" customWidth="1"/>
    <col min="4360" max="4608" width="11.421875" style="93" customWidth="1"/>
    <col min="4609" max="4609" width="24.28125" style="93" bestFit="1" customWidth="1"/>
    <col min="4610" max="4610" width="24.140625" style="93" customWidth="1"/>
    <col min="4611" max="4611" width="27.8515625" style="93" bestFit="1" customWidth="1"/>
    <col min="4612" max="4612" width="24.28125" style="93" bestFit="1" customWidth="1"/>
    <col min="4613" max="4613" width="20.140625" style="93" bestFit="1" customWidth="1"/>
    <col min="4614" max="4614" width="14.57421875" style="93" customWidth="1"/>
    <col min="4615" max="4615" width="10.28125" style="93" customWidth="1"/>
    <col min="4616" max="4864" width="11.421875" style="93" customWidth="1"/>
    <col min="4865" max="4865" width="24.28125" style="93" bestFit="1" customWidth="1"/>
    <col min="4866" max="4866" width="24.140625" style="93" customWidth="1"/>
    <col min="4867" max="4867" width="27.8515625" style="93" bestFit="1" customWidth="1"/>
    <col min="4868" max="4868" width="24.28125" style="93" bestFit="1" customWidth="1"/>
    <col min="4869" max="4869" width="20.140625" style="93" bestFit="1" customWidth="1"/>
    <col min="4870" max="4870" width="14.57421875" style="93" customWidth="1"/>
    <col min="4871" max="4871" width="10.28125" style="93" customWidth="1"/>
    <col min="4872" max="5120" width="11.421875" style="93" customWidth="1"/>
    <col min="5121" max="5121" width="24.28125" style="93" bestFit="1" customWidth="1"/>
    <col min="5122" max="5122" width="24.140625" style="93" customWidth="1"/>
    <col min="5123" max="5123" width="27.8515625" style="93" bestFit="1" customWidth="1"/>
    <col min="5124" max="5124" width="24.28125" style="93" bestFit="1" customWidth="1"/>
    <col min="5125" max="5125" width="20.140625" style="93" bestFit="1" customWidth="1"/>
    <col min="5126" max="5126" width="14.57421875" style="93" customWidth="1"/>
    <col min="5127" max="5127" width="10.28125" style="93" customWidth="1"/>
    <col min="5128" max="5376" width="11.421875" style="93" customWidth="1"/>
    <col min="5377" max="5377" width="24.28125" style="93" bestFit="1" customWidth="1"/>
    <col min="5378" max="5378" width="24.140625" style="93" customWidth="1"/>
    <col min="5379" max="5379" width="27.8515625" style="93" bestFit="1" customWidth="1"/>
    <col min="5380" max="5380" width="24.28125" style="93" bestFit="1" customWidth="1"/>
    <col min="5381" max="5381" width="20.140625" style="93" bestFit="1" customWidth="1"/>
    <col min="5382" max="5382" width="14.57421875" style="93" customWidth="1"/>
    <col min="5383" max="5383" width="10.28125" style="93" customWidth="1"/>
    <col min="5384" max="5632" width="11.421875" style="93" customWidth="1"/>
    <col min="5633" max="5633" width="24.28125" style="93" bestFit="1" customWidth="1"/>
    <col min="5634" max="5634" width="24.140625" style="93" customWidth="1"/>
    <col min="5635" max="5635" width="27.8515625" style="93" bestFit="1" customWidth="1"/>
    <col min="5636" max="5636" width="24.28125" style="93" bestFit="1" customWidth="1"/>
    <col min="5637" max="5637" width="20.140625" style="93" bestFit="1" customWidth="1"/>
    <col min="5638" max="5638" width="14.57421875" style="93" customWidth="1"/>
    <col min="5639" max="5639" width="10.28125" style="93" customWidth="1"/>
    <col min="5640" max="5888" width="11.421875" style="93" customWidth="1"/>
    <col min="5889" max="5889" width="24.28125" style="93" bestFit="1" customWidth="1"/>
    <col min="5890" max="5890" width="24.140625" style="93" customWidth="1"/>
    <col min="5891" max="5891" width="27.8515625" style="93" bestFit="1" customWidth="1"/>
    <col min="5892" max="5892" width="24.28125" style="93" bestFit="1" customWidth="1"/>
    <col min="5893" max="5893" width="20.140625" style="93" bestFit="1" customWidth="1"/>
    <col min="5894" max="5894" width="14.57421875" style="93" customWidth="1"/>
    <col min="5895" max="5895" width="10.28125" style="93" customWidth="1"/>
    <col min="5896" max="6144" width="11.421875" style="93" customWidth="1"/>
    <col min="6145" max="6145" width="24.28125" style="93" bestFit="1" customWidth="1"/>
    <col min="6146" max="6146" width="24.140625" style="93" customWidth="1"/>
    <col min="6147" max="6147" width="27.8515625" style="93" bestFit="1" customWidth="1"/>
    <col min="6148" max="6148" width="24.28125" style="93" bestFit="1" customWidth="1"/>
    <col min="6149" max="6149" width="20.140625" style="93" bestFit="1" customWidth="1"/>
    <col min="6150" max="6150" width="14.57421875" style="93" customWidth="1"/>
    <col min="6151" max="6151" width="10.28125" style="93" customWidth="1"/>
    <col min="6152" max="6400" width="11.421875" style="93" customWidth="1"/>
    <col min="6401" max="6401" width="24.28125" style="93" bestFit="1" customWidth="1"/>
    <col min="6402" max="6402" width="24.140625" style="93" customWidth="1"/>
    <col min="6403" max="6403" width="27.8515625" style="93" bestFit="1" customWidth="1"/>
    <col min="6404" max="6404" width="24.28125" style="93" bestFit="1" customWidth="1"/>
    <col min="6405" max="6405" width="20.140625" style="93" bestFit="1" customWidth="1"/>
    <col min="6406" max="6406" width="14.57421875" style="93" customWidth="1"/>
    <col min="6407" max="6407" width="10.28125" style="93" customWidth="1"/>
    <col min="6408" max="6656" width="11.421875" style="93" customWidth="1"/>
    <col min="6657" max="6657" width="24.28125" style="93" bestFit="1" customWidth="1"/>
    <col min="6658" max="6658" width="24.140625" style="93" customWidth="1"/>
    <col min="6659" max="6659" width="27.8515625" style="93" bestFit="1" customWidth="1"/>
    <col min="6660" max="6660" width="24.28125" style="93" bestFit="1" customWidth="1"/>
    <col min="6661" max="6661" width="20.140625" style="93" bestFit="1" customWidth="1"/>
    <col min="6662" max="6662" width="14.57421875" style="93" customWidth="1"/>
    <col min="6663" max="6663" width="10.28125" style="93" customWidth="1"/>
    <col min="6664" max="6912" width="11.421875" style="93" customWidth="1"/>
    <col min="6913" max="6913" width="24.28125" style="93" bestFit="1" customWidth="1"/>
    <col min="6914" max="6914" width="24.140625" style="93" customWidth="1"/>
    <col min="6915" max="6915" width="27.8515625" style="93" bestFit="1" customWidth="1"/>
    <col min="6916" max="6916" width="24.28125" style="93" bestFit="1" customWidth="1"/>
    <col min="6917" max="6917" width="20.140625" style="93" bestFit="1" customWidth="1"/>
    <col min="6918" max="6918" width="14.57421875" style="93" customWidth="1"/>
    <col min="6919" max="6919" width="10.28125" style="93" customWidth="1"/>
    <col min="6920" max="7168" width="11.421875" style="93" customWidth="1"/>
    <col min="7169" max="7169" width="24.28125" style="93" bestFit="1" customWidth="1"/>
    <col min="7170" max="7170" width="24.140625" style="93" customWidth="1"/>
    <col min="7171" max="7171" width="27.8515625" style="93" bestFit="1" customWidth="1"/>
    <col min="7172" max="7172" width="24.28125" style="93" bestFit="1" customWidth="1"/>
    <col min="7173" max="7173" width="20.140625" style="93" bestFit="1" customWidth="1"/>
    <col min="7174" max="7174" width="14.57421875" style="93" customWidth="1"/>
    <col min="7175" max="7175" width="10.28125" style="93" customWidth="1"/>
    <col min="7176" max="7424" width="11.421875" style="93" customWidth="1"/>
    <col min="7425" max="7425" width="24.28125" style="93" bestFit="1" customWidth="1"/>
    <col min="7426" max="7426" width="24.140625" style="93" customWidth="1"/>
    <col min="7427" max="7427" width="27.8515625" style="93" bestFit="1" customWidth="1"/>
    <col min="7428" max="7428" width="24.28125" style="93" bestFit="1" customWidth="1"/>
    <col min="7429" max="7429" width="20.140625" style="93" bestFit="1" customWidth="1"/>
    <col min="7430" max="7430" width="14.57421875" style="93" customWidth="1"/>
    <col min="7431" max="7431" width="10.28125" style="93" customWidth="1"/>
    <col min="7432" max="7680" width="11.421875" style="93" customWidth="1"/>
    <col min="7681" max="7681" width="24.28125" style="93" bestFit="1" customWidth="1"/>
    <col min="7682" max="7682" width="24.140625" style="93" customWidth="1"/>
    <col min="7683" max="7683" width="27.8515625" style="93" bestFit="1" customWidth="1"/>
    <col min="7684" max="7684" width="24.28125" style="93" bestFit="1" customWidth="1"/>
    <col min="7685" max="7685" width="20.140625" style="93" bestFit="1" customWidth="1"/>
    <col min="7686" max="7686" width="14.57421875" style="93" customWidth="1"/>
    <col min="7687" max="7687" width="10.28125" style="93" customWidth="1"/>
    <col min="7688" max="7936" width="11.421875" style="93" customWidth="1"/>
    <col min="7937" max="7937" width="24.28125" style="93" bestFit="1" customWidth="1"/>
    <col min="7938" max="7938" width="24.140625" style="93" customWidth="1"/>
    <col min="7939" max="7939" width="27.8515625" style="93" bestFit="1" customWidth="1"/>
    <col min="7940" max="7940" width="24.28125" style="93" bestFit="1" customWidth="1"/>
    <col min="7941" max="7941" width="20.140625" style="93" bestFit="1" customWidth="1"/>
    <col min="7942" max="7942" width="14.57421875" style="93" customWidth="1"/>
    <col min="7943" max="7943" width="10.28125" style="93" customWidth="1"/>
    <col min="7944" max="8192" width="11.421875" style="93" customWidth="1"/>
    <col min="8193" max="8193" width="24.28125" style="93" bestFit="1" customWidth="1"/>
    <col min="8194" max="8194" width="24.140625" style="93" customWidth="1"/>
    <col min="8195" max="8195" width="27.8515625" style="93" bestFit="1" customWidth="1"/>
    <col min="8196" max="8196" width="24.28125" style="93" bestFit="1" customWidth="1"/>
    <col min="8197" max="8197" width="20.140625" style="93" bestFit="1" customWidth="1"/>
    <col min="8198" max="8198" width="14.57421875" style="93" customWidth="1"/>
    <col min="8199" max="8199" width="10.28125" style="93" customWidth="1"/>
    <col min="8200" max="8448" width="11.421875" style="93" customWidth="1"/>
    <col min="8449" max="8449" width="24.28125" style="93" bestFit="1" customWidth="1"/>
    <col min="8450" max="8450" width="24.140625" style="93" customWidth="1"/>
    <col min="8451" max="8451" width="27.8515625" style="93" bestFit="1" customWidth="1"/>
    <col min="8452" max="8452" width="24.28125" style="93" bestFit="1" customWidth="1"/>
    <col min="8453" max="8453" width="20.140625" style="93" bestFit="1" customWidth="1"/>
    <col min="8454" max="8454" width="14.57421875" style="93" customWidth="1"/>
    <col min="8455" max="8455" width="10.28125" style="93" customWidth="1"/>
    <col min="8456" max="8704" width="11.421875" style="93" customWidth="1"/>
    <col min="8705" max="8705" width="24.28125" style="93" bestFit="1" customWidth="1"/>
    <col min="8706" max="8706" width="24.140625" style="93" customWidth="1"/>
    <col min="8707" max="8707" width="27.8515625" style="93" bestFit="1" customWidth="1"/>
    <col min="8708" max="8708" width="24.28125" style="93" bestFit="1" customWidth="1"/>
    <col min="8709" max="8709" width="20.140625" style="93" bestFit="1" customWidth="1"/>
    <col min="8710" max="8710" width="14.57421875" style="93" customWidth="1"/>
    <col min="8711" max="8711" width="10.28125" style="93" customWidth="1"/>
    <col min="8712" max="8960" width="11.421875" style="93" customWidth="1"/>
    <col min="8961" max="8961" width="24.28125" style="93" bestFit="1" customWidth="1"/>
    <col min="8962" max="8962" width="24.140625" style="93" customWidth="1"/>
    <col min="8963" max="8963" width="27.8515625" style="93" bestFit="1" customWidth="1"/>
    <col min="8964" max="8964" width="24.28125" style="93" bestFit="1" customWidth="1"/>
    <col min="8965" max="8965" width="20.140625" style="93" bestFit="1" customWidth="1"/>
    <col min="8966" max="8966" width="14.57421875" style="93" customWidth="1"/>
    <col min="8967" max="8967" width="10.28125" style="93" customWidth="1"/>
    <col min="8968" max="9216" width="11.421875" style="93" customWidth="1"/>
    <col min="9217" max="9217" width="24.28125" style="93" bestFit="1" customWidth="1"/>
    <col min="9218" max="9218" width="24.140625" style="93" customWidth="1"/>
    <col min="9219" max="9219" width="27.8515625" style="93" bestFit="1" customWidth="1"/>
    <col min="9220" max="9220" width="24.28125" style="93" bestFit="1" customWidth="1"/>
    <col min="9221" max="9221" width="20.140625" style="93" bestFit="1" customWidth="1"/>
    <col min="9222" max="9222" width="14.57421875" style="93" customWidth="1"/>
    <col min="9223" max="9223" width="10.28125" style="93" customWidth="1"/>
    <col min="9224" max="9472" width="11.421875" style="93" customWidth="1"/>
    <col min="9473" max="9473" width="24.28125" style="93" bestFit="1" customWidth="1"/>
    <col min="9474" max="9474" width="24.140625" style="93" customWidth="1"/>
    <col min="9475" max="9475" width="27.8515625" style="93" bestFit="1" customWidth="1"/>
    <col min="9476" max="9476" width="24.28125" style="93" bestFit="1" customWidth="1"/>
    <col min="9477" max="9477" width="20.140625" style="93" bestFit="1" customWidth="1"/>
    <col min="9478" max="9478" width="14.57421875" style="93" customWidth="1"/>
    <col min="9479" max="9479" width="10.28125" style="93" customWidth="1"/>
    <col min="9480" max="9728" width="11.421875" style="93" customWidth="1"/>
    <col min="9729" max="9729" width="24.28125" style="93" bestFit="1" customWidth="1"/>
    <col min="9730" max="9730" width="24.140625" style="93" customWidth="1"/>
    <col min="9731" max="9731" width="27.8515625" style="93" bestFit="1" customWidth="1"/>
    <col min="9732" max="9732" width="24.28125" style="93" bestFit="1" customWidth="1"/>
    <col min="9733" max="9733" width="20.140625" style="93" bestFit="1" customWidth="1"/>
    <col min="9734" max="9734" width="14.57421875" style="93" customWidth="1"/>
    <col min="9735" max="9735" width="10.28125" style="93" customWidth="1"/>
    <col min="9736" max="9984" width="11.421875" style="93" customWidth="1"/>
    <col min="9985" max="9985" width="24.28125" style="93" bestFit="1" customWidth="1"/>
    <col min="9986" max="9986" width="24.140625" style="93" customWidth="1"/>
    <col min="9987" max="9987" width="27.8515625" style="93" bestFit="1" customWidth="1"/>
    <col min="9988" max="9988" width="24.28125" style="93" bestFit="1" customWidth="1"/>
    <col min="9989" max="9989" width="20.140625" style="93" bestFit="1" customWidth="1"/>
    <col min="9990" max="9990" width="14.57421875" style="93" customWidth="1"/>
    <col min="9991" max="9991" width="10.28125" style="93" customWidth="1"/>
    <col min="9992" max="10240" width="11.421875" style="93" customWidth="1"/>
    <col min="10241" max="10241" width="24.28125" style="93" bestFit="1" customWidth="1"/>
    <col min="10242" max="10242" width="24.140625" style="93" customWidth="1"/>
    <col min="10243" max="10243" width="27.8515625" style="93" bestFit="1" customWidth="1"/>
    <col min="10244" max="10244" width="24.28125" style="93" bestFit="1" customWidth="1"/>
    <col min="10245" max="10245" width="20.140625" style="93" bestFit="1" customWidth="1"/>
    <col min="10246" max="10246" width="14.57421875" style="93" customWidth="1"/>
    <col min="10247" max="10247" width="10.28125" style="93" customWidth="1"/>
    <col min="10248" max="10496" width="11.421875" style="93" customWidth="1"/>
    <col min="10497" max="10497" width="24.28125" style="93" bestFit="1" customWidth="1"/>
    <col min="10498" max="10498" width="24.140625" style="93" customWidth="1"/>
    <col min="10499" max="10499" width="27.8515625" style="93" bestFit="1" customWidth="1"/>
    <col min="10500" max="10500" width="24.28125" style="93" bestFit="1" customWidth="1"/>
    <col min="10501" max="10501" width="20.140625" style="93" bestFit="1" customWidth="1"/>
    <col min="10502" max="10502" width="14.57421875" style="93" customWidth="1"/>
    <col min="10503" max="10503" width="10.28125" style="93" customWidth="1"/>
    <col min="10504" max="10752" width="11.421875" style="93" customWidth="1"/>
    <col min="10753" max="10753" width="24.28125" style="93" bestFit="1" customWidth="1"/>
    <col min="10754" max="10754" width="24.140625" style="93" customWidth="1"/>
    <col min="10755" max="10755" width="27.8515625" style="93" bestFit="1" customWidth="1"/>
    <col min="10756" max="10756" width="24.28125" style="93" bestFit="1" customWidth="1"/>
    <col min="10757" max="10757" width="20.140625" style="93" bestFit="1" customWidth="1"/>
    <col min="10758" max="10758" width="14.57421875" style="93" customWidth="1"/>
    <col min="10759" max="10759" width="10.28125" style="93" customWidth="1"/>
    <col min="10760" max="11008" width="11.421875" style="93" customWidth="1"/>
    <col min="11009" max="11009" width="24.28125" style="93" bestFit="1" customWidth="1"/>
    <col min="11010" max="11010" width="24.140625" style="93" customWidth="1"/>
    <col min="11011" max="11011" width="27.8515625" style="93" bestFit="1" customWidth="1"/>
    <col min="11012" max="11012" width="24.28125" style="93" bestFit="1" customWidth="1"/>
    <col min="11013" max="11013" width="20.140625" style="93" bestFit="1" customWidth="1"/>
    <col min="11014" max="11014" width="14.57421875" style="93" customWidth="1"/>
    <col min="11015" max="11015" width="10.28125" style="93" customWidth="1"/>
    <col min="11016" max="11264" width="11.421875" style="93" customWidth="1"/>
    <col min="11265" max="11265" width="24.28125" style="93" bestFit="1" customWidth="1"/>
    <col min="11266" max="11266" width="24.140625" style="93" customWidth="1"/>
    <col min="11267" max="11267" width="27.8515625" style="93" bestFit="1" customWidth="1"/>
    <col min="11268" max="11268" width="24.28125" style="93" bestFit="1" customWidth="1"/>
    <col min="11269" max="11269" width="20.140625" style="93" bestFit="1" customWidth="1"/>
    <col min="11270" max="11270" width="14.57421875" style="93" customWidth="1"/>
    <col min="11271" max="11271" width="10.28125" style="93" customWidth="1"/>
    <col min="11272" max="11520" width="11.421875" style="93" customWidth="1"/>
    <col min="11521" max="11521" width="24.28125" style="93" bestFit="1" customWidth="1"/>
    <col min="11522" max="11522" width="24.140625" style="93" customWidth="1"/>
    <col min="11523" max="11523" width="27.8515625" style="93" bestFit="1" customWidth="1"/>
    <col min="11524" max="11524" width="24.28125" style="93" bestFit="1" customWidth="1"/>
    <col min="11525" max="11525" width="20.140625" style="93" bestFit="1" customWidth="1"/>
    <col min="11526" max="11526" width="14.57421875" style="93" customWidth="1"/>
    <col min="11527" max="11527" width="10.28125" style="93" customWidth="1"/>
    <col min="11528" max="11776" width="11.421875" style="93" customWidth="1"/>
    <col min="11777" max="11777" width="24.28125" style="93" bestFit="1" customWidth="1"/>
    <col min="11778" max="11778" width="24.140625" style="93" customWidth="1"/>
    <col min="11779" max="11779" width="27.8515625" style="93" bestFit="1" customWidth="1"/>
    <col min="11780" max="11780" width="24.28125" style="93" bestFit="1" customWidth="1"/>
    <col min="11781" max="11781" width="20.140625" style="93" bestFit="1" customWidth="1"/>
    <col min="11782" max="11782" width="14.57421875" style="93" customWidth="1"/>
    <col min="11783" max="11783" width="10.28125" style="93" customWidth="1"/>
    <col min="11784" max="12032" width="11.421875" style="93" customWidth="1"/>
    <col min="12033" max="12033" width="24.28125" style="93" bestFit="1" customWidth="1"/>
    <col min="12034" max="12034" width="24.140625" style="93" customWidth="1"/>
    <col min="12035" max="12035" width="27.8515625" style="93" bestFit="1" customWidth="1"/>
    <col min="12036" max="12036" width="24.28125" style="93" bestFit="1" customWidth="1"/>
    <col min="12037" max="12037" width="20.140625" style="93" bestFit="1" customWidth="1"/>
    <col min="12038" max="12038" width="14.57421875" style="93" customWidth="1"/>
    <col min="12039" max="12039" width="10.28125" style="93" customWidth="1"/>
    <col min="12040" max="12288" width="11.421875" style="93" customWidth="1"/>
    <col min="12289" max="12289" width="24.28125" style="93" bestFit="1" customWidth="1"/>
    <col min="12290" max="12290" width="24.140625" style="93" customWidth="1"/>
    <col min="12291" max="12291" width="27.8515625" style="93" bestFit="1" customWidth="1"/>
    <col min="12292" max="12292" width="24.28125" style="93" bestFit="1" customWidth="1"/>
    <col min="12293" max="12293" width="20.140625" style="93" bestFit="1" customWidth="1"/>
    <col min="12294" max="12294" width="14.57421875" style="93" customWidth="1"/>
    <col min="12295" max="12295" width="10.28125" style="93" customWidth="1"/>
    <col min="12296" max="12544" width="11.421875" style="93" customWidth="1"/>
    <col min="12545" max="12545" width="24.28125" style="93" bestFit="1" customWidth="1"/>
    <col min="12546" max="12546" width="24.140625" style="93" customWidth="1"/>
    <col min="12547" max="12547" width="27.8515625" style="93" bestFit="1" customWidth="1"/>
    <col min="12548" max="12548" width="24.28125" style="93" bestFit="1" customWidth="1"/>
    <col min="12549" max="12549" width="20.140625" style="93" bestFit="1" customWidth="1"/>
    <col min="12550" max="12550" width="14.57421875" style="93" customWidth="1"/>
    <col min="12551" max="12551" width="10.28125" style="93" customWidth="1"/>
    <col min="12552" max="12800" width="11.421875" style="93" customWidth="1"/>
    <col min="12801" max="12801" width="24.28125" style="93" bestFit="1" customWidth="1"/>
    <col min="12802" max="12802" width="24.140625" style="93" customWidth="1"/>
    <col min="12803" max="12803" width="27.8515625" style="93" bestFit="1" customWidth="1"/>
    <col min="12804" max="12804" width="24.28125" style="93" bestFit="1" customWidth="1"/>
    <col min="12805" max="12805" width="20.140625" style="93" bestFit="1" customWidth="1"/>
    <col min="12806" max="12806" width="14.57421875" style="93" customWidth="1"/>
    <col min="12807" max="12807" width="10.28125" style="93" customWidth="1"/>
    <col min="12808" max="13056" width="11.421875" style="93" customWidth="1"/>
    <col min="13057" max="13057" width="24.28125" style="93" bestFit="1" customWidth="1"/>
    <col min="13058" max="13058" width="24.140625" style="93" customWidth="1"/>
    <col min="13059" max="13059" width="27.8515625" style="93" bestFit="1" customWidth="1"/>
    <col min="13060" max="13060" width="24.28125" style="93" bestFit="1" customWidth="1"/>
    <col min="13061" max="13061" width="20.140625" style="93" bestFit="1" customWidth="1"/>
    <col min="13062" max="13062" width="14.57421875" style="93" customWidth="1"/>
    <col min="13063" max="13063" width="10.28125" style="93" customWidth="1"/>
    <col min="13064" max="13312" width="11.421875" style="93" customWidth="1"/>
    <col min="13313" max="13313" width="24.28125" style="93" bestFit="1" customWidth="1"/>
    <col min="13314" max="13314" width="24.140625" style="93" customWidth="1"/>
    <col min="13315" max="13315" width="27.8515625" style="93" bestFit="1" customWidth="1"/>
    <col min="13316" max="13316" width="24.28125" style="93" bestFit="1" customWidth="1"/>
    <col min="13317" max="13317" width="20.140625" style="93" bestFit="1" customWidth="1"/>
    <col min="13318" max="13318" width="14.57421875" style="93" customWidth="1"/>
    <col min="13319" max="13319" width="10.28125" style="93" customWidth="1"/>
    <col min="13320" max="13568" width="11.421875" style="93" customWidth="1"/>
    <col min="13569" max="13569" width="24.28125" style="93" bestFit="1" customWidth="1"/>
    <col min="13570" max="13570" width="24.140625" style="93" customWidth="1"/>
    <col min="13571" max="13571" width="27.8515625" style="93" bestFit="1" customWidth="1"/>
    <col min="13572" max="13572" width="24.28125" style="93" bestFit="1" customWidth="1"/>
    <col min="13573" max="13573" width="20.140625" style="93" bestFit="1" customWidth="1"/>
    <col min="13574" max="13574" width="14.57421875" style="93" customWidth="1"/>
    <col min="13575" max="13575" width="10.28125" style="93" customWidth="1"/>
    <col min="13576" max="13824" width="11.421875" style="93" customWidth="1"/>
    <col min="13825" max="13825" width="24.28125" style="93" bestFit="1" customWidth="1"/>
    <col min="13826" max="13826" width="24.140625" style="93" customWidth="1"/>
    <col min="13827" max="13827" width="27.8515625" style="93" bestFit="1" customWidth="1"/>
    <col min="13828" max="13828" width="24.28125" style="93" bestFit="1" customWidth="1"/>
    <col min="13829" max="13829" width="20.140625" style="93" bestFit="1" customWidth="1"/>
    <col min="13830" max="13830" width="14.57421875" style="93" customWidth="1"/>
    <col min="13831" max="13831" width="10.28125" style="93" customWidth="1"/>
    <col min="13832" max="14080" width="11.421875" style="93" customWidth="1"/>
    <col min="14081" max="14081" width="24.28125" style="93" bestFit="1" customWidth="1"/>
    <col min="14082" max="14082" width="24.140625" style="93" customWidth="1"/>
    <col min="14083" max="14083" width="27.8515625" style="93" bestFit="1" customWidth="1"/>
    <col min="14084" max="14084" width="24.28125" style="93" bestFit="1" customWidth="1"/>
    <col min="14085" max="14085" width="20.140625" style="93" bestFit="1" customWidth="1"/>
    <col min="14086" max="14086" width="14.57421875" style="93" customWidth="1"/>
    <col min="14087" max="14087" width="10.28125" style="93" customWidth="1"/>
    <col min="14088" max="14336" width="11.421875" style="93" customWidth="1"/>
    <col min="14337" max="14337" width="24.28125" style="93" bestFit="1" customWidth="1"/>
    <col min="14338" max="14338" width="24.140625" style="93" customWidth="1"/>
    <col min="14339" max="14339" width="27.8515625" style="93" bestFit="1" customWidth="1"/>
    <col min="14340" max="14340" width="24.28125" style="93" bestFit="1" customWidth="1"/>
    <col min="14341" max="14341" width="20.140625" style="93" bestFit="1" customWidth="1"/>
    <col min="14342" max="14342" width="14.57421875" style="93" customWidth="1"/>
    <col min="14343" max="14343" width="10.28125" style="93" customWidth="1"/>
    <col min="14344" max="14592" width="11.421875" style="93" customWidth="1"/>
    <col min="14593" max="14593" width="24.28125" style="93" bestFit="1" customWidth="1"/>
    <col min="14594" max="14594" width="24.140625" style="93" customWidth="1"/>
    <col min="14595" max="14595" width="27.8515625" style="93" bestFit="1" customWidth="1"/>
    <col min="14596" max="14596" width="24.28125" style="93" bestFit="1" customWidth="1"/>
    <col min="14597" max="14597" width="20.140625" style="93" bestFit="1" customWidth="1"/>
    <col min="14598" max="14598" width="14.57421875" style="93" customWidth="1"/>
    <col min="14599" max="14599" width="10.28125" style="93" customWidth="1"/>
    <col min="14600" max="14848" width="11.421875" style="93" customWidth="1"/>
    <col min="14849" max="14849" width="24.28125" style="93" bestFit="1" customWidth="1"/>
    <col min="14850" max="14850" width="24.140625" style="93" customWidth="1"/>
    <col min="14851" max="14851" width="27.8515625" style="93" bestFit="1" customWidth="1"/>
    <col min="14852" max="14852" width="24.28125" style="93" bestFit="1" customWidth="1"/>
    <col min="14853" max="14853" width="20.140625" style="93" bestFit="1" customWidth="1"/>
    <col min="14854" max="14854" width="14.57421875" style="93" customWidth="1"/>
    <col min="14855" max="14855" width="10.28125" style="93" customWidth="1"/>
    <col min="14856" max="15104" width="11.421875" style="93" customWidth="1"/>
    <col min="15105" max="15105" width="24.28125" style="93" bestFit="1" customWidth="1"/>
    <col min="15106" max="15106" width="24.140625" style="93" customWidth="1"/>
    <col min="15107" max="15107" width="27.8515625" style="93" bestFit="1" customWidth="1"/>
    <col min="15108" max="15108" width="24.28125" style="93" bestFit="1" customWidth="1"/>
    <col min="15109" max="15109" width="20.140625" style="93" bestFit="1" customWidth="1"/>
    <col min="15110" max="15110" width="14.57421875" style="93" customWidth="1"/>
    <col min="15111" max="15111" width="10.28125" style="93" customWidth="1"/>
    <col min="15112" max="15360" width="11.421875" style="93" customWidth="1"/>
    <col min="15361" max="15361" width="24.28125" style="93" bestFit="1" customWidth="1"/>
    <col min="15362" max="15362" width="24.140625" style="93" customWidth="1"/>
    <col min="15363" max="15363" width="27.8515625" style="93" bestFit="1" customWidth="1"/>
    <col min="15364" max="15364" width="24.28125" style="93" bestFit="1" customWidth="1"/>
    <col min="15365" max="15365" width="20.140625" style="93" bestFit="1" customWidth="1"/>
    <col min="15366" max="15366" width="14.57421875" style="93" customWidth="1"/>
    <col min="15367" max="15367" width="10.28125" style="93" customWidth="1"/>
    <col min="15368" max="15616" width="11.421875" style="93" customWidth="1"/>
    <col min="15617" max="15617" width="24.28125" style="93" bestFit="1" customWidth="1"/>
    <col min="15618" max="15618" width="24.140625" style="93" customWidth="1"/>
    <col min="15619" max="15619" width="27.8515625" style="93" bestFit="1" customWidth="1"/>
    <col min="15620" max="15620" width="24.28125" style="93" bestFit="1" customWidth="1"/>
    <col min="15621" max="15621" width="20.140625" style="93" bestFit="1" customWidth="1"/>
    <col min="15622" max="15622" width="14.57421875" style="93" customWidth="1"/>
    <col min="15623" max="15623" width="10.28125" style="93" customWidth="1"/>
    <col min="15624" max="15872" width="11.421875" style="93" customWidth="1"/>
    <col min="15873" max="15873" width="24.28125" style="93" bestFit="1" customWidth="1"/>
    <col min="15874" max="15874" width="24.140625" style="93" customWidth="1"/>
    <col min="15875" max="15875" width="27.8515625" style="93" bestFit="1" customWidth="1"/>
    <col min="15876" max="15876" width="24.28125" style="93" bestFit="1" customWidth="1"/>
    <col min="15877" max="15877" width="20.140625" style="93" bestFit="1" customWidth="1"/>
    <col min="15878" max="15878" width="14.57421875" style="93" customWidth="1"/>
    <col min="15879" max="15879" width="10.28125" style="93" customWidth="1"/>
    <col min="15880" max="16128" width="11.421875" style="93" customWidth="1"/>
    <col min="16129" max="16129" width="24.28125" style="93" bestFit="1" customWidth="1"/>
    <col min="16130" max="16130" width="24.140625" style="93" customWidth="1"/>
    <col min="16131" max="16131" width="27.8515625" style="93" bestFit="1" customWidth="1"/>
    <col min="16132" max="16132" width="24.28125" style="93" bestFit="1" customWidth="1"/>
    <col min="16133" max="16133" width="20.140625" style="93" bestFit="1" customWidth="1"/>
    <col min="16134" max="16134" width="14.57421875" style="93" customWidth="1"/>
    <col min="16135" max="16135" width="10.28125" style="93" customWidth="1"/>
    <col min="16136" max="16384" width="11.421875" style="93" customWidth="1"/>
  </cols>
  <sheetData>
    <row r="1" spans="1:4" ht="12.75">
      <c r="A1" s="92"/>
      <c r="B1" s="92"/>
      <c r="C1" s="92"/>
      <c r="D1" s="92"/>
    </row>
    <row r="2" spans="1:4" ht="12.75">
      <c r="A2" s="94" t="s">
        <v>117</v>
      </c>
      <c r="B2" s="94"/>
      <c r="C2" s="95"/>
      <c r="D2" s="95"/>
    </row>
    <row r="3" spans="1:4" ht="13.5" thickBot="1">
      <c r="A3" s="96"/>
      <c r="B3" s="96"/>
      <c r="C3" s="96"/>
      <c r="D3" s="96"/>
    </row>
    <row r="4" spans="1:6" ht="13.5" thickBot="1">
      <c r="A4" s="97" t="s">
        <v>118</v>
      </c>
      <c r="B4" s="98" t="s">
        <v>119</v>
      </c>
      <c r="C4" s="99" t="s">
        <v>120</v>
      </c>
      <c r="D4" s="99" t="s">
        <v>121</v>
      </c>
      <c r="E4" s="99" t="s">
        <v>122</v>
      </c>
      <c r="F4" s="99" t="s">
        <v>120</v>
      </c>
    </row>
    <row r="5" spans="1:6" ht="12.75">
      <c r="A5" s="100" t="s">
        <v>123</v>
      </c>
      <c r="B5" s="100" t="s">
        <v>124</v>
      </c>
      <c r="C5" s="101">
        <f>3+23+27+28</f>
        <v>81</v>
      </c>
      <c r="D5" s="102">
        <v>3</v>
      </c>
      <c r="E5" s="103">
        <v>28</v>
      </c>
      <c r="F5" s="104">
        <f>SUM(D5,E5)</f>
        <v>31</v>
      </c>
    </row>
    <row r="6" spans="1:6" ht="12.75">
      <c r="A6" s="105" t="s">
        <v>125</v>
      </c>
      <c r="B6" s="105" t="s">
        <v>124</v>
      </c>
      <c r="C6" s="106">
        <f>1+1+8</f>
        <v>10</v>
      </c>
      <c r="D6" s="107">
        <v>1</v>
      </c>
      <c r="E6" s="103"/>
      <c r="F6" s="104">
        <f>SUM(D6,E6)</f>
        <v>1</v>
      </c>
    </row>
    <row r="7" spans="1:6" ht="13.5" thickBot="1">
      <c r="A7" s="105" t="s">
        <v>126</v>
      </c>
      <c r="B7" s="108" t="s">
        <v>124</v>
      </c>
      <c r="C7" s="109">
        <f>5+25</f>
        <v>30</v>
      </c>
      <c r="D7" s="110">
        <v>5</v>
      </c>
      <c r="E7" s="103"/>
      <c r="F7" s="104">
        <f>SUM(D7,E7)</f>
        <v>5</v>
      </c>
    </row>
    <row r="8" spans="1:6" ht="13.5" thickBot="1">
      <c r="A8" s="111" t="s">
        <v>32</v>
      </c>
      <c r="B8" s="112"/>
      <c r="C8" s="113">
        <f>SUM(C5:C7)</f>
        <v>121</v>
      </c>
      <c r="D8" s="114">
        <f>SUM(D5:D7)</f>
        <v>9</v>
      </c>
      <c r="E8" s="115">
        <f>SUM(E5:E7)</f>
        <v>28</v>
      </c>
      <c r="F8" s="114">
        <f>SUM(F5:F7)</f>
        <v>37</v>
      </c>
    </row>
    <row r="12" spans="1:4" ht="12.75">
      <c r="A12" s="116" t="s">
        <v>127</v>
      </c>
      <c r="B12" s="116"/>
      <c r="C12" s="117"/>
      <c r="D12" s="117"/>
    </row>
    <row r="13" ht="13.5" thickBot="1"/>
    <row r="14" spans="1:4" ht="13.5" thickBot="1">
      <c r="A14" s="118" t="s">
        <v>128</v>
      </c>
      <c r="B14" s="99" t="s">
        <v>121</v>
      </c>
      <c r="C14" s="99" t="s">
        <v>122</v>
      </c>
      <c r="D14" s="119" t="s">
        <v>129</v>
      </c>
    </row>
    <row r="15" spans="1:4" ht="13.5" thickBot="1">
      <c r="A15" s="118" t="s">
        <v>130</v>
      </c>
      <c r="B15" s="120">
        <f>SUM(D5:D7)</f>
        <v>9</v>
      </c>
      <c r="C15" s="120">
        <f>SUM(E5,E6,E7)</f>
        <v>28</v>
      </c>
      <c r="D15" s="121"/>
    </row>
    <row r="16" spans="1:4" ht="13.5" thickBot="1">
      <c r="A16" s="118" t="s">
        <v>131</v>
      </c>
      <c r="B16" s="122">
        <f>134.2*2*288</f>
        <v>77299.2</v>
      </c>
      <c r="C16" s="122">
        <f>257.8*2*365</f>
        <v>188194</v>
      </c>
      <c r="D16" s="123"/>
    </row>
    <row r="17" spans="1:4" ht="13.5" thickBot="1">
      <c r="A17" s="124" t="s">
        <v>132</v>
      </c>
      <c r="B17" s="125">
        <v>182510</v>
      </c>
      <c r="C17" s="126">
        <v>102698</v>
      </c>
      <c r="D17" s="127">
        <v>2041403</v>
      </c>
    </row>
    <row r="19" ht="12.75">
      <c r="A19" s="128"/>
    </row>
    <row r="20" ht="13.5" thickBot="1"/>
    <row r="21" spans="1:9" ht="53.25" thickBot="1">
      <c r="A21" s="129" t="s">
        <v>33</v>
      </c>
      <c r="B21" s="130" t="s">
        <v>34</v>
      </c>
      <c r="C21" s="130" t="s">
        <v>35</v>
      </c>
      <c r="D21" s="130" t="s">
        <v>36</v>
      </c>
      <c r="E21" s="130" t="s">
        <v>133</v>
      </c>
      <c r="F21" s="130" t="s">
        <v>134</v>
      </c>
      <c r="G21" s="130" t="s">
        <v>39</v>
      </c>
      <c r="H21" s="130" t="s">
        <v>40</v>
      </c>
      <c r="I21" s="130" t="s">
        <v>41</v>
      </c>
    </row>
    <row r="22" spans="1:9" ht="13.5" thickBot="1">
      <c r="A22" s="131" t="s">
        <v>135</v>
      </c>
      <c r="B22" s="132">
        <v>33.6</v>
      </c>
      <c r="C22" s="133">
        <f>141.5/(131.5+B22)*1000</f>
        <v>857.0563294972744</v>
      </c>
      <c r="D22" s="134">
        <f>+(C22*3.7853)/1000000</f>
        <v>0.003244215324046033</v>
      </c>
      <c r="E22" s="135">
        <f>SUM(B17:D17)</f>
        <v>2326611</v>
      </c>
      <c r="F22" s="136">
        <f>D22*E22</f>
        <v>7548.027059294065</v>
      </c>
      <c r="G22" s="133">
        <f>F22/1000</f>
        <v>7.548027059294065</v>
      </c>
      <c r="H22" s="135">
        <v>43.33</v>
      </c>
      <c r="I22" s="135">
        <f>(G22*H22)</f>
        <v>327.0560124792118</v>
      </c>
    </row>
    <row r="24" ht="12.75">
      <c r="A24" s="5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 topLeftCell="A19">
      <selection activeCell="H26" sqref="H26"/>
    </sheetView>
  </sheetViews>
  <sheetFormatPr defaultColWidth="11.421875" defaultRowHeight="12.75"/>
  <cols>
    <col min="1" max="1" width="15.140625" style="93" customWidth="1"/>
    <col min="2" max="2" width="23.00390625" style="93" bestFit="1" customWidth="1"/>
    <col min="3" max="3" width="12.7109375" style="93" bestFit="1" customWidth="1"/>
    <col min="4" max="4" width="15.57421875" style="93" bestFit="1" customWidth="1"/>
    <col min="5" max="5" width="14.57421875" style="93" customWidth="1"/>
    <col min="6" max="6" width="12.7109375" style="93" customWidth="1"/>
    <col min="7" max="7" width="10.28125" style="93" customWidth="1"/>
    <col min="8" max="8" width="15.00390625" style="93" customWidth="1"/>
    <col min="9" max="256" width="11.421875" style="93" customWidth="1"/>
    <col min="257" max="257" width="15.140625" style="93" customWidth="1"/>
    <col min="258" max="258" width="23.00390625" style="93" bestFit="1" customWidth="1"/>
    <col min="259" max="259" width="12.7109375" style="93" bestFit="1" customWidth="1"/>
    <col min="260" max="260" width="15.57421875" style="93" bestFit="1" customWidth="1"/>
    <col min="261" max="261" width="14.57421875" style="93" customWidth="1"/>
    <col min="262" max="262" width="12.7109375" style="93" customWidth="1"/>
    <col min="263" max="263" width="10.28125" style="93" customWidth="1"/>
    <col min="264" max="264" width="15.00390625" style="93" customWidth="1"/>
    <col min="265" max="512" width="11.421875" style="93" customWidth="1"/>
    <col min="513" max="513" width="15.140625" style="93" customWidth="1"/>
    <col min="514" max="514" width="23.00390625" style="93" bestFit="1" customWidth="1"/>
    <col min="515" max="515" width="12.7109375" style="93" bestFit="1" customWidth="1"/>
    <col min="516" max="516" width="15.57421875" style="93" bestFit="1" customWidth="1"/>
    <col min="517" max="517" width="14.57421875" style="93" customWidth="1"/>
    <col min="518" max="518" width="12.7109375" style="93" customWidth="1"/>
    <col min="519" max="519" width="10.28125" style="93" customWidth="1"/>
    <col min="520" max="520" width="15.00390625" style="93" customWidth="1"/>
    <col min="521" max="768" width="11.421875" style="93" customWidth="1"/>
    <col min="769" max="769" width="15.140625" style="93" customWidth="1"/>
    <col min="770" max="770" width="23.00390625" style="93" bestFit="1" customWidth="1"/>
    <col min="771" max="771" width="12.7109375" style="93" bestFit="1" customWidth="1"/>
    <col min="772" max="772" width="15.57421875" style="93" bestFit="1" customWidth="1"/>
    <col min="773" max="773" width="14.57421875" style="93" customWidth="1"/>
    <col min="774" max="774" width="12.7109375" style="93" customWidth="1"/>
    <col min="775" max="775" width="10.28125" style="93" customWidth="1"/>
    <col min="776" max="776" width="15.00390625" style="93" customWidth="1"/>
    <col min="777" max="1024" width="11.421875" style="93" customWidth="1"/>
    <col min="1025" max="1025" width="15.140625" style="93" customWidth="1"/>
    <col min="1026" max="1026" width="23.00390625" style="93" bestFit="1" customWidth="1"/>
    <col min="1027" max="1027" width="12.7109375" style="93" bestFit="1" customWidth="1"/>
    <col min="1028" max="1028" width="15.57421875" style="93" bestFit="1" customWidth="1"/>
    <col min="1029" max="1029" width="14.57421875" style="93" customWidth="1"/>
    <col min="1030" max="1030" width="12.7109375" style="93" customWidth="1"/>
    <col min="1031" max="1031" width="10.28125" style="93" customWidth="1"/>
    <col min="1032" max="1032" width="15.00390625" style="93" customWidth="1"/>
    <col min="1033" max="1280" width="11.421875" style="93" customWidth="1"/>
    <col min="1281" max="1281" width="15.140625" style="93" customWidth="1"/>
    <col min="1282" max="1282" width="23.00390625" style="93" bestFit="1" customWidth="1"/>
    <col min="1283" max="1283" width="12.7109375" style="93" bestFit="1" customWidth="1"/>
    <col min="1284" max="1284" width="15.57421875" style="93" bestFit="1" customWidth="1"/>
    <col min="1285" max="1285" width="14.57421875" style="93" customWidth="1"/>
    <col min="1286" max="1286" width="12.7109375" style="93" customWidth="1"/>
    <col min="1287" max="1287" width="10.28125" style="93" customWidth="1"/>
    <col min="1288" max="1288" width="15.00390625" style="93" customWidth="1"/>
    <col min="1289" max="1536" width="11.421875" style="93" customWidth="1"/>
    <col min="1537" max="1537" width="15.140625" style="93" customWidth="1"/>
    <col min="1538" max="1538" width="23.00390625" style="93" bestFit="1" customWidth="1"/>
    <col min="1539" max="1539" width="12.7109375" style="93" bestFit="1" customWidth="1"/>
    <col min="1540" max="1540" width="15.57421875" style="93" bestFit="1" customWidth="1"/>
    <col min="1541" max="1541" width="14.57421875" style="93" customWidth="1"/>
    <col min="1542" max="1542" width="12.7109375" style="93" customWidth="1"/>
    <col min="1543" max="1543" width="10.28125" style="93" customWidth="1"/>
    <col min="1544" max="1544" width="15.00390625" style="93" customWidth="1"/>
    <col min="1545" max="1792" width="11.421875" style="93" customWidth="1"/>
    <col min="1793" max="1793" width="15.140625" style="93" customWidth="1"/>
    <col min="1794" max="1794" width="23.00390625" style="93" bestFit="1" customWidth="1"/>
    <col min="1795" max="1795" width="12.7109375" style="93" bestFit="1" customWidth="1"/>
    <col min="1796" max="1796" width="15.57421875" style="93" bestFit="1" customWidth="1"/>
    <col min="1797" max="1797" width="14.57421875" style="93" customWidth="1"/>
    <col min="1798" max="1798" width="12.7109375" style="93" customWidth="1"/>
    <col min="1799" max="1799" width="10.28125" style="93" customWidth="1"/>
    <col min="1800" max="1800" width="15.00390625" style="93" customWidth="1"/>
    <col min="1801" max="2048" width="11.421875" style="93" customWidth="1"/>
    <col min="2049" max="2049" width="15.140625" style="93" customWidth="1"/>
    <col min="2050" max="2050" width="23.00390625" style="93" bestFit="1" customWidth="1"/>
    <col min="2051" max="2051" width="12.7109375" style="93" bestFit="1" customWidth="1"/>
    <col min="2052" max="2052" width="15.57421875" style="93" bestFit="1" customWidth="1"/>
    <col min="2053" max="2053" width="14.57421875" style="93" customWidth="1"/>
    <col min="2054" max="2054" width="12.7109375" style="93" customWidth="1"/>
    <col min="2055" max="2055" width="10.28125" style="93" customWidth="1"/>
    <col min="2056" max="2056" width="15.00390625" style="93" customWidth="1"/>
    <col min="2057" max="2304" width="11.421875" style="93" customWidth="1"/>
    <col min="2305" max="2305" width="15.140625" style="93" customWidth="1"/>
    <col min="2306" max="2306" width="23.00390625" style="93" bestFit="1" customWidth="1"/>
    <col min="2307" max="2307" width="12.7109375" style="93" bestFit="1" customWidth="1"/>
    <col min="2308" max="2308" width="15.57421875" style="93" bestFit="1" customWidth="1"/>
    <col min="2309" max="2309" width="14.57421875" style="93" customWidth="1"/>
    <col min="2310" max="2310" width="12.7109375" style="93" customWidth="1"/>
    <col min="2311" max="2311" width="10.28125" style="93" customWidth="1"/>
    <col min="2312" max="2312" width="15.00390625" style="93" customWidth="1"/>
    <col min="2313" max="2560" width="11.421875" style="93" customWidth="1"/>
    <col min="2561" max="2561" width="15.140625" style="93" customWidth="1"/>
    <col min="2562" max="2562" width="23.00390625" style="93" bestFit="1" customWidth="1"/>
    <col min="2563" max="2563" width="12.7109375" style="93" bestFit="1" customWidth="1"/>
    <col min="2564" max="2564" width="15.57421875" style="93" bestFit="1" customWidth="1"/>
    <col min="2565" max="2565" width="14.57421875" style="93" customWidth="1"/>
    <col min="2566" max="2566" width="12.7109375" style="93" customWidth="1"/>
    <col min="2567" max="2567" width="10.28125" style="93" customWidth="1"/>
    <col min="2568" max="2568" width="15.00390625" style="93" customWidth="1"/>
    <col min="2569" max="2816" width="11.421875" style="93" customWidth="1"/>
    <col min="2817" max="2817" width="15.140625" style="93" customWidth="1"/>
    <col min="2818" max="2818" width="23.00390625" style="93" bestFit="1" customWidth="1"/>
    <col min="2819" max="2819" width="12.7109375" style="93" bestFit="1" customWidth="1"/>
    <col min="2820" max="2820" width="15.57421875" style="93" bestFit="1" customWidth="1"/>
    <col min="2821" max="2821" width="14.57421875" style="93" customWidth="1"/>
    <col min="2822" max="2822" width="12.7109375" style="93" customWidth="1"/>
    <col min="2823" max="2823" width="10.28125" style="93" customWidth="1"/>
    <col min="2824" max="2824" width="15.00390625" style="93" customWidth="1"/>
    <col min="2825" max="3072" width="11.421875" style="93" customWidth="1"/>
    <col min="3073" max="3073" width="15.140625" style="93" customWidth="1"/>
    <col min="3074" max="3074" width="23.00390625" style="93" bestFit="1" customWidth="1"/>
    <col min="3075" max="3075" width="12.7109375" style="93" bestFit="1" customWidth="1"/>
    <col min="3076" max="3076" width="15.57421875" style="93" bestFit="1" customWidth="1"/>
    <col min="3077" max="3077" width="14.57421875" style="93" customWidth="1"/>
    <col min="3078" max="3078" width="12.7109375" style="93" customWidth="1"/>
    <col min="3079" max="3079" width="10.28125" style="93" customWidth="1"/>
    <col min="3080" max="3080" width="15.00390625" style="93" customWidth="1"/>
    <col min="3081" max="3328" width="11.421875" style="93" customWidth="1"/>
    <col min="3329" max="3329" width="15.140625" style="93" customWidth="1"/>
    <col min="3330" max="3330" width="23.00390625" style="93" bestFit="1" customWidth="1"/>
    <col min="3331" max="3331" width="12.7109375" style="93" bestFit="1" customWidth="1"/>
    <col min="3332" max="3332" width="15.57421875" style="93" bestFit="1" customWidth="1"/>
    <col min="3333" max="3333" width="14.57421875" style="93" customWidth="1"/>
    <col min="3334" max="3334" width="12.7109375" style="93" customWidth="1"/>
    <col min="3335" max="3335" width="10.28125" style="93" customWidth="1"/>
    <col min="3336" max="3336" width="15.00390625" style="93" customWidth="1"/>
    <col min="3337" max="3584" width="11.421875" style="93" customWidth="1"/>
    <col min="3585" max="3585" width="15.140625" style="93" customWidth="1"/>
    <col min="3586" max="3586" width="23.00390625" style="93" bestFit="1" customWidth="1"/>
    <col min="3587" max="3587" width="12.7109375" style="93" bestFit="1" customWidth="1"/>
    <col min="3588" max="3588" width="15.57421875" style="93" bestFit="1" customWidth="1"/>
    <col min="3589" max="3589" width="14.57421875" style="93" customWidth="1"/>
    <col min="3590" max="3590" width="12.7109375" style="93" customWidth="1"/>
    <col min="3591" max="3591" width="10.28125" style="93" customWidth="1"/>
    <col min="3592" max="3592" width="15.00390625" style="93" customWidth="1"/>
    <col min="3593" max="3840" width="11.421875" style="93" customWidth="1"/>
    <col min="3841" max="3841" width="15.140625" style="93" customWidth="1"/>
    <col min="3842" max="3842" width="23.00390625" style="93" bestFit="1" customWidth="1"/>
    <col min="3843" max="3843" width="12.7109375" style="93" bestFit="1" customWidth="1"/>
    <col min="3844" max="3844" width="15.57421875" style="93" bestFit="1" customWidth="1"/>
    <col min="3845" max="3845" width="14.57421875" style="93" customWidth="1"/>
    <col min="3846" max="3846" width="12.7109375" style="93" customWidth="1"/>
    <col min="3847" max="3847" width="10.28125" style="93" customWidth="1"/>
    <col min="3848" max="3848" width="15.00390625" style="93" customWidth="1"/>
    <col min="3849" max="4096" width="11.421875" style="93" customWidth="1"/>
    <col min="4097" max="4097" width="15.140625" style="93" customWidth="1"/>
    <col min="4098" max="4098" width="23.00390625" style="93" bestFit="1" customWidth="1"/>
    <col min="4099" max="4099" width="12.7109375" style="93" bestFit="1" customWidth="1"/>
    <col min="4100" max="4100" width="15.57421875" style="93" bestFit="1" customWidth="1"/>
    <col min="4101" max="4101" width="14.57421875" style="93" customWidth="1"/>
    <col min="4102" max="4102" width="12.7109375" style="93" customWidth="1"/>
    <col min="4103" max="4103" width="10.28125" style="93" customWidth="1"/>
    <col min="4104" max="4104" width="15.00390625" style="93" customWidth="1"/>
    <col min="4105" max="4352" width="11.421875" style="93" customWidth="1"/>
    <col min="4353" max="4353" width="15.140625" style="93" customWidth="1"/>
    <col min="4354" max="4354" width="23.00390625" style="93" bestFit="1" customWidth="1"/>
    <col min="4355" max="4355" width="12.7109375" style="93" bestFit="1" customWidth="1"/>
    <col min="4356" max="4356" width="15.57421875" style="93" bestFit="1" customWidth="1"/>
    <col min="4357" max="4357" width="14.57421875" style="93" customWidth="1"/>
    <col min="4358" max="4358" width="12.7109375" style="93" customWidth="1"/>
    <col min="4359" max="4359" width="10.28125" style="93" customWidth="1"/>
    <col min="4360" max="4360" width="15.00390625" style="93" customWidth="1"/>
    <col min="4361" max="4608" width="11.421875" style="93" customWidth="1"/>
    <col min="4609" max="4609" width="15.140625" style="93" customWidth="1"/>
    <col min="4610" max="4610" width="23.00390625" style="93" bestFit="1" customWidth="1"/>
    <col min="4611" max="4611" width="12.7109375" style="93" bestFit="1" customWidth="1"/>
    <col min="4612" max="4612" width="15.57421875" style="93" bestFit="1" customWidth="1"/>
    <col min="4613" max="4613" width="14.57421875" style="93" customWidth="1"/>
    <col min="4614" max="4614" width="12.7109375" style="93" customWidth="1"/>
    <col min="4615" max="4615" width="10.28125" style="93" customWidth="1"/>
    <col min="4616" max="4616" width="15.00390625" style="93" customWidth="1"/>
    <col min="4617" max="4864" width="11.421875" style="93" customWidth="1"/>
    <col min="4865" max="4865" width="15.140625" style="93" customWidth="1"/>
    <col min="4866" max="4866" width="23.00390625" style="93" bestFit="1" customWidth="1"/>
    <col min="4867" max="4867" width="12.7109375" style="93" bestFit="1" customWidth="1"/>
    <col min="4868" max="4868" width="15.57421875" style="93" bestFit="1" customWidth="1"/>
    <col min="4869" max="4869" width="14.57421875" style="93" customWidth="1"/>
    <col min="4870" max="4870" width="12.7109375" style="93" customWidth="1"/>
    <col min="4871" max="4871" width="10.28125" style="93" customWidth="1"/>
    <col min="4872" max="4872" width="15.00390625" style="93" customWidth="1"/>
    <col min="4873" max="5120" width="11.421875" style="93" customWidth="1"/>
    <col min="5121" max="5121" width="15.140625" style="93" customWidth="1"/>
    <col min="5122" max="5122" width="23.00390625" style="93" bestFit="1" customWidth="1"/>
    <col min="5123" max="5123" width="12.7109375" style="93" bestFit="1" customWidth="1"/>
    <col min="5124" max="5124" width="15.57421875" style="93" bestFit="1" customWidth="1"/>
    <col min="5125" max="5125" width="14.57421875" style="93" customWidth="1"/>
    <col min="5126" max="5126" width="12.7109375" style="93" customWidth="1"/>
    <col min="5127" max="5127" width="10.28125" style="93" customWidth="1"/>
    <col min="5128" max="5128" width="15.00390625" style="93" customWidth="1"/>
    <col min="5129" max="5376" width="11.421875" style="93" customWidth="1"/>
    <col min="5377" max="5377" width="15.140625" style="93" customWidth="1"/>
    <col min="5378" max="5378" width="23.00390625" style="93" bestFit="1" customWidth="1"/>
    <col min="5379" max="5379" width="12.7109375" style="93" bestFit="1" customWidth="1"/>
    <col min="5380" max="5380" width="15.57421875" style="93" bestFit="1" customWidth="1"/>
    <col min="5381" max="5381" width="14.57421875" style="93" customWidth="1"/>
    <col min="5382" max="5382" width="12.7109375" style="93" customWidth="1"/>
    <col min="5383" max="5383" width="10.28125" style="93" customWidth="1"/>
    <col min="5384" max="5384" width="15.00390625" style="93" customWidth="1"/>
    <col min="5385" max="5632" width="11.421875" style="93" customWidth="1"/>
    <col min="5633" max="5633" width="15.140625" style="93" customWidth="1"/>
    <col min="5634" max="5634" width="23.00390625" style="93" bestFit="1" customWidth="1"/>
    <col min="5635" max="5635" width="12.7109375" style="93" bestFit="1" customWidth="1"/>
    <col min="5636" max="5636" width="15.57421875" style="93" bestFit="1" customWidth="1"/>
    <col min="5637" max="5637" width="14.57421875" style="93" customWidth="1"/>
    <col min="5638" max="5638" width="12.7109375" style="93" customWidth="1"/>
    <col min="5639" max="5639" width="10.28125" style="93" customWidth="1"/>
    <col min="5640" max="5640" width="15.00390625" style="93" customWidth="1"/>
    <col min="5641" max="5888" width="11.421875" style="93" customWidth="1"/>
    <col min="5889" max="5889" width="15.140625" style="93" customWidth="1"/>
    <col min="5890" max="5890" width="23.00390625" style="93" bestFit="1" customWidth="1"/>
    <col min="5891" max="5891" width="12.7109375" style="93" bestFit="1" customWidth="1"/>
    <col min="5892" max="5892" width="15.57421875" style="93" bestFit="1" customWidth="1"/>
    <col min="5893" max="5893" width="14.57421875" style="93" customWidth="1"/>
    <col min="5894" max="5894" width="12.7109375" style="93" customWidth="1"/>
    <col min="5895" max="5895" width="10.28125" style="93" customWidth="1"/>
    <col min="5896" max="5896" width="15.00390625" style="93" customWidth="1"/>
    <col min="5897" max="6144" width="11.421875" style="93" customWidth="1"/>
    <col min="6145" max="6145" width="15.140625" style="93" customWidth="1"/>
    <col min="6146" max="6146" width="23.00390625" style="93" bestFit="1" customWidth="1"/>
    <col min="6147" max="6147" width="12.7109375" style="93" bestFit="1" customWidth="1"/>
    <col min="6148" max="6148" width="15.57421875" style="93" bestFit="1" customWidth="1"/>
    <col min="6149" max="6149" width="14.57421875" style="93" customWidth="1"/>
    <col min="6150" max="6150" width="12.7109375" style="93" customWidth="1"/>
    <col min="6151" max="6151" width="10.28125" style="93" customWidth="1"/>
    <col min="6152" max="6152" width="15.00390625" style="93" customWidth="1"/>
    <col min="6153" max="6400" width="11.421875" style="93" customWidth="1"/>
    <col min="6401" max="6401" width="15.140625" style="93" customWidth="1"/>
    <col min="6402" max="6402" width="23.00390625" style="93" bestFit="1" customWidth="1"/>
    <col min="6403" max="6403" width="12.7109375" style="93" bestFit="1" customWidth="1"/>
    <col min="6404" max="6404" width="15.57421875" style="93" bestFit="1" customWidth="1"/>
    <col min="6405" max="6405" width="14.57421875" style="93" customWidth="1"/>
    <col min="6406" max="6406" width="12.7109375" style="93" customWidth="1"/>
    <col min="6407" max="6407" width="10.28125" style="93" customWidth="1"/>
    <col min="6408" max="6408" width="15.00390625" style="93" customWidth="1"/>
    <col min="6409" max="6656" width="11.421875" style="93" customWidth="1"/>
    <col min="6657" max="6657" width="15.140625" style="93" customWidth="1"/>
    <col min="6658" max="6658" width="23.00390625" style="93" bestFit="1" customWidth="1"/>
    <col min="6659" max="6659" width="12.7109375" style="93" bestFit="1" customWidth="1"/>
    <col min="6660" max="6660" width="15.57421875" style="93" bestFit="1" customWidth="1"/>
    <col min="6661" max="6661" width="14.57421875" style="93" customWidth="1"/>
    <col min="6662" max="6662" width="12.7109375" style="93" customWidth="1"/>
    <col min="6663" max="6663" width="10.28125" style="93" customWidth="1"/>
    <col min="6664" max="6664" width="15.00390625" style="93" customWidth="1"/>
    <col min="6665" max="6912" width="11.421875" style="93" customWidth="1"/>
    <col min="6913" max="6913" width="15.140625" style="93" customWidth="1"/>
    <col min="6914" max="6914" width="23.00390625" style="93" bestFit="1" customWidth="1"/>
    <col min="6915" max="6915" width="12.7109375" style="93" bestFit="1" customWidth="1"/>
    <col min="6916" max="6916" width="15.57421875" style="93" bestFit="1" customWidth="1"/>
    <col min="6917" max="6917" width="14.57421875" style="93" customWidth="1"/>
    <col min="6918" max="6918" width="12.7109375" style="93" customWidth="1"/>
    <col min="6919" max="6919" width="10.28125" style="93" customWidth="1"/>
    <col min="6920" max="6920" width="15.00390625" style="93" customWidth="1"/>
    <col min="6921" max="7168" width="11.421875" style="93" customWidth="1"/>
    <col min="7169" max="7169" width="15.140625" style="93" customWidth="1"/>
    <col min="7170" max="7170" width="23.00390625" style="93" bestFit="1" customWidth="1"/>
    <col min="7171" max="7171" width="12.7109375" style="93" bestFit="1" customWidth="1"/>
    <col min="7172" max="7172" width="15.57421875" style="93" bestFit="1" customWidth="1"/>
    <col min="7173" max="7173" width="14.57421875" style="93" customWidth="1"/>
    <col min="7174" max="7174" width="12.7109375" style="93" customWidth="1"/>
    <col min="7175" max="7175" width="10.28125" style="93" customWidth="1"/>
    <col min="7176" max="7176" width="15.00390625" style="93" customWidth="1"/>
    <col min="7177" max="7424" width="11.421875" style="93" customWidth="1"/>
    <col min="7425" max="7425" width="15.140625" style="93" customWidth="1"/>
    <col min="7426" max="7426" width="23.00390625" style="93" bestFit="1" customWidth="1"/>
    <col min="7427" max="7427" width="12.7109375" style="93" bestFit="1" customWidth="1"/>
    <col min="7428" max="7428" width="15.57421875" style="93" bestFit="1" customWidth="1"/>
    <col min="7429" max="7429" width="14.57421875" style="93" customWidth="1"/>
    <col min="7430" max="7430" width="12.7109375" style="93" customWidth="1"/>
    <col min="7431" max="7431" width="10.28125" style="93" customWidth="1"/>
    <col min="7432" max="7432" width="15.00390625" style="93" customWidth="1"/>
    <col min="7433" max="7680" width="11.421875" style="93" customWidth="1"/>
    <col min="7681" max="7681" width="15.140625" style="93" customWidth="1"/>
    <col min="7682" max="7682" width="23.00390625" style="93" bestFit="1" customWidth="1"/>
    <col min="7683" max="7683" width="12.7109375" style="93" bestFit="1" customWidth="1"/>
    <col min="7684" max="7684" width="15.57421875" style="93" bestFit="1" customWidth="1"/>
    <col min="7685" max="7685" width="14.57421875" style="93" customWidth="1"/>
    <col min="7686" max="7686" width="12.7109375" style="93" customWidth="1"/>
    <col min="7687" max="7687" width="10.28125" style="93" customWidth="1"/>
    <col min="7688" max="7688" width="15.00390625" style="93" customWidth="1"/>
    <col min="7689" max="7936" width="11.421875" style="93" customWidth="1"/>
    <col min="7937" max="7937" width="15.140625" style="93" customWidth="1"/>
    <col min="7938" max="7938" width="23.00390625" style="93" bestFit="1" customWidth="1"/>
    <col min="7939" max="7939" width="12.7109375" style="93" bestFit="1" customWidth="1"/>
    <col min="7940" max="7940" width="15.57421875" style="93" bestFit="1" customWidth="1"/>
    <col min="7941" max="7941" width="14.57421875" style="93" customWidth="1"/>
    <col min="7942" max="7942" width="12.7109375" style="93" customWidth="1"/>
    <col min="7943" max="7943" width="10.28125" style="93" customWidth="1"/>
    <col min="7944" max="7944" width="15.00390625" style="93" customWidth="1"/>
    <col min="7945" max="8192" width="11.421875" style="93" customWidth="1"/>
    <col min="8193" max="8193" width="15.140625" style="93" customWidth="1"/>
    <col min="8194" max="8194" width="23.00390625" style="93" bestFit="1" customWidth="1"/>
    <col min="8195" max="8195" width="12.7109375" style="93" bestFit="1" customWidth="1"/>
    <col min="8196" max="8196" width="15.57421875" style="93" bestFit="1" customWidth="1"/>
    <col min="8197" max="8197" width="14.57421875" style="93" customWidth="1"/>
    <col min="8198" max="8198" width="12.7109375" style="93" customWidth="1"/>
    <col min="8199" max="8199" width="10.28125" style="93" customWidth="1"/>
    <col min="8200" max="8200" width="15.00390625" style="93" customWidth="1"/>
    <col min="8201" max="8448" width="11.421875" style="93" customWidth="1"/>
    <col min="8449" max="8449" width="15.140625" style="93" customWidth="1"/>
    <col min="8450" max="8450" width="23.00390625" style="93" bestFit="1" customWidth="1"/>
    <col min="8451" max="8451" width="12.7109375" style="93" bestFit="1" customWidth="1"/>
    <col min="8452" max="8452" width="15.57421875" style="93" bestFit="1" customWidth="1"/>
    <col min="8453" max="8453" width="14.57421875" style="93" customWidth="1"/>
    <col min="8454" max="8454" width="12.7109375" style="93" customWidth="1"/>
    <col min="8455" max="8455" width="10.28125" style="93" customWidth="1"/>
    <col min="8456" max="8456" width="15.00390625" style="93" customWidth="1"/>
    <col min="8457" max="8704" width="11.421875" style="93" customWidth="1"/>
    <col min="8705" max="8705" width="15.140625" style="93" customWidth="1"/>
    <col min="8706" max="8706" width="23.00390625" style="93" bestFit="1" customWidth="1"/>
    <col min="8707" max="8707" width="12.7109375" style="93" bestFit="1" customWidth="1"/>
    <col min="8708" max="8708" width="15.57421875" style="93" bestFit="1" customWidth="1"/>
    <col min="8709" max="8709" width="14.57421875" style="93" customWidth="1"/>
    <col min="8710" max="8710" width="12.7109375" style="93" customWidth="1"/>
    <col min="8711" max="8711" width="10.28125" style="93" customWidth="1"/>
    <col min="8712" max="8712" width="15.00390625" style="93" customWidth="1"/>
    <col min="8713" max="8960" width="11.421875" style="93" customWidth="1"/>
    <col min="8961" max="8961" width="15.140625" style="93" customWidth="1"/>
    <col min="8962" max="8962" width="23.00390625" style="93" bestFit="1" customWidth="1"/>
    <col min="8963" max="8963" width="12.7109375" style="93" bestFit="1" customWidth="1"/>
    <col min="8964" max="8964" width="15.57421875" style="93" bestFit="1" customWidth="1"/>
    <col min="8965" max="8965" width="14.57421875" style="93" customWidth="1"/>
    <col min="8966" max="8966" width="12.7109375" style="93" customWidth="1"/>
    <col min="8967" max="8967" width="10.28125" style="93" customWidth="1"/>
    <col min="8968" max="8968" width="15.00390625" style="93" customWidth="1"/>
    <col min="8969" max="9216" width="11.421875" style="93" customWidth="1"/>
    <col min="9217" max="9217" width="15.140625" style="93" customWidth="1"/>
    <col min="9218" max="9218" width="23.00390625" style="93" bestFit="1" customWidth="1"/>
    <col min="9219" max="9219" width="12.7109375" style="93" bestFit="1" customWidth="1"/>
    <col min="9220" max="9220" width="15.57421875" style="93" bestFit="1" customWidth="1"/>
    <col min="9221" max="9221" width="14.57421875" style="93" customWidth="1"/>
    <col min="9222" max="9222" width="12.7109375" style="93" customWidth="1"/>
    <col min="9223" max="9223" width="10.28125" style="93" customWidth="1"/>
    <col min="9224" max="9224" width="15.00390625" style="93" customWidth="1"/>
    <col min="9225" max="9472" width="11.421875" style="93" customWidth="1"/>
    <col min="9473" max="9473" width="15.140625" style="93" customWidth="1"/>
    <col min="9474" max="9474" width="23.00390625" style="93" bestFit="1" customWidth="1"/>
    <col min="9475" max="9475" width="12.7109375" style="93" bestFit="1" customWidth="1"/>
    <col min="9476" max="9476" width="15.57421875" style="93" bestFit="1" customWidth="1"/>
    <col min="9477" max="9477" width="14.57421875" style="93" customWidth="1"/>
    <col min="9478" max="9478" width="12.7109375" style="93" customWidth="1"/>
    <col min="9479" max="9479" width="10.28125" style="93" customWidth="1"/>
    <col min="9480" max="9480" width="15.00390625" style="93" customWidth="1"/>
    <col min="9481" max="9728" width="11.421875" style="93" customWidth="1"/>
    <col min="9729" max="9729" width="15.140625" style="93" customWidth="1"/>
    <col min="9730" max="9730" width="23.00390625" style="93" bestFit="1" customWidth="1"/>
    <col min="9731" max="9731" width="12.7109375" style="93" bestFit="1" customWidth="1"/>
    <col min="9732" max="9732" width="15.57421875" style="93" bestFit="1" customWidth="1"/>
    <col min="9733" max="9733" width="14.57421875" style="93" customWidth="1"/>
    <col min="9734" max="9734" width="12.7109375" style="93" customWidth="1"/>
    <col min="9735" max="9735" width="10.28125" style="93" customWidth="1"/>
    <col min="9736" max="9736" width="15.00390625" style="93" customWidth="1"/>
    <col min="9737" max="9984" width="11.421875" style="93" customWidth="1"/>
    <col min="9985" max="9985" width="15.140625" style="93" customWidth="1"/>
    <col min="9986" max="9986" width="23.00390625" style="93" bestFit="1" customWidth="1"/>
    <col min="9987" max="9987" width="12.7109375" style="93" bestFit="1" customWidth="1"/>
    <col min="9988" max="9988" width="15.57421875" style="93" bestFit="1" customWidth="1"/>
    <col min="9989" max="9989" width="14.57421875" style="93" customWidth="1"/>
    <col min="9990" max="9990" width="12.7109375" style="93" customWidth="1"/>
    <col min="9991" max="9991" width="10.28125" style="93" customWidth="1"/>
    <col min="9992" max="9992" width="15.00390625" style="93" customWidth="1"/>
    <col min="9993" max="10240" width="11.421875" style="93" customWidth="1"/>
    <col min="10241" max="10241" width="15.140625" style="93" customWidth="1"/>
    <col min="10242" max="10242" width="23.00390625" style="93" bestFit="1" customWidth="1"/>
    <col min="10243" max="10243" width="12.7109375" style="93" bestFit="1" customWidth="1"/>
    <col min="10244" max="10244" width="15.57421875" style="93" bestFit="1" customWidth="1"/>
    <col min="10245" max="10245" width="14.57421875" style="93" customWidth="1"/>
    <col min="10246" max="10246" width="12.7109375" style="93" customWidth="1"/>
    <col min="10247" max="10247" width="10.28125" style="93" customWidth="1"/>
    <col min="10248" max="10248" width="15.00390625" style="93" customWidth="1"/>
    <col min="10249" max="10496" width="11.421875" style="93" customWidth="1"/>
    <col min="10497" max="10497" width="15.140625" style="93" customWidth="1"/>
    <col min="10498" max="10498" width="23.00390625" style="93" bestFit="1" customWidth="1"/>
    <col min="10499" max="10499" width="12.7109375" style="93" bestFit="1" customWidth="1"/>
    <col min="10500" max="10500" width="15.57421875" style="93" bestFit="1" customWidth="1"/>
    <col min="10501" max="10501" width="14.57421875" style="93" customWidth="1"/>
    <col min="10502" max="10502" width="12.7109375" style="93" customWidth="1"/>
    <col min="10503" max="10503" width="10.28125" style="93" customWidth="1"/>
    <col min="10504" max="10504" width="15.00390625" style="93" customWidth="1"/>
    <col min="10505" max="10752" width="11.421875" style="93" customWidth="1"/>
    <col min="10753" max="10753" width="15.140625" style="93" customWidth="1"/>
    <col min="10754" max="10754" width="23.00390625" style="93" bestFit="1" customWidth="1"/>
    <col min="10755" max="10755" width="12.7109375" style="93" bestFit="1" customWidth="1"/>
    <col min="10756" max="10756" width="15.57421875" style="93" bestFit="1" customWidth="1"/>
    <col min="10757" max="10757" width="14.57421875" style="93" customWidth="1"/>
    <col min="10758" max="10758" width="12.7109375" style="93" customWidth="1"/>
    <col min="10759" max="10759" width="10.28125" style="93" customWidth="1"/>
    <col min="10760" max="10760" width="15.00390625" style="93" customWidth="1"/>
    <col min="10761" max="11008" width="11.421875" style="93" customWidth="1"/>
    <col min="11009" max="11009" width="15.140625" style="93" customWidth="1"/>
    <col min="11010" max="11010" width="23.00390625" style="93" bestFit="1" customWidth="1"/>
    <col min="11011" max="11011" width="12.7109375" style="93" bestFit="1" customWidth="1"/>
    <col min="11012" max="11012" width="15.57421875" style="93" bestFit="1" customWidth="1"/>
    <col min="11013" max="11013" width="14.57421875" style="93" customWidth="1"/>
    <col min="11014" max="11014" width="12.7109375" style="93" customWidth="1"/>
    <col min="11015" max="11015" width="10.28125" style="93" customWidth="1"/>
    <col min="11016" max="11016" width="15.00390625" style="93" customWidth="1"/>
    <col min="11017" max="11264" width="11.421875" style="93" customWidth="1"/>
    <col min="11265" max="11265" width="15.140625" style="93" customWidth="1"/>
    <col min="11266" max="11266" width="23.00390625" style="93" bestFit="1" customWidth="1"/>
    <col min="11267" max="11267" width="12.7109375" style="93" bestFit="1" customWidth="1"/>
    <col min="11268" max="11268" width="15.57421875" style="93" bestFit="1" customWidth="1"/>
    <col min="11269" max="11269" width="14.57421875" style="93" customWidth="1"/>
    <col min="11270" max="11270" width="12.7109375" style="93" customWidth="1"/>
    <col min="11271" max="11271" width="10.28125" style="93" customWidth="1"/>
    <col min="11272" max="11272" width="15.00390625" style="93" customWidth="1"/>
    <col min="11273" max="11520" width="11.421875" style="93" customWidth="1"/>
    <col min="11521" max="11521" width="15.140625" style="93" customWidth="1"/>
    <col min="11522" max="11522" width="23.00390625" style="93" bestFit="1" customWidth="1"/>
    <col min="11523" max="11523" width="12.7109375" style="93" bestFit="1" customWidth="1"/>
    <col min="11524" max="11524" width="15.57421875" style="93" bestFit="1" customWidth="1"/>
    <col min="11525" max="11525" width="14.57421875" style="93" customWidth="1"/>
    <col min="11526" max="11526" width="12.7109375" style="93" customWidth="1"/>
    <col min="11527" max="11527" width="10.28125" style="93" customWidth="1"/>
    <col min="11528" max="11528" width="15.00390625" style="93" customWidth="1"/>
    <col min="11529" max="11776" width="11.421875" style="93" customWidth="1"/>
    <col min="11777" max="11777" width="15.140625" style="93" customWidth="1"/>
    <col min="11778" max="11778" width="23.00390625" style="93" bestFit="1" customWidth="1"/>
    <col min="11779" max="11779" width="12.7109375" style="93" bestFit="1" customWidth="1"/>
    <col min="11780" max="11780" width="15.57421875" style="93" bestFit="1" customWidth="1"/>
    <col min="11781" max="11781" width="14.57421875" style="93" customWidth="1"/>
    <col min="11782" max="11782" width="12.7109375" style="93" customWidth="1"/>
    <col min="11783" max="11783" width="10.28125" style="93" customWidth="1"/>
    <col min="11784" max="11784" width="15.00390625" style="93" customWidth="1"/>
    <col min="11785" max="12032" width="11.421875" style="93" customWidth="1"/>
    <col min="12033" max="12033" width="15.140625" style="93" customWidth="1"/>
    <col min="12034" max="12034" width="23.00390625" style="93" bestFit="1" customWidth="1"/>
    <col min="12035" max="12035" width="12.7109375" style="93" bestFit="1" customWidth="1"/>
    <col min="12036" max="12036" width="15.57421875" style="93" bestFit="1" customWidth="1"/>
    <col min="12037" max="12037" width="14.57421875" style="93" customWidth="1"/>
    <col min="12038" max="12038" width="12.7109375" style="93" customWidth="1"/>
    <col min="12039" max="12039" width="10.28125" style="93" customWidth="1"/>
    <col min="12040" max="12040" width="15.00390625" style="93" customWidth="1"/>
    <col min="12041" max="12288" width="11.421875" style="93" customWidth="1"/>
    <col min="12289" max="12289" width="15.140625" style="93" customWidth="1"/>
    <col min="12290" max="12290" width="23.00390625" style="93" bestFit="1" customWidth="1"/>
    <col min="12291" max="12291" width="12.7109375" style="93" bestFit="1" customWidth="1"/>
    <col min="12292" max="12292" width="15.57421875" style="93" bestFit="1" customWidth="1"/>
    <col min="12293" max="12293" width="14.57421875" style="93" customWidth="1"/>
    <col min="12294" max="12294" width="12.7109375" style="93" customWidth="1"/>
    <col min="12295" max="12295" width="10.28125" style="93" customWidth="1"/>
    <col min="12296" max="12296" width="15.00390625" style="93" customWidth="1"/>
    <col min="12297" max="12544" width="11.421875" style="93" customWidth="1"/>
    <col min="12545" max="12545" width="15.140625" style="93" customWidth="1"/>
    <col min="12546" max="12546" width="23.00390625" style="93" bestFit="1" customWidth="1"/>
    <col min="12547" max="12547" width="12.7109375" style="93" bestFit="1" customWidth="1"/>
    <col min="12548" max="12548" width="15.57421875" style="93" bestFit="1" customWidth="1"/>
    <col min="12549" max="12549" width="14.57421875" style="93" customWidth="1"/>
    <col min="12550" max="12550" width="12.7109375" style="93" customWidth="1"/>
    <col min="12551" max="12551" width="10.28125" style="93" customWidth="1"/>
    <col min="12552" max="12552" width="15.00390625" style="93" customWidth="1"/>
    <col min="12553" max="12800" width="11.421875" style="93" customWidth="1"/>
    <col min="12801" max="12801" width="15.140625" style="93" customWidth="1"/>
    <col min="12802" max="12802" width="23.00390625" style="93" bestFit="1" customWidth="1"/>
    <col min="12803" max="12803" width="12.7109375" style="93" bestFit="1" customWidth="1"/>
    <col min="12804" max="12804" width="15.57421875" style="93" bestFit="1" customWidth="1"/>
    <col min="12805" max="12805" width="14.57421875" style="93" customWidth="1"/>
    <col min="12806" max="12806" width="12.7109375" style="93" customWidth="1"/>
    <col min="12807" max="12807" width="10.28125" style="93" customWidth="1"/>
    <col min="12808" max="12808" width="15.00390625" style="93" customWidth="1"/>
    <col min="12809" max="13056" width="11.421875" style="93" customWidth="1"/>
    <col min="13057" max="13057" width="15.140625" style="93" customWidth="1"/>
    <col min="13058" max="13058" width="23.00390625" style="93" bestFit="1" customWidth="1"/>
    <col min="13059" max="13059" width="12.7109375" style="93" bestFit="1" customWidth="1"/>
    <col min="13060" max="13060" width="15.57421875" style="93" bestFit="1" customWidth="1"/>
    <col min="13061" max="13061" width="14.57421875" style="93" customWidth="1"/>
    <col min="13062" max="13062" width="12.7109375" style="93" customWidth="1"/>
    <col min="13063" max="13063" width="10.28125" style="93" customWidth="1"/>
    <col min="13064" max="13064" width="15.00390625" style="93" customWidth="1"/>
    <col min="13065" max="13312" width="11.421875" style="93" customWidth="1"/>
    <col min="13313" max="13313" width="15.140625" style="93" customWidth="1"/>
    <col min="13314" max="13314" width="23.00390625" style="93" bestFit="1" customWidth="1"/>
    <col min="13315" max="13315" width="12.7109375" style="93" bestFit="1" customWidth="1"/>
    <col min="13316" max="13316" width="15.57421875" style="93" bestFit="1" customWidth="1"/>
    <col min="13317" max="13317" width="14.57421875" style="93" customWidth="1"/>
    <col min="13318" max="13318" width="12.7109375" style="93" customWidth="1"/>
    <col min="13319" max="13319" width="10.28125" style="93" customWidth="1"/>
    <col min="13320" max="13320" width="15.00390625" style="93" customWidth="1"/>
    <col min="13321" max="13568" width="11.421875" style="93" customWidth="1"/>
    <col min="13569" max="13569" width="15.140625" style="93" customWidth="1"/>
    <col min="13570" max="13570" width="23.00390625" style="93" bestFit="1" customWidth="1"/>
    <col min="13571" max="13571" width="12.7109375" style="93" bestFit="1" customWidth="1"/>
    <col min="13572" max="13572" width="15.57421875" style="93" bestFit="1" customWidth="1"/>
    <col min="13573" max="13573" width="14.57421875" style="93" customWidth="1"/>
    <col min="13574" max="13574" width="12.7109375" style="93" customWidth="1"/>
    <col min="13575" max="13575" width="10.28125" style="93" customWidth="1"/>
    <col min="13576" max="13576" width="15.00390625" style="93" customWidth="1"/>
    <col min="13577" max="13824" width="11.421875" style="93" customWidth="1"/>
    <col min="13825" max="13825" width="15.140625" style="93" customWidth="1"/>
    <col min="13826" max="13826" width="23.00390625" style="93" bestFit="1" customWidth="1"/>
    <col min="13827" max="13827" width="12.7109375" style="93" bestFit="1" customWidth="1"/>
    <col min="13828" max="13828" width="15.57421875" style="93" bestFit="1" customWidth="1"/>
    <col min="13829" max="13829" width="14.57421875" style="93" customWidth="1"/>
    <col min="13830" max="13830" width="12.7109375" style="93" customWidth="1"/>
    <col min="13831" max="13831" width="10.28125" style="93" customWidth="1"/>
    <col min="13832" max="13832" width="15.00390625" style="93" customWidth="1"/>
    <col min="13833" max="14080" width="11.421875" style="93" customWidth="1"/>
    <col min="14081" max="14081" width="15.140625" style="93" customWidth="1"/>
    <col min="14082" max="14082" width="23.00390625" style="93" bestFit="1" customWidth="1"/>
    <col min="14083" max="14083" width="12.7109375" style="93" bestFit="1" customWidth="1"/>
    <col min="14084" max="14084" width="15.57421875" style="93" bestFit="1" customWidth="1"/>
    <col min="14085" max="14085" width="14.57421875" style="93" customWidth="1"/>
    <col min="14086" max="14086" width="12.7109375" style="93" customWidth="1"/>
    <col min="14087" max="14087" width="10.28125" style="93" customWidth="1"/>
    <col min="14088" max="14088" width="15.00390625" style="93" customWidth="1"/>
    <col min="14089" max="14336" width="11.421875" style="93" customWidth="1"/>
    <col min="14337" max="14337" width="15.140625" style="93" customWidth="1"/>
    <col min="14338" max="14338" width="23.00390625" style="93" bestFit="1" customWidth="1"/>
    <col min="14339" max="14339" width="12.7109375" style="93" bestFit="1" customWidth="1"/>
    <col min="14340" max="14340" width="15.57421875" style="93" bestFit="1" customWidth="1"/>
    <col min="14341" max="14341" width="14.57421875" style="93" customWidth="1"/>
    <col min="14342" max="14342" width="12.7109375" style="93" customWidth="1"/>
    <col min="14343" max="14343" width="10.28125" style="93" customWidth="1"/>
    <col min="14344" max="14344" width="15.00390625" style="93" customWidth="1"/>
    <col min="14345" max="14592" width="11.421875" style="93" customWidth="1"/>
    <col min="14593" max="14593" width="15.140625" style="93" customWidth="1"/>
    <col min="14594" max="14594" width="23.00390625" style="93" bestFit="1" customWidth="1"/>
    <col min="14595" max="14595" width="12.7109375" style="93" bestFit="1" customWidth="1"/>
    <col min="14596" max="14596" width="15.57421875" style="93" bestFit="1" customWidth="1"/>
    <col min="14597" max="14597" width="14.57421875" style="93" customWidth="1"/>
    <col min="14598" max="14598" width="12.7109375" style="93" customWidth="1"/>
    <col min="14599" max="14599" width="10.28125" style="93" customWidth="1"/>
    <col min="14600" max="14600" width="15.00390625" style="93" customWidth="1"/>
    <col min="14601" max="14848" width="11.421875" style="93" customWidth="1"/>
    <col min="14849" max="14849" width="15.140625" style="93" customWidth="1"/>
    <col min="14850" max="14850" width="23.00390625" style="93" bestFit="1" customWidth="1"/>
    <col min="14851" max="14851" width="12.7109375" style="93" bestFit="1" customWidth="1"/>
    <col min="14852" max="14852" width="15.57421875" style="93" bestFit="1" customWidth="1"/>
    <col min="14853" max="14853" width="14.57421875" style="93" customWidth="1"/>
    <col min="14854" max="14854" width="12.7109375" style="93" customWidth="1"/>
    <col min="14855" max="14855" width="10.28125" style="93" customWidth="1"/>
    <col min="14856" max="14856" width="15.00390625" style="93" customWidth="1"/>
    <col min="14857" max="15104" width="11.421875" style="93" customWidth="1"/>
    <col min="15105" max="15105" width="15.140625" style="93" customWidth="1"/>
    <col min="15106" max="15106" width="23.00390625" style="93" bestFit="1" customWidth="1"/>
    <col min="15107" max="15107" width="12.7109375" style="93" bestFit="1" customWidth="1"/>
    <col min="15108" max="15108" width="15.57421875" style="93" bestFit="1" customWidth="1"/>
    <col min="15109" max="15109" width="14.57421875" style="93" customWidth="1"/>
    <col min="15110" max="15110" width="12.7109375" style="93" customWidth="1"/>
    <col min="15111" max="15111" width="10.28125" style="93" customWidth="1"/>
    <col min="15112" max="15112" width="15.00390625" style="93" customWidth="1"/>
    <col min="15113" max="15360" width="11.421875" style="93" customWidth="1"/>
    <col min="15361" max="15361" width="15.140625" style="93" customWidth="1"/>
    <col min="15362" max="15362" width="23.00390625" style="93" bestFit="1" customWidth="1"/>
    <col min="15363" max="15363" width="12.7109375" style="93" bestFit="1" customWidth="1"/>
    <col min="15364" max="15364" width="15.57421875" style="93" bestFit="1" customWidth="1"/>
    <col min="15365" max="15365" width="14.57421875" style="93" customWidth="1"/>
    <col min="15366" max="15366" width="12.7109375" style="93" customWidth="1"/>
    <col min="15367" max="15367" width="10.28125" style="93" customWidth="1"/>
    <col min="15368" max="15368" width="15.00390625" style="93" customWidth="1"/>
    <col min="15369" max="15616" width="11.421875" style="93" customWidth="1"/>
    <col min="15617" max="15617" width="15.140625" style="93" customWidth="1"/>
    <col min="15618" max="15618" width="23.00390625" style="93" bestFit="1" customWidth="1"/>
    <col min="15619" max="15619" width="12.7109375" style="93" bestFit="1" customWidth="1"/>
    <col min="15620" max="15620" width="15.57421875" style="93" bestFit="1" customWidth="1"/>
    <col min="15621" max="15621" width="14.57421875" style="93" customWidth="1"/>
    <col min="15622" max="15622" width="12.7109375" style="93" customWidth="1"/>
    <col min="15623" max="15623" width="10.28125" style="93" customWidth="1"/>
    <col min="15624" max="15624" width="15.00390625" style="93" customWidth="1"/>
    <col min="15625" max="15872" width="11.421875" style="93" customWidth="1"/>
    <col min="15873" max="15873" width="15.140625" style="93" customWidth="1"/>
    <col min="15874" max="15874" width="23.00390625" style="93" bestFit="1" customWidth="1"/>
    <col min="15875" max="15875" width="12.7109375" style="93" bestFit="1" customWidth="1"/>
    <col min="15876" max="15876" width="15.57421875" style="93" bestFit="1" customWidth="1"/>
    <col min="15877" max="15877" width="14.57421875" style="93" customWidth="1"/>
    <col min="15878" max="15878" width="12.7109375" style="93" customWidth="1"/>
    <col min="15879" max="15879" width="10.28125" style="93" customWidth="1"/>
    <col min="15880" max="15880" width="15.00390625" style="93" customWidth="1"/>
    <col min="15881" max="16128" width="11.421875" style="93" customWidth="1"/>
    <col min="16129" max="16129" width="15.140625" style="93" customWidth="1"/>
    <col min="16130" max="16130" width="23.00390625" style="93" bestFit="1" customWidth="1"/>
    <col min="16131" max="16131" width="12.7109375" style="93" bestFit="1" customWidth="1"/>
    <col min="16132" max="16132" width="15.57421875" style="93" bestFit="1" customWidth="1"/>
    <col min="16133" max="16133" width="14.57421875" style="93" customWidth="1"/>
    <col min="16134" max="16134" width="12.7109375" style="93" customWidth="1"/>
    <col min="16135" max="16135" width="10.28125" style="93" customWidth="1"/>
    <col min="16136" max="16136" width="15.00390625" style="93" customWidth="1"/>
    <col min="16137" max="16384" width="11.421875" style="93" customWidth="1"/>
  </cols>
  <sheetData>
    <row r="1" spans="1:5" ht="12.75">
      <c r="A1" s="92"/>
      <c r="B1" s="92"/>
      <c r="C1" s="92"/>
      <c r="D1" s="92"/>
      <c r="E1" s="92"/>
    </row>
    <row r="2" spans="1:7" ht="12.75">
      <c r="A2" s="286" t="s">
        <v>149</v>
      </c>
      <c r="B2" s="286"/>
      <c r="C2" s="286"/>
      <c r="D2" s="286"/>
      <c r="E2" s="286"/>
      <c r="F2" s="286"/>
      <c r="G2" s="286"/>
    </row>
    <row r="3" spans="1:7" ht="13.5" thickBot="1">
      <c r="A3" s="96"/>
      <c r="B3" s="96"/>
      <c r="C3" s="96"/>
      <c r="D3" s="96"/>
      <c r="E3" s="96"/>
      <c r="F3" s="192"/>
      <c r="G3" s="192"/>
    </row>
    <row r="4" spans="1:8" ht="13.5" thickBot="1">
      <c r="A4" s="97" t="s">
        <v>150</v>
      </c>
      <c r="B4" s="98" t="s">
        <v>151</v>
      </c>
      <c r="C4" s="193" t="s">
        <v>152</v>
      </c>
      <c r="D4" s="194" t="s">
        <v>153</v>
      </c>
      <c r="E4" s="194" t="s">
        <v>154</v>
      </c>
      <c r="F4" s="194" t="s">
        <v>155</v>
      </c>
      <c r="G4" s="194" t="s">
        <v>156</v>
      </c>
      <c r="H4" s="99" t="s">
        <v>32</v>
      </c>
    </row>
    <row r="5" spans="1:8" ht="12.75">
      <c r="A5" s="195" t="s">
        <v>157</v>
      </c>
      <c r="B5" s="196" t="s">
        <v>158</v>
      </c>
      <c r="C5" s="197">
        <v>2</v>
      </c>
      <c r="D5" s="198">
        <v>119</v>
      </c>
      <c r="E5" s="199"/>
      <c r="F5" s="199">
        <v>1</v>
      </c>
      <c r="G5" s="199"/>
      <c r="H5" s="200">
        <f>SUM(C5:G5)</f>
        <v>122</v>
      </c>
    </row>
    <row r="6" spans="1:8" ht="12.75">
      <c r="A6" s="201" t="s">
        <v>159</v>
      </c>
      <c r="B6" s="202" t="s">
        <v>160</v>
      </c>
      <c r="C6" s="203">
        <v>1</v>
      </c>
      <c r="D6" s="204">
        <v>68</v>
      </c>
      <c r="E6" s="199">
        <v>1</v>
      </c>
      <c r="F6" s="199">
        <v>1</v>
      </c>
      <c r="G6" s="199"/>
      <c r="H6" s="200">
        <f>SUM(C6:G6)</f>
        <v>71</v>
      </c>
    </row>
    <row r="7" spans="1:8" ht="12.75">
      <c r="A7" s="201" t="s">
        <v>161</v>
      </c>
      <c r="B7" s="202" t="s">
        <v>162</v>
      </c>
      <c r="C7" s="203">
        <v>28</v>
      </c>
      <c r="D7" s="204">
        <v>15</v>
      </c>
      <c r="E7" s="199">
        <v>22</v>
      </c>
      <c r="F7" s="199"/>
      <c r="G7" s="199"/>
      <c r="H7" s="200">
        <f>SUM(C7:G7)</f>
        <v>65</v>
      </c>
    </row>
    <row r="8" spans="1:8" ht="12.75">
      <c r="A8" s="201" t="s">
        <v>163</v>
      </c>
      <c r="B8" s="202" t="s">
        <v>164</v>
      </c>
      <c r="C8" s="203">
        <v>84</v>
      </c>
      <c r="D8" s="204">
        <v>1</v>
      </c>
      <c r="E8" s="199"/>
      <c r="F8" s="199"/>
      <c r="G8" s="199"/>
      <c r="H8" s="200">
        <f>SUM(C8:D8)</f>
        <v>85</v>
      </c>
    </row>
    <row r="9" spans="1:8" ht="12.75">
      <c r="A9" s="205" t="s">
        <v>165</v>
      </c>
      <c r="B9" s="206" t="s">
        <v>166</v>
      </c>
      <c r="C9" s="203">
        <v>1</v>
      </c>
      <c r="D9" s="204"/>
      <c r="E9" s="199"/>
      <c r="F9" s="199"/>
      <c r="G9" s="199"/>
      <c r="H9" s="200">
        <f aca="true" t="shared" si="0" ref="H9:H15">SUM(C9:G9)</f>
        <v>1</v>
      </c>
    </row>
    <row r="10" spans="1:8" ht="12.75">
      <c r="A10" s="205" t="s">
        <v>167</v>
      </c>
      <c r="B10" s="202" t="s">
        <v>168</v>
      </c>
      <c r="C10" s="203">
        <v>1</v>
      </c>
      <c r="D10" s="204"/>
      <c r="E10" s="199"/>
      <c r="F10" s="199"/>
      <c r="G10" s="199"/>
      <c r="H10" s="200">
        <f t="shared" si="0"/>
        <v>1</v>
      </c>
    </row>
    <row r="11" spans="1:8" ht="12.75">
      <c r="A11" s="205" t="s">
        <v>169</v>
      </c>
      <c r="B11" s="202" t="s">
        <v>170</v>
      </c>
      <c r="C11" s="203">
        <v>1</v>
      </c>
      <c r="D11" s="204"/>
      <c r="E11" s="199"/>
      <c r="F11" s="199"/>
      <c r="G11" s="199"/>
      <c r="H11" s="200">
        <f t="shared" si="0"/>
        <v>1</v>
      </c>
    </row>
    <row r="12" spans="1:8" ht="12.75">
      <c r="A12" s="205" t="s">
        <v>171</v>
      </c>
      <c r="B12" s="202" t="s">
        <v>172</v>
      </c>
      <c r="C12" s="203">
        <v>1</v>
      </c>
      <c r="D12" s="204">
        <v>157</v>
      </c>
      <c r="E12" s="199"/>
      <c r="F12" s="199">
        <v>6</v>
      </c>
      <c r="G12" s="199"/>
      <c r="H12" s="200">
        <f t="shared" si="0"/>
        <v>164</v>
      </c>
    </row>
    <row r="13" spans="1:8" ht="12.75">
      <c r="A13" s="205" t="s">
        <v>173</v>
      </c>
      <c r="B13" s="202" t="s">
        <v>174</v>
      </c>
      <c r="C13" s="203">
        <v>6</v>
      </c>
      <c r="D13" s="204"/>
      <c r="E13" s="199"/>
      <c r="F13" s="199"/>
      <c r="G13" s="199"/>
      <c r="H13" s="200">
        <f t="shared" si="0"/>
        <v>6</v>
      </c>
    </row>
    <row r="14" spans="1:8" ht="12.75">
      <c r="A14" s="205" t="s">
        <v>175</v>
      </c>
      <c r="B14" s="202" t="s">
        <v>176</v>
      </c>
      <c r="C14" s="203">
        <v>22</v>
      </c>
      <c r="D14" s="204">
        <v>1</v>
      </c>
      <c r="E14" s="199"/>
      <c r="F14" s="199"/>
      <c r="G14" s="199">
        <v>1</v>
      </c>
      <c r="H14" s="200">
        <f t="shared" si="0"/>
        <v>24</v>
      </c>
    </row>
    <row r="15" spans="1:8" ht="13.5" thickBot="1">
      <c r="A15" s="207" t="s">
        <v>177</v>
      </c>
      <c r="B15" s="208" t="s">
        <v>178</v>
      </c>
      <c r="C15" s="209">
        <v>22</v>
      </c>
      <c r="D15" s="210"/>
      <c r="E15" s="211"/>
      <c r="F15" s="211"/>
      <c r="G15" s="211"/>
      <c r="H15" s="200">
        <f t="shared" si="0"/>
        <v>22</v>
      </c>
    </row>
    <row r="16" spans="1:8" ht="13.5" thickBot="1">
      <c r="A16" s="287" t="s">
        <v>32</v>
      </c>
      <c r="B16" s="288"/>
      <c r="C16" s="212">
        <f>SUM(C5:C15)</f>
        <v>169</v>
      </c>
      <c r="D16" s="213">
        <f>SUM(D5:D15)</f>
        <v>361</v>
      </c>
      <c r="E16" s="213">
        <f>SUM(E5:E15)</f>
        <v>23</v>
      </c>
      <c r="F16" s="213"/>
      <c r="G16" s="213"/>
      <c r="H16" s="214">
        <f>SUM(H5:H15)</f>
        <v>562</v>
      </c>
    </row>
    <row r="20" spans="1:6" ht="12.75">
      <c r="A20" s="289" t="s">
        <v>127</v>
      </c>
      <c r="B20" s="289"/>
      <c r="C20" s="289"/>
      <c r="D20" s="289"/>
      <c r="E20" s="289"/>
      <c r="F20" s="289"/>
    </row>
    <row r="21" ht="13.5" thickBot="1"/>
    <row r="22" spans="1:6" ht="26.25" thickBot="1">
      <c r="A22" s="158" t="s">
        <v>150</v>
      </c>
      <c r="B22" s="215" t="s">
        <v>151</v>
      </c>
      <c r="C22" s="159" t="s">
        <v>120</v>
      </c>
      <c r="D22" s="159" t="s">
        <v>144</v>
      </c>
      <c r="E22" s="159" t="s">
        <v>145</v>
      </c>
      <c r="F22" s="216" t="s">
        <v>146</v>
      </c>
    </row>
    <row r="23" spans="1:6" ht="12.75">
      <c r="A23" s="195" t="s">
        <v>157</v>
      </c>
      <c r="B23" s="217" t="s">
        <v>158</v>
      </c>
      <c r="C23" s="218">
        <f aca="true" t="shared" si="1" ref="C23:C33">H5</f>
        <v>122</v>
      </c>
      <c r="D23" s="219" t="s">
        <v>179</v>
      </c>
      <c r="E23" s="220">
        <v>18103</v>
      </c>
      <c r="F23" s="221">
        <f>+C23*E23</f>
        <v>2208566</v>
      </c>
    </row>
    <row r="24" spans="1:6" ht="12.75">
      <c r="A24" s="201" t="s">
        <v>159</v>
      </c>
      <c r="B24" s="222" t="s">
        <v>160</v>
      </c>
      <c r="C24" s="223">
        <f t="shared" si="1"/>
        <v>71</v>
      </c>
      <c r="D24" s="224" t="s">
        <v>179</v>
      </c>
      <c r="E24" s="225">
        <v>50091</v>
      </c>
      <c r="F24" s="226">
        <f>+C24*E24</f>
        <v>3556461</v>
      </c>
    </row>
    <row r="25" spans="1:6" ht="12.75">
      <c r="A25" s="201" t="s">
        <v>161</v>
      </c>
      <c r="B25" s="222" t="s">
        <v>162</v>
      </c>
      <c r="C25" s="223">
        <f t="shared" si="1"/>
        <v>65</v>
      </c>
      <c r="D25" s="224" t="s">
        <v>180</v>
      </c>
      <c r="E25" s="225">
        <v>4059</v>
      </c>
      <c r="F25" s="226">
        <f>E25*C25</f>
        <v>263835</v>
      </c>
    </row>
    <row r="26" spans="1:6" ht="12.75">
      <c r="A26" s="201" t="s">
        <v>163</v>
      </c>
      <c r="B26" s="222" t="s">
        <v>164</v>
      </c>
      <c r="C26" s="223">
        <f t="shared" si="1"/>
        <v>85</v>
      </c>
      <c r="D26" s="224"/>
      <c r="E26" s="225"/>
      <c r="F26" s="227"/>
    </row>
    <row r="27" spans="1:6" ht="12.75">
      <c r="A27" s="205" t="s">
        <v>165</v>
      </c>
      <c r="B27" s="228" t="s">
        <v>166</v>
      </c>
      <c r="C27" s="223">
        <f t="shared" si="1"/>
        <v>1</v>
      </c>
      <c r="D27" s="224"/>
      <c r="E27" s="225"/>
      <c r="F27" s="227"/>
    </row>
    <row r="28" spans="1:6" ht="12.75">
      <c r="A28" s="205" t="s">
        <v>167</v>
      </c>
      <c r="B28" s="222" t="s">
        <v>168</v>
      </c>
      <c r="C28" s="223">
        <f t="shared" si="1"/>
        <v>1</v>
      </c>
      <c r="D28" s="224"/>
      <c r="E28" s="225"/>
      <c r="F28" s="227"/>
    </row>
    <row r="29" spans="1:6" ht="12.75">
      <c r="A29" s="205" t="s">
        <v>169</v>
      </c>
      <c r="B29" s="222" t="s">
        <v>170</v>
      </c>
      <c r="C29" s="223">
        <f t="shared" si="1"/>
        <v>1</v>
      </c>
      <c r="D29" s="224"/>
      <c r="E29" s="225"/>
      <c r="F29" s="227"/>
    </row>
    <row r="30" spans="1:6" ht="12.75">
      <c r="A30" s="205" t="s">
        <v>171</v>
      </c>
      <c r="B30" s="222" t="s">
        <v>172</v>
      </c>
      <c r="C30" s="223">
        <f t="shared" si="1"/>
        <v>164</v>
      </c>
      <c r="D30" s="224" t="s">
        <v>179</v>
      </c>
      <c r="E30" s="225">
        <v>27583</v>
      </c>
      <c r="F30" s="226">
        <f>+C30*E30</f>
        <v>4523612</v>
      </c>
    </row>
    <row r="31" spans="1:6" ht="12.75">
      <c r="A31" s="205" t="s">
        <v>173</v>
      </c>
      <c r="B31" s="222" t="s">
        <v>174</v>
      </c>
      <c r="C31" s="223">
        <f t="shared" si="1"/>
        <v>6</v>
      </c>
      <c r="D31" s="224"/>
      <c r="E31" s="225"/>
      <c r="F31" s="227"/>
    </row>
    <row r="32" spans="1:6" ht="12.75">
      <c r="A32" s="205" t="s">
        <v>175</v>
      </c>
      <c r="B32" s="222" t="s">
        <v>176</v>
      </c>
      <c r="C32" s="223">
        <f t="shared" si="1"/>
        <v>24</v>
      </c>
      <c r="D32" s="224" t="s">
        <v>179</v>
      </c>
      <c r="E32" s="225">
        <v>133893</v>
      </c>
      <c r="F32" s="226">
        <f>+C32*E32</f>
        <v>3213432</v>
      </c>
    </row>
    <row r="33" spans="1:6" ht="13.5" thickBot="1">
      <c r="A33" s="207" t="s">
        <v>177</v>
      </c>
      <c r="B33" s="229" t="s">
        <v>178</v>
      </c>
      <c r="C33" s="230">
        <f t="shared" si="1"/>
        <v>22</v>
      </c>
      <c r="D33" s="231" t="s">
        <v>179</v>
      </c>
      <c r="E33" s="232">
        <v>121489</v>
      </c>
      <c r="F33" s="233">
        <f>+C33*E33</f>
        <v>2672758</v>
      </c>
    </row>
    <row r="34" ht="12.75">
      <c r="A34" s="128" t="s">
        <v>181</v>
      </c>
    </row>
    <row r="35" ht="13.5" thickBot="1"/>
    <row r="36" spans="1:9" ht="40.5" thickBot="1">
      <c r="A36" s="173" t="s">
        <v>33</v>
      </c>
      <c r="B36" s="174" t="s">
        <v>34</v>
      </c>
      <c r="C36" s="174" t="s">
        <v>35</v>
      </c>
      <c r="D36" s="174" t="s">
        <v>36</v>
      </c>
      <c r="E36" s="173" t="s">
        <v>133</v>
      </c>
      <c r="F36" s="174" t="s">
        <v>134</v>
      </c>
      <c r="G36" s="174" t="s">
        <v>39</v>
      </c>
      <c r="H36" s="174" t="s">
        <v>40</v>
      </c>
      <c r="I36" s="174" t="s">
        <v>41</v>
      </c>
    </row>
    <row r="37" spans="1:9" ht="12.75">
      <c r="A37" s="234" t="s">
        <v>135</v>
      </c>
      <c r="B37" s="176">
        <v>33.6</v>
      </c>
      <c r="C37" s="177">
        <f>141.5/(131.5+B37)*1000</f>
        <v>857.0563294972744</v>
      </c>
      <c r="D37" s="178">
        <f>+(C37*3.7853)/1000000</f>
        <v>0.003244215324046033</v>
      </c>
      <c r="E37" s="180">
        <f>SUM(F23:F33)-F25</f>
        <v>16174829</v>
      </c>
      <c r="F37" s="180">
        <f>D37*E37</f>
        <v>52474.62810562417</v>
      </c>
      <c r="G37" s="235">
        <f>F37/1000</f>
        <v>52.47462810562417</v>
      </c>
      <c r="H37" s="180">
        <v>43.33</v>
      </c>
      <c r="I37" s="182">
        <f>(G37*H37)</f>
        <v>2273.725635816695</v>
      </c>
    </row>
    <row r="38" spans="1:9" ht="13.5" thickBot="1">
      <c r="A38" s="236" t="s">
        <v>180</v>
      </c>
      <c r="B38" s="237">
        <v>60</v>
      </c>
      <c r="C38" s="238">
        <f>141.5/(131.5+B38)*1000</f>
        <v>738.9033942558747</v>
      </c>
      <c r="D38" s="239">
        <f>+(C38*3.7853)/1000000</f>
        <v>0.002796971018276762</v>
      </c>
      <c r="E38" s="188">
        <f>F25</f>
        <v>263835</v>
      </c>
      <c r="F38" s="187">
        <f>D38*E38</f>
        <v>737.9388486070495</v>
      </c>
      <c r="G38" s="240">
        <f>F38/1000</f>
        <v>0.7379388486070495</v>
      </c>
      <c r="H38" s="187">
        <v>44.8</v>
      </c>
      <c r="I38" s="189">
        <f>(G38*H38)</f>
        <v>33.059660417595815</v>
      </c>
    </row>
    <row r="40" ht="12.75">
      <c r="A40" s="52" t="s">
        <v>116</v>
      </c>
    </row>
  </sheetData>
  <mergeCells count="3">
    <mergeCell ref="A2:G2"/>
    <mergeCell ref="A16:B16"/>
    <mergeCell ref="A20:F20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showGridLines="0" workbookViewId="0" topLeftCell="A1">
      <selection activeCell="H49" sqref="H49"/>
    </sheetView>
  </sheetViews>
  <sheetFormatPr defaultColWidth="11.421875" defaultRowHeight="12.75"/>
  <cols>
    <col min="1" max="1" width="3.00390625" style="0" customWidth="1"/>
  </cols>
  <sheetData>
    <row r="2" spans="2:17" ht="15.75">
      <c r="B2" s="19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2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12.75">
      <c r="B4" s="265" t="s">
        <v>48</v>
      </c>
      <c r="C4" s="265"/>
      <c r="D4" s="265"/>
      <c r="E4" s="265"/>
      <c r="F4" s="265"/>
      <c r="G4" s="22"/>
      <c r="H4" s="265" t="s">
        <v>49</v>
      </c>
      <c r="I4" s="265"/>
      <c r="J4" s="265"/>
      <c r="K4" s="265"/>
      <c r="L4" s="265"/>
      <c r="M4" s="265"/>
      <c r="N4" s="265"/>
      <c r="O4" s="265"/>
      <c r="P4" s="265"/>
      <c r="Q4" s="265"/>
    </row>
    <row r="5" spans="2:17" ht="24">
      <c r="B5" s="266" t="s">
        <v>50</v>
      </c>
      <c r="C5" s="266"/>
      <c r="D5" s="23" t="s">
        <v>51</v>
      </c>
      <c r="E5" s="24" t="s">
        <v>52</v>
      </c>
      <c r="F5" s="24" t="s">
        <v>53</v>
      </c>
      <c r="G5" s="22"/>
      <c r="H5" s="267" t="s">
        <v>50</v>
      </c>
      <c r="I5" s="267"/>
      <c r="J5" s="267"/>
      <c r="K5" s="267"/>
      <c r="L5" s="267" t="s">
        <v>54</v>
      </c>
      <c r="M5" s="267"/>
      <c r="N5" s="267"/>
      <c r="O5" s="267" t="s">
        <v>55</v>
      </c>
      <c r="P5" s="267"/>
      <c r="Q5" s="267"/>
    </row>
    <row r="6" spans="2:17" ht="12.75">
      <c r="B6" s="268" t="s">
        <v>56</v>
      </c>
      <c r="C6" s="268"/>
      <c r="D6" s="25">
        <v>70000</v>
      </c>
      <c r="E6" s="25">
        <v>67500</v>
      </c>
      <c r="F6" s="25">
        <v>73000</v>
      </c>
      <c r="G6" s="22"/>
      <c r="H6" s="267"/>
      <c r="I6" s="267"/>
      <c r="J6" s="267"/>
      <c r="K6" s="267"/>
      <c r="L6" s="24" t="s">
        <v>57</v>
      </c>
      <c r="M6" s="24" t="s">
        <v>52</v>
      </c>
      <c r="N6" s="24" t="s">
        <v>53</v>
      </c>
      <c r="O6" s="24" t="s">
        <v>57</v>
      </c>
      <c r="P6" s="24" t="s">
        <v>52</v>
      </c>
      <c r="Q6" s="24" t="s">
        <v>53</v>
      </c>
    </row>
    <row r="7" spans="2:17" ht="12.75">
      <c r="B7" s="268" t="s">
        <v>58</v>
      </c>
      <c r="C7" s="268"/>
      <c r="D7" s="25">
        <v>71500</v>
      </c>
      <c r="E7" s="25">
        <v>69800</v>
      </c>
      <c r="F7" s="25">
        <v>74400</v>
      </c>
      <c r="G7" s="22"/>
      <c r="H7" s="271" t="s">
        <v>59</v>
      </c>
      <c r="I7" s="268"/>
      <c r="J7" s="268"/>
      <c r="K7" s="268"/>
      <c r="L7" s="26">
        <v>0.5</v>
      </c>
      <c r="M7" s="26"/>
      <c r="N7" s="26"/>
      <c r="O7" s="26">
        <v>2</v>
      </c>
      <c r="P7" s="26"/>
      <c r="Q7" s="26"/>
    </row>
    <row r="8" spans="2:17" ht="12.75">
      <c r="B8" s="272" t="s">
        <v>60</v>
      </c>
      <c r="C8" s="272"/>
      <c r="D8" s="272"/>
      <c r="E8" s="272"/>
      <c r="F8" s="272"/>
      <c r="G8" s="22"/>
      <c r="H8" s="27" t="s">
        <v>60</v>
      </c>
      <c r="I8" s="28"/>
      <c r="J8" s="28"/>
      <c r="K8" s="28"/>
      <c r="L8" s="28"/>
      <c r="M8" s="28"/>
      <c r="N8" s="28"/>
      <c r="O8" s="28"/>
      <c r="P8" s="28"/>
      <c r="Q8" s="28"/>
    </row>
    <row r="9" spans="2:17" ht="13.5" thickBot="1">
      <c r="B9" s="273"/>
      <c r="C9" s="273"/>
      <c r="D9" s="273"/>
      <c r="E9" s="273"/>
      <c r="F9" s="273"/>
      <c r="G9" s="22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2:17" ht="12.75">
      <c r="B10" s="30" t="s">
        <v>61</v>
      </c>
      <c r="C10" s="31"/>
      <c r="D10" s="3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12.75">
      <c r="B11" s="33" t="s">
        <v>62</v>
      </c>
      <c r="C11" s="34"/>
      <c r="D11" s="3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7" ht="13.5" thickBot="1">
      <c r="B12" s="36" t="s">
        <v>63</v>
      </c>
      <c r="C12" s="37"/>
      <c r="D12" s="3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4" spans="2:17" ht="15.75">
      <c r="B14" s="19" t="s">
        <v>64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270" t="s">
        <v>65</v>
      </c>
      <c r="C16" s="270"/>
      <c r="D16" s="270"/>
      <c r="E16" s="270"/>
      <c r="F16" s="270"/>
      <c r="G16" s="22"/>
      <c r="H16" s="270" t="s">
        <v>66</v>
      </c>
      <c r="I16" s="270"/>
      <c r="J16" s="270"/>
      <c r="K16" s="270"/>
      <c r="L16" s="270"/>
      <c r="M16" s="270"/>
      <c r="N16" s="270"/>
      <c r="O16" s="270"/>
      <c r="P16" s="270"/>
      <c r="Q16" s="270"/>
    </row>
    <row r="17" spans="2:17" ht="24">
      <c r="B17" s="269" t="s">
        <v>50</v>
      </c>
      <c r="C17" s="269"/>
      <c r="D17" s="39" t="s">
        <v>51</v>
      </c>
      <c r="E17" s="40" t="s">
        <v>52</v>
      </c>
      <c r="F17" s="40" t="s">
        <v>53</v>
      </c>
      <c r="G17" s="22"/>
      <c r="H17" s="270" t="s">
        <v>67</v>
      </c>
      <c r="I17" s="270"/>
      <c r="J17" s="270"/>
      <c r="K17" s="270"/>
      <c r="L17" s="270" t="s">
        <v>68</v>
      </c>
      <c r="M17" s="270"/>
      <c r="N17" s="270"/>
      <c r="O17" s="270" t="s">
        <v>69</v>
      </c>
      <c r="P17" s="270"/>
      <c r="Q17" s="270"/>
    </row>
    <row r="18" spans="2:17" ht="12.75">
      <c r="B18" s="268" t="s">
        <v>70</v>
      </c>
      <c r="C18" s="268"/>
      <c r="D18" s="25">
        <v>69300</v>
      </c>
      <c r="E18" s="25">
        <v>67500</v>
      </c>
      <c r="F18" s="25">
        <v>73000</v>
      </c>
      <c r="G18" s="22"/>
      <c r="H18" s="270"/>
      <c r="I18" s="270"/>
      <c r="J18" s="270"/>
      <c r="K18" s="270"/>
      <c r="L18" s="40" t="s">
        <v>57</v>
      </c>
      <c r="M18" s="40" t="s">
        <v>52</v>
      </c>
      <c r="N18" s="40" t="s">
        <v>53</v>
      </c>
      <c r="O18" s="40" t="s">
        <v>57</v>
      </c>
      <c r="P18" s="40" t="s">
        <v>52</v>
      </c>
      <c r="Q18" s="40" t="s">
        <v>53</v>
      </c>
    </row>
    <row r="19" spans="2:17" ht="13.5">
      <c r="B19" s="268" t="s">
        <v>71</v>
      </c>
      <c r="C19" s="268"/>
      <c r="D19" s="25">
        <v>74100</v>
      </c>
      <c r="E19" s="25">
        <v>72600</v>
      </c>
      <c r="F19" s="25">
        <v>74800</v>
      </c>
      <c r="G19" s="22"/>
      <c r="H19" s="268" t="s">
        <v>72</v>
      </c>
      <c r="I19" s="268"/>
      <c r="J19" s="268"/>
      <c r="K19" s="268"/>
      <c r="L19" s="26">
        <v>33</v>
      </c>
      <c r="M19" s="26">
        <v>9.6</v>
      </c>
      <c r="N19" s="26">
        <v>110</v>
      </c>
      <c r="O19" s="26">
        <v>3.2</v>
      </c>
      <c r="P19" s="26">
        <v>0.96</v>
      </c>
      <c r="Q19" s="26">
        <v>11</v>
      </c>
    </row>
    <row r="20" spans="2:17" ht="13.5">
      <c r="B20" s="268" t="s">
        <v>73</v>
      </c>
      <c r="C20" s="268"/>
      <c r="D20" s="25">
        <v>63100</v>
      </c>
      <c r="E20" s="25">
        <v>61600</v>
      </c>
      <c r="F20" s="25">
        <v>65600</v>
      </c>
      <c r="G20" s="22"/>
      <c r="H20" s="268" t="s">
        <v>74</v>
      </c>
      <c r="I20" s="268"/>
      <c r="J20" s="268"/>
      <c r="K20" s="268"/>
      <c r="L20" s="26">
        <v>25</v>
      </c>
      <c r="M20" s="26">
        <v>7.5</v>
      </c>
      <c r="N20" s="26">
        <v>86</v>
      </c>
      <c r="O20" s="26">
        <v>8</v>
      </c>
      <c r="P20" s="26">
        <v>2.6</v>
      </c>
      <c r="Q20" s="26">
        <v>24</v>
      </c>
    </row>
    <row r="21" spans="2:17" ht="12.75">
      <c r="B21" s="268" t="s">
        <v>75</v>
      </c>
      <c r="C21" s="268"/>
      <c r="D21" s="25">
        <v>71900</v>
      </c>
      <c r="E21" s="25">
        <v>70800</v>
      </c>
      <c r="F21" s="25">
        <v>73700</v>
      </c>
      <c r="G21" s="22"/>
      <c r="H21" s="274" t="s">
        <v>76</v>
      </c>
      <c r="I21" s="275"/>
      <c r="J21" s="275"/>
      <c r="K21" s="276"/>
      <c r="L21" s="26">
        <v>3.8</v>
      </c>
      <c r="M21" s="26">
        <v>1.1</v>
      </c>
      <c r="N21" s="26">
        <v>13</v>
      </c>
      <c r="O21" s="26">
        <v>5.7</v>
      </c>
      <c r="P21" s="26">
        <v>1.9</v>
      </c>
      <c r="Q21" s="26">
        <v>17</v>
      </c>
    </row>
    <row r="22" spans="2:17" ht="13.5">
      <c r="B22" s="268" t="s">
        <v>77</v>
      </c>
      <c r="C22" s="268"/>
      <c r="D22" s="25">
        <v>73300</v>
      </c>
      <c r="E22" s="25">
        <v>71900</v>
      </c>
      <c r="F22" s="25">
        <v>75200</v>
      </c>
      <c r="G22" s="22"/>
      <c r="H22" s="268" t="s">
        <v>78</v>
      </c>
      <c r="I22" s="268"/>
      <c r="J22" s="268"/>
      <c r="K22" s="268"/>
      <c r="L22" s="26">
        <v>3.9</v>
      </c>
      <c r="M22" s="26">
        <v>1.6</v>
      </c>
      <c r="N22" s="26">
        <v>9.5</v>
      </c>
      <c r="O22" s="26">
        <v>3.9</v>
      </c>
      <c r="P22" s="26">
        <v>1.3</v>
      </c>
      <c r="Q22" s="26">
        <v>12</v>
      </c>
    </row>
    <row r="23" spans="2:17" ht="13.5">
      <c r="B23" s="268" t="s">
        <v>79</v>
      </c>
      <c r="C23" s="268"/>
      <c r="D23" s="25">
        <v>56100</v>
      </c>
      <c r="E23" s="25">
        <v>54300</v>
      </c>
      <c r="F23" s="25">
        <v>58300</v>
      </c>
      <c r="G23" s="22"/>
      <c r="H23" s="268" t="s">
        <v>80</v>
      </c>
      <c r="I23" s="268"/>
      <c r="J23" s="268"/>
      <c r="K23" s="268"/>
      <c r="L23" s="26">
        <v>92</v>
      </c>
      <c r="M23" s="26">
        <v>50</v>
      </c>
      <c r="N23" s="26">
        <v>1540</v>
      </c>
      <c r="O23" s="26">
        <v>3</v>
      </c>
      <c r="P23" s="26">
        <v>1</v>
      </c>
      <c r="Q23" s="26">
        <v>77</v>
      </c>
    </row>
    <row r="24" spans="2:17" ht="13.5">
      <c r="B24" s="268" t="s">
        <v>81</v>
      </c>
      <c r="C24" s="268"/>
      <c r="D24" s="25">
        <v>56100</v>
      </c>
      <c r="E24" s="25">
        <v>54300</v>
      </c>
      <c r="F24" s="25">
        <v>58300</v>
      </c>
      <c r="G24" s="22"/>
      <c r="H24" s="268" t="s">
        <v>82</v>
      </c>
      <c r="I24" s="268"/>
      <c r="J24" s="268"/>
      <c r="K24" s="268"/>
      <c r="L24" s="26">
        <v>62</v>
      </c>
      <c r="M24" s="26" t="s">
        <v>83</v>
      </c>
      <c r="N24" s="26" t="s">
        <v>83</v>
      </c>
      <c r="O24" s="26">
        <v>0.2</v>
      </c>
      <c r="P24" s="26" t="s">
        <v>83</v>
      </c>
      <c r="Q24" s="26" t="s">
        <v>83</v>
      </c>
    </row>
    <row r="25" spans="2:17" ht="13.5">
      <c r="B25" s="273" t="s">
        <v>86</v>
      </c>
      <c r="C25" s="273"/>
      <c r="D25" s="273"/>
      <c r="E25" s="273"/>
      <c r="F25" s="273"/>
      <c r="G25" s="22"/>
      <c r="H25" s="268" t="s">
        <v>84</v>
      </c>
      <c r="I25" s="268"/>
      <c r="J25" s="268"/>
      <c r="K25" s="268"/>
      <c r="L25" s="26">
        <v>260</v>
      </c>
      <c r="M25" s="26">
        <v>77</v>
      </c>
      <c r="N25" s="26">
        <v>880</v>
      </c>
      <c r="O25" s="26">
        <v>41</v>
      </c>
      <c r="P25" s="26">
        <v>13</v>
      </c>
      <c r="Q25" s="26">
        <v>123</v>
      </c>
    </row>
    <row r="26" spans="2:17" ht="13.5" customHeight="1">
      <c r="B26" s="273"/>
      <c r="C26" s="273"/>
      <c r="D26" s="273"/>
      <c r="E26" s="273"/>
      <c r="F26" s="273"/>
      <c r="G26" s="22"/>
      <c r="H26" s="268" t="s">
        <v>85</v>
      </c>
      <c r="I26" s="268"/>
      <c r="J26" s="268"/>
      <c r="K26" s="268"/>
      <c r="L26" s="26">
        <v>18</v>
      </c>
      <c r="M26" s="26">
        <v>13</v>
      </c>
      <c r="N26" s="26">
        <v>84</v>
      </c>
      <c r="O26" s="26" t="s">
        <v>83</v>
      </c>
      <c r="P26" s="26" t="s">
        <v>83</v>
      </c>
      <c r="Q26" s="26" t="s">
        <v>83</v>
      </c>
    </row>
    <row r="27" spans="2:17" ht="12.75" customHeight="1">
      <c r="B27" s="22"/>
      <c r="C27" s="22"/>
      <c r="D27" s="22"/>
      <c r="E27" s="22"/>
      <c r="F27" s="22"/>
      <c r="G27" s="22"/>
      <c r="H27" s="272" t="s">
        <v>87</v>
      </c>
      <c r="I27" s="272"/>
      <c r="J27" s="272"/>
      <c r="K27" s="272"/>
      <c r="L27" s="272"/>
      <c r="M27" s="272"/>
      <c r="N27" s="272"/>
      <c r="O27" s="272"/>
      <c r="P27" s="272"/>
      <c r="Q27" s="272"/>
    </row>
    <row r="28" spans="2:17" ht="12.75" customHeight="1">
      <c r="B28" s="22"/>
      <c r="C28" s="22"/>
      <c r="D28" s="22"/>
      <c r="E28" s="22"/>
      <c r="F28" s="22"/>
      <c r="G28" s="22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12.75" customHeight="1">
      <c r="B29" s="19" t="s">
        <v>88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0" ht="12.75">
      <c r="B30" s="21"/>
      <c r="C30" s="21"/>
      <c r="D30" s="21"/>
      <c r="E30" s="21"/>
      <c r="F30" s="21"/>
      <c r="G30" s="21"/>
      <c r="H30" s="21"/>
      <c r="I30" s="21"/>
      <c r="J30" s="21"/>
    </row>
    <row r="31" spans="2:10" ht="12.75" customHeight="1">
      <c r="B31" s="280" t="s">
        <v>89</v>
      </c>
      <c r="C31" s="281"/>
      <c r="D31" s="281"/>
      <c r="E31" s="281"/>
      <c r="F31" s="281"/>
      <c r="G31" s="281"/>
      <c r="H31" s="281"/>
      <c r="I31" s="22"/>
      <c r="J31" s="22"/>
    </row>
    <row r="32" spans="2:10" ht="12.75">
      <c r="B32" s="282" t="s">
        <v>90</v>
      </c>
      <c r="C32" s="269" t="s">
        <v>91</v>
      </c>
      <c r="D32" s="269"/>
      <c r="E32" s="269"/>
      <c r="F32" s="269" t="s">
        <v>92</v>
      </c>
      <c r="G32" s="269"/>
      <c r="H32" s="269"/>
      <c r="I32" s="22"/>
      <c r="J32" s="22"/>
    </row>
    <row r="33" spans="2:10" ht="12.75" customHeight="1">
      <c r="B33" s="283"/>
      <c r="C33" s="39" t="s">
        <v>57</v>
      </c>
      <c r="D33" s="40" t="s">
        <v>52</v>
      </c>
      <c r="E33" s="40" t="s">
        <v>53</v>
      </c>
      <c r="F33" s="39" t="s">
        <v>57</v>
      </c>
      <c r="G33" s="40" t="s">
        <v>52</v>
      </c>
      <c r="H33" s="40" t="s">
        <v>53</v>
      </c>
      <c r="I33" s="22"/>
      <c r="J33" s="22"/>
    </row>
    <row r="34" spans="2:10" ht="13.5">
      <c r="B34" s="41" t="s">
        <v>93</v>
      </c>
      <c r="C34" s="42">
        <v>74100</v>
      </c>
      <c r="D34" s="42">
        <v>72600</v>
      </c>
      <c r="E34" s="42">
        <v>74800</v>
      </c>
      <c r="F34" s="42">
        <v>96100</v>
      </c>
      <c r="G34" s="42">
        <v>72800</v>
      </c>
      <c r="H34" s="42">
        <v>100000</v>
      </c>
      <c r="I34" s="22"/>
      <c r="J34" s="22"/>
    </row>
    <row r="35" spans="2:10" ht="13.5">
      <c r="B35" s="41" t="s">
        <v>94</v>
      </c>
      <c r="C35" s="43">
        <v>4.15</v>
      </c>
      <c r="D35" s="43">
        <v>1.67</v>
      </c>
      <c r="E35" s="43">
        <v>10.4</v>
      </c>
      <c r="F35" s="43">
        <v>2</v>
      </c>
      <c r="G35" s="43">
        <v>0.6</v>
      </c>
      <c r="H35" s="43">
        <v>6</v>
      </c>
      <c r="I35" s="22"/>
      <c r="J35" s="22"/>
    </row>
    <row r="36" spans="2:10" ht="13.5">
      <c r="B36" s="41" t="s">
        <v>95</v>
      </c>
      <c r="C36" s="43">
        <v>28.6</v>
      </c>
      <c r="D36" s="43">
        <v>14.3</v>
      </c>
      <c r="E36" s="43">
        <v>85.8</v>
      </c>
      <c r="F36" s="43">
        <v>1.5</v>
      </c>
      <c r="G36" s="43">
        <v>0.5</v>
      </c>
      <c r="H36" s="43">
        <v>5</v>
      </c>
      <c r="I36" s="22"/>
      <c r="J36" s="22"/>
    </row>
    <row r="37" spans="2:10" ht="23.25" customHeight="1">
      <c r="B37" s="272" t="s">
        <v>96</v>
      </c>
      <c r="C37" s="272"/>
      <c r="D37" s="272"/>
      <c r="E37" s="272"/>
      <c r="F37" s="272"/>
      <c r="G37" s="272"/>
      <c r="H37" s="272"/>
      <c r="I37" s="22"/>
      <c r="J37" s="22"/>
    </row>
    <row r="38" spans="2:7" ht="12.75" customHeight="1">
      <c r="B38" s="22"/>
      <c r="C38" s="22"/>
      <c r="D38" s="22"/>
      <c r="E38" s="22"/>
      <c r="F38" s="22"/>
      <c r="G38" s="22"/>
    </row>
    <row r="39" spans="2:17" ht="15.75">
      <c r="B39" s="19" t="s">
        <v>97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3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3" ht="12.75">
      <c r="B41" s="270" t="s">
        <v>48</v>
      </c>
      <c r="C41" s="270"/>
      <c r="D41" s="270"/>
      <c r="E41" s="270"/>
      <c r="F41" s="270"/>
      <c r="G41" s="22"/>
      <c r="H41" s="284" t="s">
        <v>98</v>
      </c>
      <c r="I41" s="285"/>
      <c r="J41" s="285"/>
      <c r="K41" s="285"/>
      <c r="L41" s="285"/>
      <c r="M41" s="285"/>
    </row>
    <row r="42" spans="2:13" ht="12.75" customHeight="1">
      <c r="B42" s="269" t="s">
        <v>50</v>
      </c>
      <c r="C42" s="269"/>
      <c r="D42" s="39" t="s">
        <v>51</v>
      </c>
      <c r="E42" s="40" t="s">
        <v>52</v>
      </c>
      <c r="F42" s="40" t="s">
        <v>53</v>
      </c>
      <c r="G42" s="22"/>
      <c r="H42" s="44"/>
      <c r="I42" s="45"/>
      <c r="J42" s="45"/>
      <c r="K42" s="46"/>
      <c r="L42" s="47" t="s">
        <v>68</v>
      </c>
      <c r="M42" s="47" t="s">
        <v>69</v>
      </c>
    </row>
    <row r="43" spans="2:13" ht="12.75">
      <c r="B43" s="268" t="s">
        <v>19</v>
      </c>
      <c r="C43" s="268"/>
      <c r="D43" s="25">
        <v>69300</v>
      </c>
      <c r="E43" s="25">
        <v>67500</v>
      </c>
      <c r="F43" s="25">
        <v>73000</v>
      </c>
      <c r="G43" s="22"/>
      <c r="H43" s="268" t="s">
        <v>99</v>
      </c>
      <c r="I43" s="268"/>
      <c r="J43" s="268"/>
      <c r="K43" s="268"/>
      <c r="L43" s="26">
        <v>7</v>
      </c>
      <c r="M43" s="26">
        <v>2</v>
      </c>
    </row>
    <row r="44" spans="2:13" ht="12.75">
      <c r="B44" s="268" t="s">
        <v>100</v>
      </c>
      <c r="C44" s="268"/>
      <c r="D44" s="25">
        <v>71900</v>
      </c>
      <c r="E44" s="25">
        <v>70800</v>
      </c>
      <c r="F44" s="25">
        <v>73600</v>
      </c>
      <c r="G44" s="22"/>
      <c r="H44" s="277" t="s">
        <v>101</v>
      </c>
      <c r="I44" s="278"/>
      <c r="J44" s="278"/>
      <c r="K44" s="278"/>
      <c r="L44" s="278"/>
      <c r="M44" s="279"/>
    </row>
    <row r="45" spans="2:13" ht="12.75">
      <c r="B45" s="268" t="s">
        <v>102</v>
      </c>
      <c r="C45" s="268"/>
      <c r="D45" s="25">
        <v>74100</v>
      </c>
      <c r="E45" s="25">
        <v>72600</v>
      </c>
      <c r="F45" s="25">
        <v>74800</v>
      </c>
      <c r="G45" s="22"/>
      <c r="H45" s="27" t="s">
        <v>103</v>
      </c>
      <c r="I45" s="48"/>
      <c r="J45" s="48"/>
      <c r="K45" s="48"/>
      <c r="L45" s="48"/>
      <c r="M45" s="48"/>
    </row>
    <row r="46" spans="2:13" ht="12.75" customHeight="1">
      <c r="B46" s="268" t="s">
        <v>104</v>
      </c>
      <c r="C46" s="268"/>
      <c r="D46" s="25">
        <v>77400</v>
      </c>
      <c r="E46" s="25">
        <v>75500</v>
      </c>
      <c r="F46" s="25">
        <v>78800</v>
      </c>
      <c r="G46" s="22"/>
      <c r="H46" s="49"/>
      <c r="I46" s="49"/>
      <c r="J46" s="49"/>
      <c r="K46" s="49"/>
      <c r="L46" s="49"/>
      <c r="M46" s="49"/>
    </row>
    <row r="47" spans="2:13" ht="12.75">
      <c r="B47" s="268" t="s">
        <v>105</v>
      </c>
      <c r="C47" s="268"/>
      <c r="D47" s="25">
        <v>63100</v>
      </c>
      <c r="E47" s="25">
        <v>61600</v>
      </c>
      <c r="F47" s="25">
        <v>65600</v>
      </c>
      <c r="G47" s="22"/>
      <c r="H47" s="22"/>
      <c r="I47" s="22"/>
      <c r="J47" s="22"/>
      <c r="K47" s="22"/>
      <c r="L47" s="22"/>
      <c r="M47" s="22"/>
    </row>
    <row r="48" spans="2:13" ht="12.75">
      <c r="B48" s="268" t="s">
        <v>81</v>
      </c>
      <c r="C48" s="268"/>
      <c r="D48" s="25">
        <v>56100</v>
      </c>
      <c r="E48" s="25">
        <v>54300</v>
      </c>
      <c r="F48" s="25">
        <v>58300</v>
      </c>
      <c r="G48" s="22"/>
      <c r="H48" s="22"/>
      <c r="I48" s="22"/>
      <c r="J48" s="22"/>
      <c r="K48" s="22"/>
      <c r="L48" s="22"/>
      <c r="M48" s="22"/>
    </row>
    <row r="49" spans="2:13" ht="12.75" customHeight="1">
      <c r="B49" s="273" t="s">
        <v>103</v>
      </c>
      <c r="C49" s="273"/>
      <c r="D49" s="273"/>
      <c r="E49" s="273"/>
      <c r="F49" s="273"/>
      <c r="G49" s="22"/>
      <c r="H49" s="22"/>
      <c r="I49" s="22"/>
      <c r="J49" s="22"/>
      <c r="K49" s="22"/>
      <c r="L49" s="22"/>
      <c r="M49" s="22"/>
    </row>
    <row r="50" spans="2:13" ht="12.75">
      <c r="B50" s="273"/>
      <c r="C50" s="273"/>
      <c r="D50" s="273"/>
      <c r="E50" s="273"/>
      <c r="F50" s="273"/>
      <c r="G50" s="22"/>
      <c r="H50" s="22"/>
      <c r="I50" s="22"/>
      <c r="J50" s="22"/>
      <c r="K50" s="22"/>
      <c r="L50" s="22"/>
      <c r="M50" s="22"/>
    </row>
    <row r="51" ht="12.75">
      <c r="G51" s="22"/>
    </row>
    <row r="52" ht="12.75">
      <c r="G52" s="22"/>
    </row>
    <row r="53" ht="12.75">
      <c r="G53" s="22"/>
    </row>
    <row r="54" ht="12.75">
      <c r="G54" s="22"/>
    </row>
  </sheetData>
  <mergeCells count="50">
    <mergeCell ref="B46:C46"/>
    <mergeCell ref="B47:C47"/>
    <mergeCell ref="B48:C48"/>
    <mergeCell ref="B49:F50"/>
    <mergeCell ref="B42:C42"/>
    <mergeCell ref="B43:C43"/>
    <mergeCell ref="H43:K43"/>
    <mergeCell ref="B44:C44"/>
    <mergeCell ref="H44:M44"/>
    <mergeCell ref="B45:C45"/>
    <mergeCell ref="H27:Q27"/>
    <mergeCell ref="B31:H31"/>
    <mergeCell ref="B32:B33"/>
    <mergeCell ref="C32:E32"/>
    <mergeCell ref="F32:H32"/>
    <mergeCell ref="B37:H37"/>
    <mergeCell ref="B41:F41"/>
    <mergeCell ref="H41:M41"/>
    <mergeCell ref="H25:K25"/>
    <mergeCell ref="H26:K26"/>
    <mergeCell ref="B25:F26"/>
    <mergeCell ref="B22:C22"/>
    <mergeCell ref="H22:K22"/>
    <mergeCell ref="B23:C23"/>
    <mergeCell ref="H23:K23"/>
    <mergeCell ref="B24:C24"/>
    <mergeCell ref="H24:K24"/>
    <mergeCell ref="B19:C19"/>
    <mergeCell ref="H19:K19"/>
    <mergeCell ref="B20:C20"/>
    <mergeCell ref="H20:K20"/>
    <mergeCell ref="B21:C21"/>
    <mergeCell ref="H21:K21"/>
    <mergeCell ref="B7:C7"/>
    <mergeCell ref="H7:K7"/>
    <mergeCell ref="B8:F9"/>
    <mergeCell ref="B16:F16"/>
    <mergeCell ref="H16:Q16"/>
    <mergeCell ref="B17:C17"/>
    <mergeCell ref="H17:K18"/>
    <mergeCell ref="L17:N17"/>
    <mergeCell ref="O17:Q17"/>
    <mergeCell ref="B18:C18"/>
    <mergeCell ref="B4:F4"/>
    <mergeCell ref="H4:Q4"/>
    <mergeCell ref="B5:C5"/>
    <mergeCell ref="H5:K6"/>
    <mergeCell ref="L5:N5"/>
    <mergeCell ref="O5:Q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workbookViewId="0" topLeftCell="A1">
      <selection activeCell="A23" sqref="A23:L23"/>
    </sheetView>
  </sheetViews>
  <sheetFormatPr defaultColWidth="11.421875" defaultRowHeight="12.75"/>
  <cols>
    <col min="1" max="1" width="21.8515625" style="53" customWidth="1"/>
    <col min="2" max="2" width="13.57421875" style="53" bestFit="1" customWidth="1"/>
    <col min="3" max="3" width="10.421875" style="53" customWidth="1"/>
    <col min="4" max="4" width="11.7109375" style="53" customWidth="1"/>
    <col min="5" max="5" width="14.7109375" style="53" bestFit="1" customWidth="1"/>
    <col min="6" max="6" width="14.421875" style="53" customWidth="1"/>
    <col min="7" max="7" width="11.7109375" style="53" customWidth="1"/>
    <col min="8" max="8" width="13.8515625" style="53" customWidth="1"/>
    <col min="9" max="9" width="12.00390625" style="53" customWidth="1"/>
    <col min="10" max="10" width="15.8515625" style="53" customWidth="1"/>
    <col min="11" max="11" width="12.421875" style="53" customWidth="1"/>
    <col min="12" max="12" width="13.421875" style="53" customWidth="1"/>
    <col min="13" max="16384" width="11.421875" style="53" customWidth="1"/>
  </cols>
  <sheetData>
    <row r="2" spans="1:12" ht="12.75">
      <c r="A2" s="290" t="s">
        <v>113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12.75" thickBot="1"/>
    <row r="4" spans="2:12" ht="12.75">
      <c r="B4" s="54" t="s">
        <v>0</v>
      </c>
      <c r="C4" s="55"/>
      <c r="D4" s="291" t="s">
        <v>1</v>
      </c>
      <c r="E4" s="292"/>
      <c r="F4" s="291" t="s">
        <v>2</v>
      </c>
      <c r="G4" s="293"/>
      <c r="H4" s="291" t="s">
        <v>3</v>
      </c>
      <c r="I4" s="293"/>
      <c r="J4" s="291" t="s">
        <v>4</v>
      </c>
      <c r="K4" s="293"/>
      <c r="L4" s="54" t="s">
        <v>5</v>
      </c>
    </row>
    <row r="5" spans="1:12" ht="12.75">
      <c r="A5" s="296" t="s">
        <v>6</v>
      </c>
      <c r="B5" s="297" t="s">
        <v>7</v>
      </c>
      <c r="C5" s="297"/>
      <c r="D5" s="79" t="s">
        <v>8</v>
      </c>
      <c r="E5" s="79" t="s">
        <v>9</v>
      </c>
      <c r="F5" s="79" t="s">
        <v>10</v>
      </c>
      <c r="G5" s="79" t="s">
        <v>11</v>
      </c>
      <c r="H5" s="79" t="s">
        <v>12</v>
      </c>
      <c r="I5" s="79" t="s">
        <v>13</v>
      </c>
      <c r="J5" s="79" t="s">
        <v>14</v>
      </c>
      <c r="K5" s="79" t="s">
        <v>15</v>
      </c>
      <c r="L5" s="80"/>
    </row>
    <row r="6" spans="1:12" ht="48">
      <c r="A6" s="296"/>
      <c r="B6" s="81" t="s">
        <v>16</v>
      </c>
      <c r="C6" s="81" t="s">
        <v>114</v>
      </c>
      <c r="D6" s="81" t="s">
        <v>115</v>
      </c>
      <c r="E6" s="81" t="s">
        <v>17</v>
      </c>
      <c r="F6" s="81" t="s">
        <v>106</v>
      </c>
      <c r="G6" s="81" t="s">
        <v>107</v>
      </c>
      <c r="H6" s="81" t="s">
        <v>108</v>
      </c>
      <c r="I6" s="81" t="s">
        <v>109</v>
      </c>
      <c r="J6" s="81" t="s">
        <v>110</v>
      </c>
      <c r="K6" s="81" t="s">
        <v>111</v>
      </c>
      <c r="L6" s="81" t="s">
        <v>112</v>
      </c>
    </row>
    <row r="7" spans="1:12" ht="12.75" thickBot="1">
      <c r="A7" s="298" t="s">
        <v>18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</row>
    <row r="8" spans="1:12" ht="12.75">
      <c r="A8" s="56" t="s">
        <v>19</v>
      </c>
      <c r="B8" s="57">
        <f>SUM('Transporte terrestre'!E4:E7)</f>
        <v>387525665.2952253</v>
      </c>
      <c r="C8" s="57">
        <f>SUM('Transporte terrestre'!G4:G7)</f>
        <v>1092.4471200967298</v>
      </c>
      <c r="D8" s="58">
        <f>'Transporte terrestre'!H4</f>
        <v>44.8</v>
      </c>
      <c r="E8" s="58">
        <f>C8*D8</f>
        <v>48941.630980333495</v>
      </c>
      <c r="F8" s="84">
        <f>'FE GL 2006'!D18</f>
        <v>69300</v>
      </c>
      <c r="G8" s="82">
        <f>E8*F8/10^6</f>
        <v>3391.6550269371114</v>
      </c>
      <c r="H8" s="83">
        <f>'FE GL 2006'!L19</f>
        <v>33</v>
      </c>
      <c r="I8" s="83">
        <f>E8*H8/10^3</f>
        <v>1615.0738223510054</v>
      </c>
      <c r="J8" s="83">
        <f>'FE GL 2006'!O19</f>
        <v>3.2</v>
      </c>
      <c r="K8" s="83">
        <f>E8*J8/10^3</f>
        <v>156.61321913706718</v>
      </c>
      <c r="L8" s="89">
        <f>G8+I8*21/1000+K8*310/1000</f>
        <v>3474.1216751389734</v>
      </c>
    </row>
    <row r="9" spans="1:12" ht="12.75">
      <c r="A9" s="59" t="s">
        <v>20</v>
      </c>
      <c r="B9" s="60">
        <f>'Transporte terrestre'!E8</f>
        <v>540498262.69558</v>
      </c>
      <c r="C9" s="60">
        <f>'Transporte terrestre'!G8</f>
        <v>1753.492746457259</v>
      </c>
      <c r="D9" s="61">
        <f>'Transporte terrestre'!H8</f>
        <v>43.33</v>
      </c>
      <c r="E9" s="61">
        <f>C9*D9</f>
        <v>75978.84070399303</v>
      </c>
      <c r="F9" s="87">
        <f>'FE GL 2006'!D19</f>
        <v>74100</v>
      </c>
      <c r="G9" s="88">
        <f aca="true" t="shared" si="0" ref="G9:G10">E9*F9/10^6</f>
        <v>5630.0320961658845</v>
      </c>
      <c r="H9" s="86">
        <f>'FE GL 2006'!L22</f>
        <v>3.9</v>
      </c>
      <c r="I9" s="85">
        <f>E9*H9/10^3</f>
        <v>296.31747874557277</v>
      </c>
      <c r="J9" s="86">
        <f>'FE GL 2006'!O22</f>
        <v>3.9</v>
      </c>
      <c r="K9" s="86">
        <f>E9*J9/10^3</f>
        <v>296.31747874557277</v>
      </c>
      <c r="L9" s="90">
        <f aca="true" t="shared" si="1" ref="L9:L10">G9+I9*21/1000+K9*310/1000</f>
        <v>5728.11318163067</v>
      </c>
    </row>
    <row r="10" spans="1:12" ht="12.75">
      <c r="A10" s="59" t="s">
        <v>21</v>
      </c>
      <c r="B10" s="60">
        <f>'Transporte terrestre'!E9</f>
        <v>22771223.462238647</v>
      </c>
      <c r="C10" s="60">
        <f>'Transporte terrestre'!G9</f>
        <v>48.2697108161027</v>
      </c>
      <c r="D10" s="61">
        <f>'Transporte terrestre'!H9</f>
        <v>47.31</v>
      </c>
      <c r="E10" s="61">
        <f>C10*D10</f>
        <v>2283.640018709819</v>
      </c>
      <c r="F10" s="61">
        <v>17.2</v>
      </c>
      <c r="G10" s="85">
        <f t="shared" si="0"/>
        <v>0.039278608321808885</v>
      </c>
      <c r="H10" s="86">
        <f>'FE GL 2006'!L24</f>
        <v>62</v>
      </c>
      <c r="I10" s="85">
        <f>E10*H10/10^3</f>
        <v>141.58568116000876</v>
      </c>
      <c r="J10" s="86">
        <f>'FE GL 2006'!O24</f>
        <v>0.2</v>
      </c>
      <c r="K10" s="86">
        <f>E10*J10/10^3</f>
        <v>0.45672800374196376</v>
      </c>
      <c r="L10" s="90">
        <f t="shared" si="1"/>
        <v>3.154163593842002</v>
      </c>
    </row>
    <row r="11" spans="1:12" ht="12.75" thickBo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2" ht="12.75" thickBot="1">
      <c r="A12" s="256" t="s">
        <v>22</v>
      </c>
      <c r="B12" s="257"/>
      <c r="C12" s="257"/>
      <c r="D12" s="257"/>
      <c r="E12" s="257"/>
      <c r="F12" s="257"/>
      <c r="G12" s="260">
        <f>SUM(G8:G10)</f>
        <v>9021.726401711318</v>
      </c>
      <c r="H12" s="260"/>
      <c r="I12" s="260">
        <f>SUM(I8:I10)</f>
        <v>2052.976982256587</v>
      </c>
      <c r="J12" s="257"/>
      <c r="K12" s="260">
        <f>SUM(K8:K10)</f>
        <v>453.3874258863819</v>
      </c>
      <c r="L12" s="91">
        <f>SUM(L8:L10)</f>
        <v>9205.389020363486</v>
      </c>
    </row>
    <row r="13" spans="1:12" ht="12.75">
      <c r="A13" s="301" t="s">
        <v>23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3"/>
    </row>
    <row r="14" spans="1:12" ht="12.75">
      <c r="A14" s="59" t="s">
        <v>20</v>
      </c>
      <c r="B14" s="137">
        <f>'parque ferroviario'!E22</f>
        <v>2326611</v>
      </c>
      <c r="C14" s="85">
        <f>'parque ferroviario'!G22</f>
        <v>7.548027059294065</v>
      </c>
      <c r="D14" s="61">
        <f>'parque ferroviario'!H22</f>
        <v>43.33</v>
      </c>
      <c r="E14" s="61">
        <f>C14*D14</f>
        <v>327.0560124792118</v>
      </c>
      <c r="F14" s="87">
        <f>'FE GL 2006'!C34</f>
        <v>74100</v>
      </c>
      <c r="G14" s="85">
        <f>E14*F14/10^6</f>
        <v>24.234850524709593</v>
      </c>
      <c r="H14" s="85">
        <f>'FE GL 2006'!C35</f>
        <v>4.15</v>
      </c>
      <c r="I14" s="85">
        <f>E14*H14/10^3</f>
        <v>1.357282451788729</v>
      </c>
      <c r="J14" s="86">
        <f>'FE GL 2006'!C36</f>
        <v>28.6</v>
      </c>
      <c r="K14" s="86">
        <f>E14*J14/10^3</f>
        <v>9.353801956905457</v>
      </c>
      <c r="L14" s="90">
        <f aca="true" t="shared" si="2" ref="L14">G14+I14*21/1000+K14*310/1000</f>
        <v>27.163032062837846</v>
      </c>
    </row>
    <row r="15" spans="1:12" ht="12.75" thickBot="1">
      <c r="A15" s="6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12" ht="12.75" thickBot="1">
      <c r="A16" s="256" t="s">
        <v>24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91">
        <f>SUM(L14:L14)</f>
        <v>27.163032062837846</v>
      </c>
    </row>
    <row r="17" spans="1:12" ht="12.75" thickBot="1">
      <c r="A17" s="304" t="s">
        <v>25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91">
        <f>L12+L16</f>
        <v>9232.552052426323</v>
      </c>
    </row>
    <row r="18" spans="1:12" ht="12.75" thickBot="1">
      <c r="A18" s="304" t="s">
        <v>26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6"/>
    </row>
    <row r="19" spans="1:12" ht="12.75">
      <c r="A19" s="56" t="s">
        <v>27</v>
      </c>
      <c r="B19" s="57">
        <f>'parque aéreo'!E14</f>
        <v>208058</v>
      </c>
      <c r="C19" s="57">
        <f>'parque aéreo'!G14</f>
        <v>0.5819321961206266</v>
      </c>
      <c r="D19" s="58">
        <f>'parque aéreo'!H14</f>
        <v>44.8</v>
      </c>
      <c r="E19" s="58">
        <f>C19*D19</f>
        <v>26.07056238620407</v>
      </c>
      <c r="F19" s="84">
        <f>'FE GL 2006'!D6</f>
        <v>70000</v>
      </c>
      <c r="G19" s="82">
        <f>E19*F19/10^6</f>
        <v>1.8249393670342848</v>
      </c>
      <c r="H19" s="82">
        <f>'FE GL 2006'!L7</f>
        <v>0.5</v>
      </c>
      <c r="I19" s="82">
        <f>E19*H19/10^3</f>
        <v>0.013035281193102035</v>
      </c>
      <c r="J19" s="83">
        <f>'FE GL 2006'!O7</f>
        <v>2</v>
      </c>
      <c r="K19" s="83">
        <f>E19*J19/10^3</f>
        <v>0.05214112477240814</v>
      </c>
      <c r="L19" s="89">
        <f>G19+I19*21/1000+K19*310/1000</f>
        <v>1.8413768566187865</v>
      </c>
    </row>
    <row r="20" spans="1:12" ht="12.75">
      <c r="A20" s="59" t="s">
        <v>28</v>
      </c>
      <c r="B20" s="60">
        <f>'parque aéreo'!E15</f>
        <v>43473105.481013685</v>
      </c>
      <c r="C20" s="60">
        <f>'parque aéreo'!G15</f>
        <v>133.08414332510645</v>
      </c>
      <c r="D20" s="61">
        <f>'parque aéreo'!H15</f>
        <v>44.59</v>
      </c>
      <c r="E20" s="61">
        <f>C20*D20</f>
        <v>5934.2219508664975</v>
      </c>
      <c r="F20" s="191">
        <f>'FE GL 2006'!D7</f>
        <v>71500</v>
      </c>
      <c r="G20" s="85">
        <f>E20*F20/10^6</f>
        <v>424.29686948695456</v>
      </c>
      <c r="H20" s="85">
        <f>'FE GL 2006'!L7</f>
        <v>0.5</v>
      </c>
      <c r="I20" s="85">
        <f>E20*H20/10^3</f>
        <v>2.9671109754332488</v>
      </c>
      <c r="J20" s="86">
        <f>'FE GL 2006'!O7</f>
        <v>2</v>
      </c>
      <c r="K20" s="86">
        <f>E20*J20/10^3</f>
        <v>11.868443901732995</v>
      </c>
      <c r="L20" s="90">
        <f aca="true" t="shared" si="3" ref="L20">G20+I20*21/1000+K20*310/1000</f>
        <v>428.03839642697585</v>
      </c>
    </row>
    <row r="21" spans="1:12" ht="12.75" thickBot="1">
      <c r="A21" s="67"/>
      <c r="B21" s="68"/>
      <c r="C21" s="68"/>
      <c r="D21" s="68"/>
      <c r="E21" s="68"/>
      <c r="F21" s="69"/>
      <c r="G21" s="68"/>
      <c r="H21" s="70"/>
      <c r="I21" s="68"/>
      <c r="J21" s="68"/>
      <c r="K21" s="68"/>
      <c r="L21" s="71"/>
    </row>
    <row r="22" spans="1:12" ht="12.75" thickBot="1">
      <c r="A22" s="258" t="s">
        <v>29</v>
      </c>
      <c r="B22" s="259"/>
      <c r="C22" s="259"/>
      <c r="D22" s="259"/>
      <c r="E22" s="259"/>
      <c r="F22" s="259"/>
      <c r="G22" s="261">
        <f>SUM(G19:G20)</f>
        <v>426.12180885398885</v>
      </c>
      <c r="H22" s="259"/>
      <c r="I22" s="261">
        <f>SUM(I19:I20)</f>
        <v>2.980146256626351</v>
      </c>
      <c r="J22" s="259"/>
      <c r="K22" s="261">
        <f>SUM(K19:K20)</f>
        <v>11.920585026505403</v>
      </c>
      <c r="L22" s="72">
        <f>SUM(L19:L20)</f>
        <v>429.87977328359466</v>
      </c>
    </row>
    <row r="23" spans="1:12" ht="12.75" thickBot="1">
      <c r="A23" s="307" t="s">
        <v>30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9"/>
    </row>
    <row r="24" spans="1:12" ht="12.75">
      <c r="A24" s="73" t="s">
        <v>19</v>
      </c>
      <c r="B24" s="242">
        <f>'parque acuático'!E38</f>
        <v>263835</v>
      </c>
      <c r="C24" s="74">
        <f>'parque acuático'!G38</f>
        <v>0.7379388486070495</v>
      </c>
      <c r="D24" s="75">
        <f>'parque acuático'!H38</f>
        <v>44.8</v>
      </c>
      <c r="E24" s="75">
        <f>C24*D24</f>
        <v>33.059660417595815</v>
      </c>
      <c r="F24" s="243">
        <f>'FE GL 2006'!D43</f>
        <v>69300</v>
      </c>
      <c r="G24" s="82">
        <f>E24*F24/10^6</f>
        <v>2.29103446693939</v>
      </c>
      <c r="H24" s="74">
        <f>'FE GL 2006'!L43</f>
        <v>7</v>
      </c>
      <c r="I24" s="82">
        <f>E24*H24/10^3</f>
        <v>0.23141762292317072</v>
      </c>
      <c r="J24" s="241">
        <f>'FE GL 2006'!M43</f>
        <v>2</v>
      </c>
      <c r="K24" s="83">
        <f>E24*J24/10^3</f>
        <v>0.06611932083519163</v>
      </c>
      <c r="L24" s="89">
        <f>G24+I24*21/1000+K24*310/1000</f>
        <v>2.316391226479686</v>
      </c>
    </row>
    <row r="25" spans="1:12" ht="12.75">
      <c r="A25" s="76" t="s">
        <v>20</v>
      </c>
      <c r="B25" s="60">
        <f>'parque acuático'!E37</f>
        <v>16174829</v>
      </c>
      <c r="C25" s="85">
        <f>'parque acuático'!G37</f>
        <v>52.47462810562417</v>
      </c>
      <c r="D25" s="61">
        <f>'parque acuático'!H37</f>
        <v>43.33</v>
      </c>
      <c r="E25" s="61">
        <f>C25*D25</f>
        <v>2273.725635816695</v>
      </c>
      <c r="F25" s="87">
        <f>'FE GL 2006'!D45</f>
        <v>74100</v>
      </c>
      <c r="G25" s="85">
        <f>E25*F25/10^6</f>
        <v>168.4830696140171</v>
      </c>
      <c r="H25" s="85">
        <f>H24</f>
        <v>7</v>
      </c>
      <c r="I25" s="85">
        <f>E25*H25/10^3</f>
        <v>15.916079450716865</v>
      </c>
      <c r="J25" s="86">
        <f>J24</f>
        <v>2</v>
      </c>
      <c r="K25" s="86">
        <f>E25*J25/10^3</f>
        <v>4.54745127163339</v>
      </c>
      <c r="L25" s="90">
        <f aca="true" t="shared" si="4" ref="L25">G25+I25*21/1000+K25*310/1000</f>
        <v>170.2270171766885</v>
      </c>
    </row>
    <row r="26" spans="1:12" ht="12.75" thickBot="1">
      <c r="A26" s="77"/>
      <c r="B26" s="68"/>
      <c r="C26" s="68"/>
      <c r="D26" s="68"/>
      <c r="E26" s="68"/>
      <c r="F26" s="68"/>
      <c r="G26" s="68"/>
      <c r="H26" s="70"/>
      <c r="I26" s="68"/>
      <c r="J26" s="68"/>
      <c r="K26" s="68"/>
      <c r="L26" s="71"/>
    </row>
    <row r="27" spans="1:12" ht="12.75" thickBot="1">
      <c r="A27" s="258" t="s">
        <v>31</v>
      </c>
      <c r="B27" s="259"/>
      <c r="C27" s="259"/>
      <c r="D27" s="259"/>
      <c r="E27" s="259"/>
      <c r="F27" s="259"/>
      <c r="G27" s="261">
        <f>SUM(G24:G25)</f>
        <v>170.77410408095648</v>
      </c>
      <c r="H27" s="259"/>
      <c r="I27" s="261">
        <f>SUM(I24:I25)</f>
        <v>16.147497073640036</v>
      </c>
      <c r="J27" s="259"/>
      <c r="K27" s="261">
        <f>SUM(K24:K25)</f>
        <v>4.613570592468582</v>
      </c>
      <c r="L27" s="244">
        <f>L25+L24</f>
        <v>172.54340840316817</v>
      </c>
    </row>
    <row r="28" spans="1:12" ht="12.75" thickBot="1">
      <c r="A28" s="78" t="s">
        <v>32</v>
      </c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45">
        <f>SUM(L17+L22+L27)</f>
        <v>9834.975234113086</v>
      </c>
    </row>
  </sheetData>
  <mergeCells count="13">
    <mergeCell ref="B28:K28"/>
    <mergeCell ref="A5:A6"/>
    <mergeCell ref="B5:C5"/>
    <mergeCell ref="A7:L7"/>
    <mergeCell ref="A13:L13"/>
    <mergeCell ref="A17:K17"/>
    <mergeCell ref="A18:L18"/>
    <mergeCell ref="A23:L23"/>
    <mergeCell ref="A2:L2"/>
    <mergeCell ref="D4:E4"/>
    <mergeCell ref="F4:G4"/>
    <mergeCell ref="H4:I4"/>
    <mergeCell ref="J4:K4"/>
  </mergeCells>
  <printOptions/>
  <pageMargins left="0.7" right="0.75" top="1.38" bottom="1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38.57421875" style="0" customWidth="1"/>
  </cols>
  <sheetData>
    <row r="2" spans="2:10" ht="15">
      <c r="B2" s="246" t="s">
        <v>196</v>
      </c>
      <c r="C2" s="247"/>
      <c r="D2" s="247"/>
      <c r="E2" s="248"/>
      <c r="F2" s="247"/>
      <c r="G2" s="247"/>
      <c r="H2" s="247"/>
      <c r="I2" s="247"/>
      <c r="J2" s="247"/>
    </row>
    <row r="3" spans="2:9" ht="12.75">
      <c r="B3" s="249"/>
      <c r="C3" s="249"/>
      <c r="D3" s="249"/>
      <c r="E3" s="249"/>
      <c r="F3" s="250" t="s">
        <v>182</v>
      </c>
      <c r="G3" s="250" t="s">
        <v>183</v>
      </c>
      <c r="H3" s="250" t="s">
        <v>184</v>
      </c>
      <c r="I3" s="249"/>
    </row>
    <row r="4" spans="2:6" ht="37.5" customHeight="1">
      <c r="B4" s="251" t="s">
        <v>185</v>
      </c>
      <c r="C4" s="251" t="s">
        <v>186</v>
      </c>
      <c r="D4" s="251" t="s">
        <v>187</v>
      </c>
      <c r="E4" s="251" t="s">
        <v>188</v>
      </c>
      <c r="F4" s="251" t="s">
        <v>189</v>
      </c>
    </row>
    <row r="5" spans="2:6" ht="12.75">
      <c r="B5" s="252" t="s">
        <v>6</v>
      </c>
      <c r="C5" s="253">
        <f>SUM(C6:C10)</f>
        <v>9655.121546989776</v>
      </c>
      <c r="D5" s="253">
        <f aca="true" t="shared" si="0" ref="D5:F5">SUM(D6:D10)</f>
        <v>2073.9584417155165</v>
      </c>
      <c r="E5" s="253">
        <f t="shared" si="0"/>
        <v>479.37469019763626</v>
      </c>
      <c r="F5" s="253">
        <f t="shared" si="0"/>
        <v>9847.280828227069</v>
      </c>
    </row>
    <row r="6" spans="2:6" ht="12.75">
      <c r="B6" s="254" t="s">
        <v>190</v>
      </c>
      <c r="C6" s="255">
        <f>'GL 2006'!G22</f>
        <v>426.12180885398885</v>
      </c>
      <c r="D6" s="255">
        <f>'GL 2006'!I22</f>
        <v>2.980146256626351</v>
      </c>
      <c r="E6" s="255">
        <f>'GL 2006'!K22</f>
        <v>11.920585026505403</v>
      </c>
      <c r="F6" s="255">
        <f aca="true" t="shared" si="1" ref="F6:F10">C6+(D6*21/10^3)+(E6*310/10^3)</f>
        <v>429.87977328359466</v>
      </c>
    </row>
    <row r="7" spans="2:6" ht="12.75">
      <c r="B7" s="254" t="s">
        <v>191</v>
      </c>
      <c r="C7" s="255">
        <f>'GL 2006'!G12</f>
        <v>9021.726401711318</v>
      </c>
      <c r="D7" s="255">
        <f>'GL 2006'!I12</f>
        <v>2052.976982256587</v>
      </c>
      <c r="E7" s="255">
        <f>'GL 2006'!K12</f>
        <v>453.3874258863819</v>
      </c>
      <c r="F7" s="255">
        <f t="shared" si="1"/>
        <v>9205.389020363484</v>
      </c>
    </row>
    <row r="8" spans="2:6" ht="12.75">
      <c r="B8" s="254" t="s">
        <v>192</v>
      </c>
      <c r="C8" s="255">
        <f>'GL 2006'!G14</f>
        <v>24.234850524709593</v>
      </c>
      <c r="D8" s="255">
        <f>'GL 2006'!I14</f>
        <v>1.357282451788729</v>
      </c>
      <c r="E8" s="255">
        <f>'GL 2006'!K14</f>
        <v>9.353801956905457</v>
      </c>
      <c r="F8" s="255">
        <f t="shared" si="1"/>
        <v>27.163032062837846</v>
      </c>
    </row>
    <row r="9" spans="2:6" ht="12.75">
      <c r="B9" s="254" t="s">
        <v>193</v>
      </c>
      <c r="C9" s="255">
        <f>'GL 2006'!G27</f>
        <v>170.77410408095648</v>
      </c>
      <c r="D9" s="255">
        <f>'GL 2006'!I27</f>
        <v>16.147497073640036</v>
      </c>
      <c r="E9" s="255">
        <f>'GL 2006'!K27</f>
        <v>4.613570592468582</v>
      </c>
      <c r="F9" s="255">
        <f t="shared" si="1"/>
        <v>172.54340840316817</v>
      </c>
    </row>
    <row r="10" spans="2:6" ht="12.75">
      <c r="B10" s="263" t="s">
        <v>194</v>
      </c>
      <c r="C10" s="264">
        <v>12.264381818804743</v>
      </c>
      <c r="D10" s="264">
        <v>0.4965336768746859</v>
      </c>
      <c r="E10" s="264">
        <v>0.09930673537493717</v>
      </c>
      <c r="F10" s="264">
        <f t="shared" si="1"/>
        <v>12.305594113985341</v>
      </c>
    </row>
    <row r="11" spans="2:6" ht="12.75">
      <c r="B11" s="310" t="s">
        <v>195</v>
      </c>
      <c r="C11" s="310"/>
      <c r="D11" s="310"/>
      <c r="E11" s="310"/>
      <c r="F11" s="310"/>
    </row>
    <row r="12" spans="4:5" ht="12.75">
      <c r="D12" s="262"/>
      <c r="E12" s="262"/>
    </row>
    <row r="13" spans="4:5" ht="12.75">
      <c r="D13" s="262"/>
      <c r="E13" s="262"/>
    </row>
    <row r="14" spans="4:5" ht="12.75">
      <c r="D14" s="262"/>
      <c r="E14" s="262"/>
    </row>
    <row r="15" spans="4:5" ht="12.75">
      <c r="D15" s="262"/>
      <c r="E15" s="262"/>
    </row>
  </sheetData>
  <mergeCells count="1">
    <mergeCell ref="B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</dc:creator>
  <cp:keywords/>
  <dc:description/>
  <cp:lastModifiedBy>Margoth Melissa Espinoza Cipriano</cp:lastModifiedBy>
  <dcterms:created xsi:type="dcterms:W3CDTF">2015-07-21T16:09:05Z</dcterms:created>
  <dcterms:modified xsi:type="dcterms:W3CDTF">2016-06-27T15:08:42Z</dcterms:modified>
  <cp:category/>
  <cp:version/>
  <cp:contentType/>
  <cp:contentStatus/>
</cp:coreProperties>
</file>