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/>
  <mc:AlternateContent xmlns:mc="http://schemas.openxmlformats.org/markup-compatibility/2006">
    <mc:Choice Requires="x15">
      <x15ac:absPath xmlns:x15ac="http://schemas.microsoft.com/office/spreadsheetml/2010/11/ac" url="C:\Users\minam\Desktop\Consultoria CAEP-GGGI-MINAM\Doc Web INFOCARBONO\"/>
    </mc:Choice>
  </mc:AlternateContent>
  <xr:revisionPtr revIDLastSave="0" documentId="13_ncr:1_{BEE1C1E5-E19B-4539-8F00-11186FB9CAE0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Tabla Resumen INGEI 201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1" i="1" l="1"/>
  <c r="P61" i="1"/>
  <c r="Q61" i="1"/>
  <c r="R61" i="1"/>
  <c r="S61" i="1"/>
  <c r="N71" i="1"/>
  <c r="N73" i="1"/>
  <c r="N61" i="1"/>
  <c r="H73" i="1"/>
  <c r="H71" i="1"/>
  <c r="AK24" i="1" l="1"/>
  <c r="AG76" i="1" l="1"/>
  <c r="AH77" i="1"/>
  <c r="AH76" i="1" s="1"/>
  <c r="AH79" i="1"/>
  <c r="AI78" i="1"/>
  <c r="AI75" i="1" s="1"/>
  <c r="AG80" i="1"/>
  <c r="AG78" i="1" s="1"/>
  <c r="AH81" i="1"/>
  <c r="AK81" i="1" s="1"/>
  <c r="AJ82" i="1"/>
  <c r="AJ80" i="1" s="1"/>
  <c r="AJ78" i="1" s="1"/>
  <c r="AI54" i="1"/>
  <c r="AG54" i="1"/>
  <c r="AJ60" i="1"/>
  <c r="AJ59" i="1"/>
  <c r="AJ58" i="1"/>
  <c r="AK58" i="1" s="1"/>
  <c r="AH60" i="1"/>
  <c r="AH59" i="1"/>
  <c r="AH57" i="1"/>
  <c r="AK57" i="1" s="1"/>
  <c r="AJ56" i="1"/>
  <c r="AH56" i="1"/>
  <c r="AH55" i="1"/>
  <c r="AK53" i="1"/>
  <c r="AG49" i="1"/>
  <c r="AG39" i="1" s="1"/>
  <c r="AF49" i="1"/>
  <c r="AH50" i="1"/>
  <c r="AK50" i="1" s="1"/>
  <c r="AK41" i="1"/>
  <c r="AK42" i="1"/>
  <c r="AK43" i="1"/>
  <c r="AK44" i="1"/>
  <c r="AK46" i="1"/>
  <c r="AK48" i="1"/>
  <c r="AK51" i="1"/>
  <c r="AK52" i="1"/>
  <c r="AI45" i="1"/>
  <c r="AI39" i="1" s="1"/>
  <c r="AF45" i="1"/>
  <c r="AJ47" i="1"/>
  <c r="AK47" i="1" s="1"/>
  <c r="AF40" i="1"/>
  <c r="AK40" i="1" s="1"/>
  <c r="AG36" i="1"/>
  <c r="AI36" i="1"/>
  <c r="AF36" i="1"/>
  <c r="AJ38" i="1"/>
  <c r="AJ36" i="1" s="1"/>
  <c r="AH38" i="1"/>
  <c r="AH37" i="1"/>
  <c r="AH36" i="1" s="1"/>
  <c r="AI31" i="1"/>
  <c r="AJ31" i="1" s="1"/>
  <c r="AI30" i="1"/>
  <c r="AJ30" i="1" s="1"/>
  <c r="AG31" i="1"/>
  <c r="AH31" i="1" s="1"/>
  <c r="AG30" i="1"/>
  <c r="AH30" i="1" s="1"/>
  <c r="AF32" i="1"/>
  <c r="AF29" i="1" s="1"/>
  <c r="AI33" i="1"/>
  <c r="AG33" i="1"/>
  <c r="AI34" i="1"/>
  <c r="AJ34" i="1" s="1"/>
  <c r="AG34" i="1"/>
  <c r="AH34" i="1" s="1"/>
  <c r="AI28" i="1"/>
  <c r="AJ28" i="1" s="1"/>
  <c r="AG28" i="1"/>
  <c r="AH28" i="1" s="1"/>
  <c r="AF19" i="1"/>
  <c r="AI21" i="1"/>
  <c r="AJ21" i="1" s="1"/>
  <c r="AG21" i="1"/>
  <c r="AH21" i="1" s="1"/>
  <c r="AI20" i="1"/>
  <c r="AJ20" i="1" s="1"/>
  <c r="AG20" i="1"/>
  <c r="AH20" i="1" s="1"/>
  <c r="AF14" i="1"/>
  <c r="AF13" i="1" s="1"/>
  <c r="AH18" i="1"/>
  <c r="AJ18" i="1"/>
  <c r="AJ25" i="1"/>
  <c r="AH25" i="1"/>
  <c r="AI17" i="1"/>
  <c r="AJ17" i="1" s="1"/>
  <c r="AG17" i="1"/>
  <c r="AH17" i="1" s="1"/>
  <c r="AI16" i="1"/>
  <c r="AJ16" i="1" s="1"/>
  <c r="AI15" i="1"/>
  <c r="AJ15" i="1" s="1"/>
  <c r="AG16" i="1"/>
  <c r="AH16" i="1" s="1"/>
  <c r="AG15" i="1"/>
  <c r="AH15" i="1" s="1"/>
  <c r="AA76" i="1"/>
  <c r="AB79" i="1"/>
  <c r="AE79" i="1" s="1"/>
  <c r="AC80" i="1"/>
  <c r="AC78" i="1" s="1"/>
  <c r="AC75" i="1" s="1"/>
  <c r="AA80" i="1"/>
  <c r="AA78" i="1" s="1"/>
  <c r="AB81" i="1"/>
  <c r="AB80" i="1" s="1"/>
  <c r="AD82" i="1"/>
  <c r="AD80" i="1" s="1"/>
  <c r="AD78" i="1" s="1"/>
  <c r="AB77" i="1"/>
  <c r="AB76" i="1" s="1"/>
  <c r="AC54" i="1"/>
  <c r="AA54" i="1"/>
  <c r="AD56" i="1"/>
  <c r="AD58" i="1"/>
  <c r="AD59" i="1"/>
  <c r="AD60" i="1"/>
  <c r="AB56" i="1"/>
  <c r="AB57" i="1"/>
  <c r="AE57" i="1" s="1"/>
  <c r="AB59" i="1"/>
  <c r="AB60" i="1"/>
  <c r="AB55" i="1"/>
  <c r="AE55" i="1" s="1"/>
  <c r="AE53" i="1"/>
  <c r="AE41" i="1"/>
  <c r="AE42" i="1"/>
  <c r="AE43" i="1"/>
  <c r="AE44" i="1"/>
  <c r="AE46" i="1"/>
  <c r="AE48" i="1"/>
  <c r="AE51" i="1"/>
  <c r="AE52" i="1"/>
  <c r="AD47" i="1"/>
  <c r="AE47" i="1" s="1"/>
  <c r="AC45" i="1"/>
  <c r="AC39" i="1" s="1"/>
  <c r="Z45" i="1"/>
  <c r="AA49" i="1"/>
  <c r="AA39" i="1" s="1"/>
  <c r="Z49" i="1"/>
  <c r="AB50" i="1"/>
  <c r="AE50" i="1" s="1"/>
  <c r="Z40" i="1"/>
  <c r="AD38" i="1"/>
  <c r="AD36" i="1" s="1"/>
  <c r="AB38" i="1"/>
  <c r="AC36" i="1"/>
  <c r="AA36" i="1"/>
  <c r="AB37" i="1"/>
  <c r="AE37" i="1" s="1"/>
  <c r="AD35" i="1"/>
  <c r="AB35" i="1"/>
  <c r="AD30" i="1"/>
  <c r="AD31" i="1"/>
  <c r="AB31" i="1"/>
  <c r="AA32" i="1"/>
  <c r="AA29" i="1" s="1"/>
  <c r="AC32" i="1"/>
  <c r="AC29" i="1" s="1"/>
  <c r="AB24" i="1"/>
  <c r="AB25" i="1"/>
  <c r="AB26" i="1"/>
  <c r="AB27" i="1"/>
  <c r="AB28" i="1"/>
  <c r="AB30" i="1"/>
  <c r="AB33" i="1"/>
  <c r="AB34" i="1"/>
  <c r="AD18" i="1"/>
  <c r="AD21" i="1"/>
  <c r="AD24" i="1"/>
  <c r="AD25" i="1"/>
  <c r="AD26" i="1"/>
  <c r="AD27" i="1"/>
  <c r="AD28" i="1"/>
  <c r="AD33" i="1"/>
  <c r="AD34" i="1"/>
  <c r="AA23" i="1"/>
  <c r="AA22" i="1" s="1"/>
  <c r="AC23" i="1"/>
  <c r="AC22" i="1" s="1"/>
  <c r="AA21" i="1"/>
  <c r="AB21" i="1" s="1"/>
  <c r="AC20" i="1"/>
  <c r="AD20" i="1" s="1"/>
  <c r="AA20" i="1"/>
  <c r="AB20" i="1" s="1"/>
  <c r="AB18" i="1"/>
  <c r="AC17" i="1"/>
  <c r="AD17" i="1" s="1"/>
  <c r="AA17" i="1"/>
  <c r="AB17" i="1" s="1"/>
  <c r="AC16" i="1"/>
  <c r="AD16" i="1" s="1"/>
  <c r="AC15" i="1"/>
  <c r="AD15" i="1" s="1"/>
  <c r="AD14" i="1" s="1"/>
  <c r="AA16" i="1"/>
  <c r="AB16" i="1" s="1"/>
  <c r="AA15" i="1"/>
  <c r="AB15" i="1" s="1"/>
  <c r="Z36" i="1"/>
  <c r="Z32" i="1"/>
  <c r="Z29" i="1" s="1"/>
  <c r="Z23" i="1"/>
  <c r="Z22" i="1" s="1"/>
  <c r="Z19" i="1"/>
  <c r="Z14" i="1"/>
  <c r="Z13" i="1" s="1"/>
  <c r="U76" i="1"/>
  <c r="V79" i="1"/>
  <c r="Y79" i="1" s="1"/>
  <c r="W80" i="1"/>
  <c r="W78" i="1" s="1"/>
  <c r="W75" i="1" s="1"/>
  <c r="U80" i="1"/>
  <c r="U78" i="1" s="1"/>
  <c r="V81" i="1"/>
  <c r="Y81" i="1" s="1"/>
  <c r="X82" i="1"/>
  <c r="Y82" i="1" s="1"/>
  <c r="V77" i="1"/>
  <c r="V76" i="1" s="1"/>
  <c r="Y76" i="1" s="1"/>
  <c r="U75" i="1" l="1"/>
  <c r="AE16" i="1"/>
  <c r="AE21" i="1"/>
  <c r="AB49" i="1"/>
  <c r="AB39" i="1" s="1"/>
  <c r="AH19" i="1"/>
  <c r="AD45" i="1"/>
  <c r="AD39" i="1" s="1"/>
  <c r="AG32" i="1"/>
  <c r="AG29" i="1" s="1"/>
  <c r="AK15" i="1"/>
  <c r="AJ14" i="1"/>
  <c r="AJ13" i="1" s="1"/>
  <c r="AE45" i="1"/>
  <c r="AK37" i="1"/>
  <c r="AB54" i="1"/>
  <c r="AE81" i="1"/>
  <c r="AG14" i="1"/>
  <c r="AG13" i="1" s="1"/>
  <c r="AI32" i="1"/>
  <c r="AI29" i="1" s="1"/>
  <c r="AG75" i="1"/>
  <c r="AE17" i="1"/>
  <c r="AK77" i="1"/>
  <c r="Z39" i="1"/>
  <c r="AD23" i="1"/>
  <c r="AD22" i="1" s="1"/>
  <c r="AE18" i="1"/>
  <c r="AA75" i="1"/>
  <c r="AE82" i="1"/>
  <c r="AK38" i="1"/>
  <c r="AK36" i="1"/>
  <c r="AK34" i="1"/>
  <c r="AD54" i="1"/>
  <c r="AF39" i="1"/>
  <c r="AK60" i="1"/>
  <c r="AJ19" i="1"/>
  <c r="AK59" i="1"/>
  <c r="AB32" i="1"/>
  <c r="AB29" i="1" s="1"/>
  <c r="AK79" i="1"/>
  <c r="AD32" i="1"/>
  <c r="AD29" i="1" s="1"/>
  <c r="AH33" i="1"/>
  <c r="AH32" i="1" s="1"/>
  <c r="AH29" i="1" s="1"/>
  <c r="Y77" i="1"/>
  <c r="AE60" i="1"/>
  <c r="AH54" i="1"/>
  <c r="AE59" i="1"/>
  <c r="AJ33" i="1"/>
  <c r="AK56" i="1"/>
  <c r="AB36" i="1"/>
  <c r="AE36" i="1" s="1"/>
  <c r="AE56" i="1"/>
  <c r="AH80" i="1"/>
  <c r="AH78" i="1" s="1"/>
  <c r="AK76" i="1"/>
  <c r="AE76" i="1"/>
  <c r="AK17" i="1"/>
  <c r="AD75" i="1"/>
  <c r="Z12" i="1"/>
  <c r="Z11" i="1" s="1"/>
  <c r="AK16" i="1"/>
  <c r="AB14" i="1"/>
  <c r="AB13" i="1" s="1"/>
  <c r="AE15" i="1"/>
  <c r="AD13" i="1"/>
  <c r="AE80" i="1"/>
  <c r="X80" i="1"/>
  <c r="X78" i="1" s="1"/>
  <c r="X75" i="1" s="1"/>
  <c r="AC19" i="1"/>
  <c r="AD19" i="1" s="1"/>
  <c r="AE38" i="1"/>
  <c r="AI14" i="1"/>
  <c r="AI13" i="1" s="1"/>
  <c r="AA19" i="1"/>
  <c r="AB19" i="1" s="1"/>
  <c r="AB23" i="1"/>
  <c r="AB22" i="1" s="1"/>
  <c r="AE58" i="1"/>
  <c r="AH14" i="1"/>
  <c r="AJ45" i="1"/>
  <c r="AJ39" i="1" s="1"/>
  <c r="AK55" i="1"/>
  <c r="AA14" i="1"/>
  <c r="AA13" i="1" s="1"/>
  <c r="AE40" i="1"/>
  <c r="AH49" i="1"/>
  <c r="AH39" i="1" s="1"/>
  <c r="AJ54" i="1"/>
  <c r="AB78" i="1"/>
  <c r="AB75" i="1" s="1"/>
  <c r="AI19" i="1"/>
  <c r="AC14" i="1"/>
  <c r="AC13" i="1" s="1"/>
  <c r="AE34" i="1"/>
  <c r="AE77" i="1"/>
  <c r="AG19" i="1"/>
  <c r="AJ75" i="1"/>
  <c r="AK82" i="1"/>
  <c r="AK80" i="1" s="1"/>
  <c r="AK25" i="1"/>
  <c r="AK21" i="1"/>
  <c r="AK20" i="1"/>
  <c r="AK31" i="1"/>
  <c r="AK19" i="1"/>
  <c r="AK30" i="1"/>
  <c r="AK18" i="1"/>
  <c r="AK28" i="1"/>
  <c r="AE35" i="1"/>
  <c r="AF35" i="1" s="1"/>
  <c r="AE27" i="1"/>
  <c r="AF27" i="1" s="1"/>
  <c r="AE33" i="1"/>
  <c r="AE31" i="1"/>
  <c r="AE30" i="1"/>
  <c r="AE28" i="1"/>
  <c r="AE20" i="1"/>
  <c r="V80" i="1"/>
  <c r="W54" i="1"/>
  <c r="U54" i="1"/>
  <c r="X60" i="1"/>
  <c r="V60" i="1"/>
  <c r="X59" i="1"/>
  <c r="V59" i="1"/>
  <c r="X58" i="1"/>
  <c r="Y58" i="1" s="1"/>
  <c r="V57" i="1"/>
  <c r="Y57" i="1" s="1"/>
  <c r="X56" i="1"/>
  <c r="V56" i="1"/>
  <c r="V55" i="1"/>
  <c r="Y55" i="1" s="1"/>
  <c r="AE39" i="1" l="1"/>
  <c r="Y59" i="1"/>
  <c r="AE22" i="1"/>
  <c r="Z83" i="1"/>
  <c r="AE49" i="1"/>
  <c r="AE19" i="1"/>
  <c r="AE54" i="1"/>
  <c r="AH35" i="1"/>
  <c r="AG35" i="1" s="1"/>
  <c r="AK33" i="1"/>
  <c r="AK54" i="1"/>
  <c r="AC12" i="1"/>
  <c r="AC11" i="1" s="1"/>
  <c r="AC83" i="1" s="1"/>
  <c r="AJ27" i="1"/>
  <c r="AI27" i="1" s="1"/>
  <c r="AE13" i="1"/>
  <c r="AK39" i="1"/>
  <c r="AJ32" i="1"/>
  <c r="Y60" i="1"/>
  <c r="AK78" i="1"/>
  <c r="AH75" i="1"/>
  <c r="AK75" i="1" s="1"/>
  <c r="AE29" i="1"/>
  <c r="AD12" i="1"/>
  <c r="AD11" i="1" s="1"/>
  <c r="AD83" i="1" s="1"/>
  <c r="AE32" i="1"/>
  <c r="AH27" i="1"/>
  <c r="AG27" i="1" s="1"/>
  <c r="AE14" i="1"/>
  <c r="AJ35" i="1"/>
  <c r="AI35" i="1" s="1"/>
  <c r="AE78" i="1"/>
  <c r="AA12" i="1"/>
  <c r="AA11" i="1" s="1"/>
  <c r="AA83" i="1" s="1"/>
  <c r="AB12" i="1"/>
  <c r="AB11" i="1" s="1"/>
  <c r="AB83" i="1"/>
  <c r="AE75" i="1"/>
  <c r="AK45" i="1"/>
  <c r="V54" i="1"/>
  <c r="AK49" i="1"/>
  <c r="Y56" i="1"/>
  <c r="AK14" i="1"/>
  <c r="AH13" i="1"/>
  <c r="AE26" i="1"/>
  <c r="V78" i="1"/>
  <c r="Y80" i="1"/>
  <c r="X54" i="1"/>
  <c r="AE11" i="1" l="1"/>
  <c r="AE83" i="1" s="1"/>
  <c r="AJ29" i="1"/>
  <c r="AK29" i="1" s="1"/>
  <c r="AK32" i="1"/>
  <c r="Y54" i="1"/>
  <c r="AF26" i="1"/>
  <c r="AH26" i="1"/>
  <c r="AG26" i="1" s="1"/>
  <c r="AJ26" i="1"/>
  <c r="AI26" i="1" s="1"/>
  <c r="AE12" i="1"/>
  <c r="AK13" i="1"/>
  <c r="AE25" i="1"/>
  <c r="Y78" i="1"/>
  <c r="V75" i="1"/>
  <c r="Y75" i="1" s="1"/>
  <c r="AE23" i="1" l="1"/>
  <c r="AE24" i="1"/>
  <c r="AF24" i="1" l="1"/>
  <c r="AH24" i="1"/>
  <c r="AJ24" i="1"/>
  <c r="AG24" i="1" l="1"/>
  <c r="AG23" i="1" s="1"/>
  <c r="AG22" i="1" s="1"/>
  <c r="AG12" i="1" s="1"/>
  <c r="AG11" i="1" s="1"/>
  <c r="AG83" i="1" s="1"/>
  <c r="AH23" i="1"/>
  <c r="AH22" i="1" s="1"/>
  <c r="AH12" i="1" s="1"/>
  <c r="AH11" i="1" s="1"/>
  <c r="AH83" i="1" s="1"/>
  <c r="AI24" i="1"/>
  <c r="AI23" i="1" s="1"/>
  <c r="AI22" i="1" s="1"/>
  <c r="AI12" i="1" s="1"/>
  <c r="AI11" i="1" s="1"/>
  <c r="AI83" i="1" s="1"/>
  <c r="AJ23" i="1"/>
  <c r="AJ22" i="1" s="1"/>
  <c r="AJ12" i="1" s="1"/>
  <c r="AJ11" i="1" s="1"/>
  <c r="AJ83" i="1" s="1"/>
  <c r="V50" i="1" l="1"/>
  <c r="Y50" i="1" s="1"/>
  <c r="Y41" i="1"/>
  <c r="Y42" i="1"/>
  <c r="Y43" i="1"/>
  <c r="Y44" i="1"/>
  <c r="Y46" i="1"/>
  <c r="Y48" i="1"/>
  <c r="Y51" i="1"/>
  <c r="Y52" i="1"/>
  <c r="Y53" i="1"/>
  <c r="U49" i="1"/>
  <c r="U39" i="1" s="1"/>
  <c r="V49" i="1"/>
  <c r="V39" i="1" s="1"/>
  <c r="T49" i="1"/>
  <c r="W45" i="1"/>
  <c r="W39" i="1" s="1"/>
  <c r="T45" i="1"/>
  <c r="X47" i="1"/>
  <c r="X45" i="1" s="1"/>
  <c r="T40" i="1"/>
  <c r="Y40" i="1" s="1"/>
  <c r="U36" i="1"/>
  <c r="W36" i="1"/>
  <c r="T36" i="1"/>
  <c r="X38" i="1"/>
  <c r="X36" i="1" s="1"/>
  <c r="V38" i="1"/>
  <c r="V37" i="1"/>
  <c r="Y37" i="1" s="1"/>
  <c r="V35" i="1"/>
  <c r="W31" i="1"/>
  <c r="X31" i="1" s="1"/>
  <c r="W30" i="1"/>
  <c r="U31" i="1"/>
  <c r="V31" i="1" s="1"/>
  <c r="U30" i="1"/>
  <c r="V30" i="1" s="1"/>
  <c r="T32" i="1"/>
  <c r="T29" i="1" s="1"/>
  <c r="X35" i="1"/>
  <c r="W34" i="1"/>
  <c r="X34" i="1" s="1"/>
  <c r="W33" i="1"/>
  <c r="U34" i="1"/>
  <c r="V34" i="1" s="1"/>
  <c r="U33" i="1"/>
  <c r="V33" i="1" s="1"/>
  <c r="X28" i="1"/>
  <c r="V28" i="1"/>
  <c r="X27" i="1"/>
  <c r="V27" i="1"/>
  <c r="X25" i="1"/>
  <c r="V25" i="1"/>
  <c r="U23" i="1"/>
  <c r="U22" i="1" s="1"/>
  <c r="W23" i="1"/>
  <c r="W22" i="1" s="1"/>
  <c r="T23" i="1"/>
  <c r="T22" i="1" s="1"/>
  <c r="T19" i="1"/>
  <c r="W21" i="1"/>
  <c r="X21" i="1" s="1"/>
  <c r="U21" i="1"/>
  <c r="V21" i="1" s="1"/>
  <c r="W20" i="1"/>
  <c r="W19" i="1" s="1"/>
  <c r="X19" i="1" s="1"/>
  <c r="X24" i="1"/>
  <c r="X23" i="1" s="1"/>
  <c r="X26" i="1"/>
  <c r="V24" i="1"/>
  <c r="V23" i="1" s="1"/>
  <c r="V26" i="1"/>
  <c r="U20" i="1"/>
  <c r="V20" i="1" s="1"/>
  <c r="X18" i="1"/>
  <c r="V18" i="1"/>
  <c r="W17" i="1"/>
  <c r="X17" i="1" s="1"/>
  <c r="V17" i="1"/>
  <c r="U14" i="1"/>
  <c r="U13" i="1" s="1"/>
  <c r="T14" i="1"/>
  <c r="T13" i="1" s="1"/>
  <c r="V16" i="1"/>
  <c r="V15" i="1"/>
  <c r="W16" i="1"/>
  <c r="X16" i="1" s="1"/>
  <c r="W15" i="1"/>
  <c r="X15" i="1" s="1"/>
  <c r="S74" i="1"/>
  <c r="S72" i="1"/>
  <c r="Q68" i="1"/>
  <c r="P70" i="1"/>
  <c r="P68" i="1" s="1"/>
  <c r="N68" i="1"/>
  <c r="R67" i="1"/>
  <c r="R65" i="1" s="1"/>
  <c r="O65" i="1"/>
  <c r="N65" i="1"/>
  <c r="S64" i="1"/>
  <c r="R60" i="1"/>
  <c r="P60" i="1"/>
  <c r="N40" i="1"/>
  <c r="S40" i="1" s="1"/>
  <c r="Q36" i="1"/>
  <c r="O36" i="1"/>
  <c r="R35" i="1"/>
  <c r="Q34" i="1"/>
  <c r="R34" i="1" s="1"/>
  <c r="O34" i="1"/>
  <c r="P34" i="1" s="1"/>
  <c r="Q33" i="1"/>
  <c r="R33" i="1" s="1"/>
  <c r="P33" i="1"/>
  <c r="Q31" i="1"/>
  <c r="R31" i="1" s="1"/>
  <c r="Q30" i="1"/>
  <c r="R30" i="1" s="1"/>
  <c r="P31" i="1"/>
  <c r="P30" i="1"/>
  <c r="R28" i="1"/>
  <c r="P28" i="1"/>
  <c r="R27" i="1"/>
  <c r="P27" i="1"/>
  <c r="Q26" i="1"/>
  <c r="R26" i="1" s="1"/>
  <c r="O26" i="1"/>
  <c r="P26" i="1" s="1"/>
  <c r="R25" i="1"/>
  <c r="P25" i="1"/>
  <c r="Q24" i="1"/>
  <c r="R24" i="1" s="1"/>
  <c r="R23" i="1" s="1"/>
  <c r="O24" i="1"/>
  <c r="O23" i="1" s="1"/>
  <c r="Q21" i="1"/>
  <c r="R21" i="1" s="1"/>
  <c r="O21" i="1"/>
  <c r="P21" i="1" s="1"/>
  <c r="Q20" i="1"/>
  <c r="R20" i="1" s="1"/>
  <c r="O20" i="1"/>
  <c r="P20" i="1" s="1"/>
  <c r="R18" i="1"/>
  <c r="P18" i="1"/>
  <c r="Q17" i="1"/>
  <c r="R17" i="1" s="1"/>
  <c r="P17" i="1"/>
  <c r="R15" i="1"/>
  <c r="P77" i="1"/>
  <c r="S77" i="1" s="1"/>
  <c r="P79" i="1"/>
  <c r="S79" i="1" s="1"/>
  <c r="Q80" i="1"/>
  <c r="Q78" i="1" s="1"/>
  <c r="Q75" i="1" s="1"/>
  <c r="O80" i="1"/>
  <c r="O78" i="1" s="1"/>
  <c r="P81" i="1"/>
  <c r="S81" i="1" s="1"/>
  <c r="R82" i="1"/>
  <c r="S82" i="1" s="1"/>
  <c r="O76" i="1"/>
  <c r="S66" i="1"/>
  <c r="S63" i="1"/>
  <c r="R58" i="1"/>
  <c r="S58" i="1" s="1"/>
  <c r="R59" i="1"/>
  <c r="R56" i="1"/>
  <c r="P56" i="1"/>
  <c r="P59" i="1"/>
  <c r="P55" i="1"/>
  <c r="S55" i="1" s="1"/>
  <c r="S51" i="1"/>
  <c r="S52" i="1"/>
  <c r="S53" i="1"/>
  <c r="O49" i="1"/>
  <c r="O39" i="1" s="1"/>
  <c r="N49" i="1"/>
  <c r="P50" i="1"/>
  <c r="S50" i="1" s="1"/>
  <c r="S48" i="1"/>
  <c r="S46" i="1"/>
  <c r="Q45" i="1"/>
  <c r="N45" i="1"/>
  <c r="R47" i="1"/>
  <c r="R45" i="1" s="1"/>
  <c r="S41" i="1"/>
  <c r="S42" i="1"/>
  <c r="S43" i="1"/>
  <c r="S44" i="1"/>
  <c r="N36" i="1"/>
  <c r="P38" i="1"/>
  <c r="P35" i="1"/>
  <c r="N32" i="1"/>
  <c r="N29" i="1" s="1"/>
  <c r="N23" i="1"/>
  <c r="N22" i="1" s="1"/>
  <c r="N19" i="1"/>
  <c r="P16" i="1"/>
  <c r="P15" i="1"/>
  <c r="O14" i="1"/>
  <c r="N14" i="1"/>
  <c r="V32" i="1" l="1"/>
  <c r="T39" i="1"/>
  <c r="W32" i="1"/>
  <c r="W29" i="1" s="1"/>
  <c r="P24" i="1"/>
  <c r="P23" i="1" s="1"/>
  <c r="S23" i="1" s="1"/>
  <c r="Q23" i="1"/>
  <c r="Q22" i="1" s="1"/>
  <c r="Y16" i="1"/>
  <c r="V14" i="1"/>
  <c r="V13" i="1" s="1"/>
  <c r="U32" i="1"/>
  <c r="U29" i="1" s="1"/>
  <c r="Q32" i="1"/>
  <c r="X33" i="1"/>
  <c r="Y33" i="1" s="1"/>
  <c r="X20" i="1"/>
  <c r="Y20" i="1" s="1"/>
  <c r="W14" i="1"/>
  <c r="W13" i="1" s="1"/>
  <c r="Y18" i="1"/>
  <c r="X22" i="1"/>
  <c r="Y17" i="1"/>
  <c r="Y47" i="1"/>
  <c r="T12" i="1"/>
  <c r="T11" i="1" s="1"/>
  <c r="T83" i="1" s="1"/>
  <c r="Y34" i="1"/>
  <c r="V22" i="1"/>
  <c r="Y38" i="1"/>
  <c r="V29" i="1"/>
  <c r="X39" i="1"/>
  <c r="Y45" i="1"/>
  <c r="X14" i="1"/>
  <c r="X13" i="1" s="1"/>
  <c r="Y15" i="1"/>
  <c r="U19" i="1"/>
  <c r="V19" i="1" s="1"/>
  <c r="Y24" i="1"/>
  <c r="Y23" i="1" s="1"/>
  <c r="O75" i="1"/>
  <c r="X30" i="1"/>
  <c r="Y26" i="1"/>
  <c r="V36" i="1"/>
  <c r="Y36" i="1" s="1"/>
  <c r="Y49" i="1"/>
  <c r="Y35" i="1"/>
  <c r="Y31" i="1"/>
  <c r="Y28" i="1"/>
  <c r="Y27" i="1"/>
  <c r="Y25" i="1"/>
  <c r="Y21" i="1"/>
  <c r="R39" i="1"/>
  <c r="R80" i="1"/>
  <c r="R78" i="1" s="1"/>
  <c r="R75" i="1" s="1"/>
  <c r="P80" i="1"/>
  <c r="P78" i="1" s="1"/>
  <c r="P76" i="1"/>
  <c r="S73" i="1"/>
  <c r="S71" i="1"/>
  <c r="R70" i="1"/>
  <c r="R68" i="1" s="1"/>
  <c r="O68" i="1"/>
  <c r="Q65" i="1"/>
  <c r="P67" i="1"/>
  <c r="P65" i="1" s="1"/>
  <c r="N62" i="1"/>
  <c r="S62" i="1" s="1"/>
  <c r="Q54" i="1"/>
  <c r="R54" i="1"/>
  <c r="O54" i="1"/>
  <c r="P57" i="1"/>
  <c r="S57" i="1" s="1"/>
  <c r="S56" i="1"/>
  <c r="S49" i="1"/>
  <c r="P49" i="1"/>
  <c r="P39" i="1" s="1"/>
  <c r="S47" i="1"/>
  <c r="Q39" i="1"/>
  <c r="S45" i="1"/>
  <c r="N39" i="1"/>
  <c r="R38" i="1"/>
  <c r="R36" i="1" s="1"/>
  <c r="P37" i="1"/>
  <c r="S35" i="1"/>
  <c r="O32" i="1"/>
  <c r="O29" i="1" s="1"/>
  <c r="Q29" i="1"/>
  <c r="S30" i="1"/>
  <c r="R22" i="1"/>
  <c r="O22" i="1"/>
  <c r="Q19" i="1"/>
  <c r="O19" i="1"/>
  <c r="P19" i="1"/>
  <c r="S18" i="1"/>
  <c r="N13" i="1"/>
  <c r="N12" i="1" s="1"/>
  <c r="N11" i="1" s="1"/>
  <c r="O13" i="1"/>
  <c r="S17" i="1"/>
  <c r="Q14" i="1"/>
  <c r="Q13" i="1" s="1"/>
  <c r="S15" i="1"/>
  <c r="P14" i="1"/>
  <c r="P13" i="1" s="1"/>
  <c r="S60" i="1"/>
  <c r="S59" i="1"/>
  <c r="R16" i="1"/>
  <c r="S16" i="1" s="1"/>
  <c r="S31" i="1"/>
  <c r="R32" i="1"/>
  <c r="R29" i="1" s="1"/>
  <c r="S34" i="1"/>
  <c r="S33" i="1"/>
  <c r="P32" i="1"/>
  <c r="S25" i="1"/>
  <c r="S27" i="1"/>
  <c r="S28" i="1"/>
  <c r="S26" i="1"/>
  <c r="R19" i="1"/>
  <c r="S20" i="1"/>
  <c r="S21" i="1"/>
  <c r="P22" i="1" l="1"/>
  <c r="S24" i="1"/>
  <c r="Y32" i="1"/>
  <c r="W12" i="1"/>
  <c r="W11" i="1" s="1"/>
  <c r="W83" i="1" s="1"/>
  <c r="S78" i="1"/>
  <c r="S70" i="1"/>
  <c r="X32" i="1"/>
  <c r="X29" i="1" s="1"/>
  <c r="X12" i="1" s="1"/>
  <c r="X11" i="1" s="1"/>
  <c r="X83" i="1" s="1"/>
  <c r="Y22" i="1"/>
  <c r="Y39" i="1"/>
  <c r="V12" i="1"/>
  <c r="S67" i="1"/>
  <c r="S65" i="1" s="1"/>
  <c r="Y13" i="1"/>
  <c r="U12" i="1"/>
  <c r="U11" i="1" s="1"/>
  <c r="U83" i="1" s="1"/>
  <c r="Y19" i="1"/>
  <c r="S19" i="1"/>
  <c r="Y30" i="1"/>
  <c r="Y14" i="1"/>
  <c r="S80" i="1"/>
  <c r="S76" i="1"/>
  <c r="S75" i="1" s="1"/>
  <c r="P75" i="1"/>
  <c r="N83" i="1"/>
  <c r="S68" i="1"/>
  <c r="P54" i="1"/>
  <c r="S54" i="1"/>
  <c r="S39" i="1"/>
  <c r="S38" i="1"/>
  <c r="P36" i="1"/>
  <c r="S37" i="1"/>
  <c r="S32" i="1"/>
  <c r="P29" i="1"/>
  <c r="S29" i="1" s="1"/>
  <c r="S22" i="1"/>
  <c r="O12" i="1"/>
  <c r="O11" i="1" s="1"/>
  <c r="O83" i="1" s="1"/>
  <c r="Q12" i="1"/>
  <c r="Q11" i="1" s="1"/>
  <c r="Q83" i="1" s="1"/>
  <c r="R14" i="1"/>
  <c r="Y29" i="1" l="1"/>
  <c r="Y12" i="1"/>
  <c r="V11" i="1"/>
  <c r="V83" i="1" s="1"/>
  <c r="S36" i="1"/>
  <c r="P12" i="1"/>
  <c r="P11" i="1" s="1"/>
  <c r="P83" i="1" s="1"/>
  <c r="R13" i="1"/>
  <c r="R12" i="1" s="1"/>
  <c r="R11" i="1" s="1"/>
  <c r="R83" i="1" s="1"/>
  <c r="S14" i="1"/>
  <c r="S13" i="1" s="1"/>
  <c r="S12" i="1" s="1"/>
  <c r="Y11" i="1" l="1"/>
  <c r="Y83" i="1" s="1"/>
  <c r="S11" i="1"/>
  <c r="S83" i="1" s="1"/>
  <c r="L70" i="1" l="1"/>
  <c r="L68" i="1" s="1"/>
  <c r="I68" i="1"/>
  <c r="K68" i="1"/>
  <c r="J70" i="1"/>
  <c r="J68" i="1" s="1"/>
  <c r="I65" i="1"/>
  <c r="K65" i="1"/>
  <c r="L67" i="1"/>
  <c r="L65" i="1" s="1"/>
  <c r="L61" i="1" s="1"/>
  <c r="J67" i="1"/>
  <c r="M67" i="1" s="1"/>
  <c r="M63" i="1"/>
  <c r="M64" i="1"/>
  <c r="M66" i="1"/>
  <c r="M72" i="1"/>
  <c r="M74" i="1"/>
  <c r="M73" i="1"/>
  <c r="M71" i="1"/>
  <c r="H68" i="1"/>
  <c r="H65" i="1"/>
  <c r="H62" i="1"/>
  <c r="J79" i="1"/>
  <c r="L82" i="1"/>
  <c r="L80" i="1" s="1"/>
  <c r="L78" i="1" s="1"/>
  <c r="L75" i="1" s="1"/>
  <c r="J81" i="1"/>
  <c r="M81" i="1" s="1"/>
  <c r="K80" i="1"/>
  <c r="K78" i="1" s="1"/>
  <c r="K75" i="1" s="1"/>
  <c r="I80" i="1"/>
  <c r="I78" i="1" s="1"/>
  <c r="J77" i="1"/>
  <c r="J76" i="1" s="1"/>
  <c r="I76" i="1"/>
  <c r="L60" i="1"/>
  <c r="L58" i="1"/>
  <c r="M58" i="1" s="1"/>
  <c r="L59" i="1"/>
  <c r="L56" i="1"/>
  <c r="K54" i="1"/>
  <c r="J60" i="1"/>
  <c r="J59" i="1"/>
  <c r="J56" i="1"/>
  <c r="M56" i="1" s="1"/>
  <c r="J57" i="1"/>
  <c r="M57" i="1" s="1"/>
  <c r="J55" i="1"/>
  <c r="M55" i="1" s="1"/>
  <c r="I54" i="1"/>
  <c r="K45" i="1"/>
  <c r="K39" i="1" s="1"/>
  <c r="I49" i="1"/>
  <c r="I39" i="1" s="1"/>
  <c r="M53" i="1"/>
  <c r="J50" i="1"/>
  <c r="M50" i="1" s="1"/>
  <c r="H49" i="1"/>
  <c r="H45" i="1"/>
  <c r="M41" i="1"/>
  <c r="M42" i="1"/>
  <c r="M43" i="1"/>
  <c r="M44" i="1"/>
  <c r="M46" i="1"/>
  <c r="M48" i="1"/>
  <c r="M51" i="1"/>
  <c r="M52" i="1"/>
  <c r="L47" i="1"/>
  <c r="M47" i="1" s="1"/>
  <c r="H40" i="1"/>
  <c r="M40" i="1" s="1"/>
  <c r="M62" i="1" l="1"/>
  <c r="H61" i="1"/>
  <c r="K61" i="1"/>
  <c r="I61" i="1"/>
  <c r="M59" i="1"/>
  <c r="M77" i="1"/>
  <c r="I75" i="1"/>
  <c r="M60" i="1"/>
  <c r="M76" i="1"/>
  <c r="J65" i="1"/>
  <c r="J61" i="1" s="1"/>
  <c r="M82" i="1"/>
  <c r="H39" i="1"/>
  <c r="J49" i="1"/>
  <c r="J39" i="1" s="1"/>
  <c r="L45" i="1"/>
  <c r="L39" i="1" s="1"/>
  <c r="M68" i="1"/>
  <c r="M70" i="1"/>
  <c r="M79" i="1"/>
  <c r="J80" i="1"/>
  <c r="M80" i="1" s="1"/>
  <c r="L54" i="1"/>
  <c r="J54" i="1"/>
  <c r="M39" i="1" l="1"/>
  <c r="M54" i="1"/>
  <c r="M45" i="1"/>
  <c r="J78" i="1"/>
  <c r="M65" i="1"/>
  <c r="M49" i="1"/>
  <c r="M61" i="1"/>
  <c r="M78" i="1" l="1"/>
  <c r="J75" i="1"/>
  <c r="M75" i="1" s="1"/>
  <c r="I36" i="1"/>
  <c r="K36" i="1"/>
  <c r="H36" i="1"/>
  <c r="J38" i="1"/>
  <c r="L38" i="1"/>
  <c r="L36" i="1" s="1"/>
  <c r="J37" i="1"/>
  <c r="I32" i="1"/>
  <c r="I29" i="1" s="1"/>
  <c r="K32" i="1"/>
  <c r="K29" i="1" s="1"/>
  <c r="H32" i="1"/>
  <c r="H29" i="1" s="1"/>
  <c r="L34" i="1"/>
  <c r="L35" i="1"/>
  <c r="J34" i="1"/>
  <c r="J35" i="1"/>
  <c r="I23" i="1"/>
  <c r="I22" i="1" s="1"/>
  <c r="K23" i="1"/>
  <c r="K22" i="1" s="1"/>
  <c r="H23" i="1"/>
  <c r="H22" i="1" s="1"/>
  <c r="I19" i="1"/>
  <c r="K19" i="1"/>
  <c r="H19" i="1"/>
  <c r="H14" i="1"/>
  <c r="H13" i="1" s="1"/>
  <c r="K18" i="1"/>
  <c r="J36" i="1" l="1"/>
  <c r="M38" i="1"/>
  <c r="M35" i="1"/>
  <c r="H12" i="1"/>
  <c r="H11" i="1" s="1"/>
  <c r="H83" i="1" s="1"/>
  <c r="M34" i="1"/>
  <c r="M37" i="1" l="1"/>
  <c r="M36" i="1" s="1"/>
  <c r="L18" i="1"/>
  <c r="L20" i="1"/>
  <c r="L21" i="1"/>
  <c r="L24" i="1"/>
  <c r="L23" i="1" s="1"/>
  <c r="L25" i="1"/>
  <c r="L26" i="1"/>
  <c r="L27" i="1"/>
  <c r="L28" i="1"/>
  <c r="L30" i="1"/>
  <c r="L31" i="1"/>
  <c r="L33" i="1"/>
  <c r="L32" i="1" s="1"/>
  <c r="J17" i="1"/>
  <c r="J18" i="1"/>
  <c r="J20" i="1"/>
  <c r="J21" i="1"/>
  <c r="J24" i="1"/>
  <c r="J23" i="1" s="1"/>
  <c r="J25" i="1"/>
  <c r="J26" i="1"/>
  <c r="J27" i="1"/>
  <c r="J28" i="1"/>
  <c r="J30" i="1"/>
  <c r="J31" i="1"/>
  <c r="J33" i="1"/>
  <c r="J32" i="1" s="1"/>
  <c r="K17" i="1"/>
  <c r="L17" i="1" s="1"/>
  <c r="K16" i="1"/>
  <c r="L16" i="1" s="1"/>
  <c r="K15" i="1"/>
  <c r="K14" i="1" s="1"/>
  <c r="I16" i="1"/>
  <c r="J16" i="1" s="1"/>
  <c r="M16" i="1" s="1"/>
  <c r="I15" i="1"/>
  <c r="K13" i="1" l="1"/>
  <c r="K12" i="1" s="1"/>
  <c r="K11" i="1" s="1"/>
  <c r="K83" i="1" s="1"/>
  <c r="I14" i="1"/>
  <c r="I13" i="1" s="1"/>
  <c r="I12" i="1" s="1"/>
  <c r="I11" i="1" s="1"/>
  <c r="I83" i="1" s="1"/>
  <c r="M31" i="1"/>
  <c r="J15" i="1"/>
  <c r="J14" i="1" s="1"/>
  <c r="J13" i="1" s="1"/>
  <c r="L15" i="1"/>
  <c r="L14" i="1" s="1"/>
  <c r="L13" i="1" s="1"/>
  <c r="L22" i="1"/>
  <c r="L29" i="1"/>
  <c r="J22" i="1"/>
  <c r="J29" i="1"/>
  <c r="M33" i="1"/>
  <c r="M32" i="1" s="1"/>
  <c r="M30" i="1"/>
  <c r="M28" i="1"/>
  <c r="L19" i="1"/>
  <c r="J19" i="1"/>
  <c r="M17" i="1"/>
  <c r="M27" i="1"/>
  <c r="M26" i="1"/>
  <c r="M25" i="1"/>
  <c r="M24" i="1"/>
  <c r="M23" i="1" s="1"/>
  <c r="M21" i="1"/>
  <c r="M20" i="1"/>
  <c r="M18" i="1"/>
  <c r="M15" i="1" l="1"/>
  <c r="M14" i="1" s="1"/>
  <c r="M19" i="1"/>
  <c r="M29" i="1"/>
  <c r="L12" i="1"/>
  <c r="L11" i="1" s="1"/>
  <c r="L83" i="1" s="1"/>
  <c r="J12" i="1"/>
  <c r="J11" i="1" s="1"/>
  <c r="J83" i="1" s="1"/>
  <c r="M22" i="1"/>
  <c r="M13" i="1"/>
  <c r="M12" i="1" l="1"/>
  <c r="M11" i="1" s="1"/>
  <c r="M83" i="1" l="1"/>
  <c r="AF23" i="1" l="1"/>
  <c r="AF22" i="1" s="1"/>
  <c r="AK23" i="1" l="1"/>
  <c r="AK22" i="1"/>
  <c r="AF12" i="1"/>
  <c r="AF11" i="1" l="1"/>
  <c r="AK12" i="1"/>
  <c r="AK11" i="1" l="1"/>
  <c r="AF83" i="1"/>
  <c r="AK8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52" authorId="0" shapeId="0" xr:uid="{98A1518C-88D2-427A-B9AE-8D49A1D6C7CA}">
      <text>
        <r>
          <rPr>
            <sz val="11"/>
            <color rgb="FF000000"/>
            <rFont val="Calibri"/>
            <family val="2"/>
          </rPr>
          <t>se estimó cero</t>
        </r>
      </text>
    </comment>
    <comment ref="N52" authorId="0" shapeId="0" xr:uid="{41074F77-92CE-450D-B250-6A9A66AE1974}">
      <text>
        <r>
          <rPr>
            <sz val="11"/>
            <color rgb="FF000000"/>
            <rFont val="Calibri"/>
            <family val="2"/>
          </rPr>
          <t>se estimó cero</t>
        </r>
      </text>
    </comment>
    <comment ref="T52" authorId="0" shapeId="0" xr:uid="{59938E69-BCCA-44EE-9588-968156AB5893}">
      <text>
        <r>
          <rPr>
            <sz val="11"/>
            <color rgb="FF000000"/>
            <rFont val="Calibri"/>
            <family val="2"/>
          </rPr>
          <t>se estimó cero</t>
        </r>
      </text>
    </comment>
  </commentList>
</comments>
</file>

<file path=xl/sharedStrings.xml><?xml version="1.0" encoding="utf-8"?>
<sst xmlns="http://schemas.openxmlformats.org/spreadsheetml/2006/main" count="206" uniqueCount="158">
  <si>
    <t>Desechos</t>
  </si>
  <si>
    <t>Agricultura</t>
  </si>
  <si>
    <t>Procesos Industriales</t>
  </si>
  <si>
    <t>Energía</t>
  </si>
  <si>
    <t xml:space="preserve">Total </t>
  </si>
  <si>
    <t>6B2b</t>
  </si>
  <si>
    <t>Aguas residuales domésticas</t>
  </si>
  <si>
    <t>6B2a</t>
  </si>
  <si>
    <t>Tratamiento y eliminación de aguas residuales domésticas</t>
  </si>
  <si>
    <t>6B2</t>
  </si>
  <si>
    <t>Efluentes industriales</t>
  </si>
  <si>
    <t>6B1</t>
  </si>
  <si>
    <t>Tratamiento de aguas residuales</t>
  </si>
  <si>
    <t>6B</t>
  </si>
  <si>
    <t>6A1</t>
  </si>
  <si>
    <t>6A</t>
  </si>
  <si>
    <t>Uso de suelos y cambio de uso de suelos</t>
  </si>
  <si>
    <t>Quema de residuos agrícolas</t>
  </si>
  <si>
    <t>4F</t>
  </si>
  <si>
    <t>Quema de sabanas (pastos)</t>
  </si>
  <si>
    <t>4E</t>
  </si>
  <si>
    <t>Suelos agrícolas</t>
  </si>
  <si>
    <t>4D</t>
  </si>
  <si>
    <t>Cultivos de arroz</t>
  </si>
  <si>
    <t>4C</t>
  </si>
  <si>
    <t>Manejo del estiércol</t>
  </si>
  <si>
    <t>4B</t>
  </si>
  <si>
    <t>Fermentación entérica</t>
  </si>
  <si>
    <t>4A</t>
  </si>
  <si>
    <t>Producción de Plomo</t>
  </si>
  <si>
    <t>2C6</t>
  </si>
  <si>
    <t>2C5</t>
  </si>
  <si>
    <t>Producción de aluminio</t>
  </si>
  <si>
    <t>2C3</t>
  </si>
  <si>
    <t>Producción de hierro y acero</t>
  </si>
  <si>
    <t>2C1</t>
  </si>
  <si>
    <t>2C</t>
  </si>
  <si>
    <t>Producción de ácido nítrico</t>
  </si>
  <si>
    <t>2B2</t>
  </si>
  <si>
    <t>Producción de amoniaco</t>
  </si>
  <si>
    <t>2B1</t>
  </si>
  <si>
    <t>Industria química</t>
  </si>
  <si>
    <t>2B</t>
  </si>
  <si>
    <t>2A4</t>
  </si>
  <si>
    <t>2A3</t>
  </si>
  <si>
    <t>Producción de cal</t>
  </si>
  <si>
    <t>2A2</t>
  </si>
  <si>
    <t>Producción de cemento</t>
  </si>
  <si>
    <t>2A1</t>
  </si>
  <si>
    <t>2A</t>
  </si>
  <si>
    <t>Petróleo y gas natural</t>
  </si>
  <si>
    <t>1B2</t>
  </si>
  <si>
    <t>Combustibles sólidos</t>
  </si>
  <si>
    <t>1B1</t>
  </si>
  <si>
    <t>Emisiones fugitivas de combustibles</t>
  </si>
  <si>
    <t>1B</t>
  </si>
  <si>
    <t>1A4c</t>
  </si>
  <si>
    <t>1A4b</t>
  </si>
  <si>
    <t>1A4a</t>
  </si>
  <si>
    <t>Otros sectores</t>
  </si>
  <si>
    <t>1A4</t>
  </si>
  <si>
    <t>Otro tipo de transporte</t>
  </si>
  <si>
    <t>1A3e</t>
  </si>
  <si>
    <t>1A3d</t>
  </si>
  <si>
    <t>1A3c</t>
  </si>
  <si>
    <t>Terrestre</t>
  </si>
  <si>
    <t>1A3b</t>
  </si>
  <si>
    <t>Aviación Nacional</t>
  </si>
  <si>
    <t>1A3aii</t>
  </si>
  <si>
    <t>1A3a</t>
  </si>
  <si>
    <t>Transporte</t>
  </si>
  <si>
    <t>1A3</t>
  </si>
  <si>
    <t>1A2</t>
  </si>
  <si>
    <t>1A1c</t>
  </si>
  <si>
    <t>1A1b</t>
  </si>
  <si>
    <t>1A1ai</t>
  </si>
  <si>
    <t>1A1a</t>
  </si>
  <si>
    <t>1A1</t>
  </si>
  <si>
    <t>1A</t>
  </si>
  <si>
    <t>[GgCO2eq]</t>
  </si>
  <si>
    <t>[GgN2O]</t>
  </si>
  <si>
    <t>[GgCH4]</t>
  </si>
  <si>
    <t>[GgCO2]</t>
  </si>
  <si>
    <t>Emisiones GEI</t>
  </si>
  <si>
    <t>Óxido nitroso</t>
  </si>
  <si>
    <t>Metano</t>
  </si>
  <si>
    <t xml:space="preserve">Dióxido de carbono </t>
  </si>
  <si>
    <t>Categorías de fuentes y sumideros</t>
  </si>
  <si>
    <t>Clasificación</t>
  </si>
  <si>
    <t>Valores en Gigagramos de GEI</t>
  </si>
  <si>
    <t>AÑO 2000</t>
  </si>
  <si>
    <t>AÑO 2005</t>
  </si>
  <si>
    <t>AÑO 2010</t>
  </si>
  <si>
    <t>AÑO 2012</t>
  </si>
  <si>
    <t>AÑO 2014</t>
  </si>
  <si>
    <t>INVENTARIO NACIONAL DE GASES DE EFECTO INVERNADERO</t>
  </si>
  <si>
    <t>1A2i</t>
  </si>
  <si>
    <t>1A2m</t>
  </si>
  <si>
    <t>Minería (con excepción de combustibles) y cantería</t>
  </si>
  <si>
    <t>Ferrocarriles</t>
  </si>
  <si>
    <t>Navegación marítima y fluvial</t>
  </si>
  <si>
    <t>1A4ci</t>
  </si>
  <si>
    <t>1A4ciii</t>
  </si>
  <si>
    <t>1A5</t>
  </si>
  <si>
    <t>No especificado</t>
  </si>
  <si>
    <t>2B7</t>
  </si>
  <si>
    <t>Producción de ceniza de sosa</t>
  </si>
  <si>
    <t>Producción de Zinc</t>
  </si>
  <si>
    <t>Industria de los minerales</t>
  </si>
  <si>
    <t>Industria de los metales</t>
  </si>
  <si>
    <t>Manejo de residuos sólidos en tierra</t>
  </si>
  <si>
    <t>Disposición de residuos sólidos en tierra</t>
  </si>
  <si>
    <t>Excreto humano</t>
  </si>
  <si>
    <t>Tierras forestales</t>
  </si>
  <si>
    <t>Tierras forestales que permanecen como tales</t>
  </si>
  <si>
    <t>Tierras convertidas en tierras forestales</t>
  </si>
  <si>
    <t>Tierras agrícolas</t>
  </si>
  <si>
    <t>Tierras agrícolas que permanecen como tales</t>
  </si>
  <si>
    <t>Tierras convertidas en tierras agrícolas</t>
  </si>
  <si>
    <t>Praderas</t>
  </si>
  <si>
    <t>Praderas que permanecen como tales</t>
  </si>
  <si>
    <t>Tierras convertidas en praderas</t>
  </si>
  <si>
    <t>Asentamientos</t>
  </si>
  <si>
    <t>Tierras convertidas en asentamientos</t>
  </si>
  <si>
    <t>Otras tierras</t>
  </si>
  <si>
    <t>Tierras convertidas en otras tierras</t>
  </si>
  <si>
    <t>Actividades de quema de combustibles</t>
  </si>
  <si>
    <t>Industrias de la energía</t>
  </si>
  <si>
    <t>Producción de electricidad y calor como actividad principal</t>
  </si>
  <si>
    <t>Refinación del petróleo</t>
  </si>
  <si>
    <t>Aviación civil</t>
  </si>
  <si>
    <t>Producción de vidrio</t>
  </si>
  <si>
    <t>RESULTADOS DEL INGEI 2014 y ACTUALIZACIÓN DE LOS AÑOS 2012, 2010, 2005 Y 2000</t>
  </si>
  <si>
    <t>NOTA</t>
  </si>
  <si>
    <t>En la tabla se presenta, para el sector USCUSS, solo  los resultados de las estimaciones de GEI para los años 2014 y 2012, cálculados con un mismo método.
Para los años 2010, 2005 y 2000 no se actualizaron las estimaciones de GEI, porque al momento de elaboración del INGEI 2014 no se contó con los mapas de uso y cambio de uso de la tierra que abarquen dichos años.
 Es por ello, que los resultados del sector USCUSS, con el método actual (años 2014 y 2012) no son comparables con los del método original.</t>
  </si>
  <si>
    <t>Generación de electricidad: Sistema Eléctrico Interconectado Nacional (SEIN)</t>
  </si>
  <si>
    <t>Generación de electricidad: Sistema Aislado (SA)</t>
  </si>
  <si>
    <t>Fabricación de combustibles sólidos y otras industrias energéticas</t>
  </si>
  <si>
    <t>Industria no especificada</t>
  </si>
  <si>
    <t>Pesca (combustión móvil)</t>
  </si>
  <si>
    <t>Residencial</t>
  </si>
  <si>
    <t>Comercial/Institucional</t>
  </si>
  <si>
    <t>Agricultura / Silvicultura / Pesca / Piscifactorías</t>
  </si>
  <si>
    <t>Industrias manufactureras y de la construcción</t>
  </si>
  <si>
    <t>Estacionarias</t>
  </si>
  <si>
    <t>Otros usos de Carbonatos en los procesos</t>
  </si>
  <si>
    <t>TF</t>
  </si>
  <si>
    <t>TA</t>
  </si>
  <si>
    <t>TFTF</t>
  </si>
  <si>
    <t>TATA</t>
  </si>
  <si>
    <t>TTF</t>
  </si>
  <si>
    <t>TTA</t>
  </si>
  <si>
    <t>TP</t>
  </si>
  <si>
    <t>TPTP</t>
  </si>
  <si>
    <t>AT</t>
  </si>
  <si>
    <t>TAT</t>
  </si>
  <si>
    <t>OT</t>
  </si>
  <si>
    <t>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</si>
</sst>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FEF5B2"/>
        <bgColor indexed="64"/>
      </patternFill>
    </fill>
    <fill>
      <patternFill patternType="solid">
        <fgColor rgb="FFB1EFD7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2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4" borderId="2" xfId="0" applyFont="1" applyFill="1" applyBorder="1" applyAlignment="1">
      <alignment wrapText="1"/>
    </xf>
    <xf numFmtId="0" fontId="1" fillId="4" borderId="3" xfId="0" applyFont="1" applyFill="1" applyBorder="1" applyAlignment="1">
      <alignment wrapText="1"/>
    </xf>
    <xf numFmtId="0" fontId="1" fillId="4" borderId="1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5" borderId="2" xfId="0" applyFont="1" applyFill="1" applyBorder="1" applyAlignment="1">
      <alignment wrapText="1"/>
    </xf>
    <xf numFmtId="0" fontId="1" fillId="5" borderId="3" xfId="0" applyFont="1" applyFill="1" applyBorder="1" applyAlignment="1">
      <alignment wrapText="1"/>
    </xf>
    <xf numFmtId="0" fontId="1" fillId="5" borderId="1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6" borderId="2" xfId="0" applyFont="1" applyFill="1" applyBorder="1" applyAlignment="1">
      <alignment wrapText="1"/>
    </xf>
    <xf numFmtId="0" fontId="1" fillId="6" borderId="3" xfId="0" applyFont="1" applyFill="1" applyBorder="1" applyAlignment="1">
      <alignment wrapText="1"/>
    </xf>
    <xf numFmtId="0" fontId="1" fillId="6" borderId="11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1" fillId="7" borderId="2" xfId="0" applyFont="1" applyFill="1" applyBorder="1" applyAlignment="1">
      <alignment wrapText="1"/>
    </xf>
    <xf numFmtId="0" fontId="1" fillId="7" borderId="3" xfId="0" applyFont="1" applyFill="1" applyBorder="1" applyAlignment="1">
      <alignment wrapText="1"/>
    </xf>
    <xf numFmtId="0" fontId="1" fillId="7" borderId="11" xfId="0" applyFont="1" applyFill="1" applyBorder="1" applyAlignment="1">
      <alignment wrapText="1"/>
    </xf>
    <xf numFmtId="0" fontId="1" fillId="7" borderId="1" xfId="0" applyFont="1" applyFill="1" applyBorder="1" applyAlignment="1">
      <alignment wrapText="1"/>
    </xf>
    <xf numFmtId="0" fontId="1" fillId="7" borderId="5" xfId="0" applyFont="1" applyFill="1" applyBorder="1" applyAlignment="1">
      <alignment wrapText="1"/>
    </xf>
    <xf numFmtId="0" fontId="1" fillId="7" borderId="6" xfId="0" applyFont="1" applyFill="1" applyBorder="1" applyAlignment="1">
      <alignment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8" borderId="1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4" fontId="1" fillId="8" borderId="3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8" borderId="6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8" borderId="12" xfId="0" applyNumberFormat="1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wrapText="1"/>
    </xf>
    <xf numFmtId="0" fontId="1" fillId="6" borderId="6" xfId="0" applyFont="1" applyFill="1" applyBorder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2" fontId="1" fillId="0" borderId="6" xfId="0" applyNumberFormat="1" applyFont="1" applyBorder="1" applyAlignment="1">
      <alignment horizontal="center" vertical="center" wrapText="1"/>
    </xf>
    <xf numFmtId="0" fontId="1" fillId="4" borderId="5" xfId="0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4" fontId="3" fillId="2" borderId="26" xfId="0" applyNumberFormat="1" applyFont="1" applyFill="1" applyBorder="1" applyAlignment="1">
      <alignment horizontal="center" vertical="center" wrapText="1"/>
    </xf>
    <xf numFmtId="4" fontId="3" fillId="2" borderId="27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wrapText="1"/>
    </xf>
    <xf numFmtId="0" fontId="1" fillId="5" borderId="6" xfId="0" applyFont="1" applyFill="1" applyBorder="1" applyAlignment="1">
      <alignment wrapText="1"/>
    </xf>
    <xf numFmtId="4" fontId="1" fillId="8" borderId="2" xfId="0" applyNumberFormat="1" applyFont="1" applyFill="1" applyBorder="1" applyAlignment="1">
      <alignment horizontal="center" vertical="center" wrapText="1"/>
    </xf>
    <xf numFmtId="4" fontId="1" fillId="8" borderId="11" xfId="0" applyNumberFormat="1" applyFont="1" applyFill="1" applyBorder="1" applyAlignment="1">
      <alignment horizontal="center" vertical="center" wrapText="1"/>
    </xf>
    <xf numFmtId="4" fontId="1" fillId="8" borderId="5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4" borderId="15" xfId="0" applyFont="1" applyFill="1" applyBorder="1" applyAlignment="1">
      <alignment wrapText="1"/>
    </xf>
    <xf numFmtId="0" fontId="1" fillId="4" borderId="31" xfId="0" applyFont="1" applyFill="1" applyBorder="1" applyAlignment="1">
      <alignment wrapText="1"/>
    </xf>
    <xf numFmtId="0" fontId="1" fillId="4" borderId="30" xfId="0" applyFont="1" applyFill="1" applyBorder="1" applyAlignment="1">
      <alignment wrapText="1"/>
    </xf>
    <xf numFmtId="0" fontId="1" fillId="5" borderId="15" xfId="0" applyFont="1" applyFill="1" applyBorder="1" applyAlignment="1">
      <alignment wrapText="1"/>
    </xf>
    <xf numFmtId="0" fontId="1" fillId="5" borderId="31" xfId="0" applyFont="1" applyFill="1" applyBorder="1" applyAlignment="1">
      <alignment wrapText="1"/>
    </xf>
    <xf numFmtId="0" fontId="1" fillId="5" borderId="30" xfId="0" applyFont="1" applyFill="1" applyBorder="1" applyAlignment="1">
      <alignment wrapText="1"/>
    </xf>
    <xf numFmtId="0" fontId="1" fillId="6" borderId="15" xfId="0" applyFont="1" applyFill="1" applyBorder="1" applyAlignment="1">
      <alignment wrapText="1"/>
    </xf>
    <xf numFmtId="0" fontId="1" fillId="6" borderId="31" xfId="0" applyFont="1" applyFill="1" applyBorder="1" applyAlignment="1">
      <alignment wrapText="1"/>
    </xf>
    <xf numFmtId="0" fontId="1" fillId="6" borderId="30" xfId="0" applyFont="1" applyFill="1" applyBorder="1" applyAlignment="1">
      <alignment wrapText="1"/>
    </xf>
    <xf numFmtId="0" fontId="1" fillId="7" borderId="15" xfId="0" applyFont="1" applyFill="1" applyBorder="1" applyAlignment="1">
      <alignment wrapText="1"/>
    </xf>
    <xf numFmtId="0" fontId="1" fillId="7" borderId="31" xfId="0" applyFont="1" applyFill="1" applyBorder="1" applyAlignment="1">
      <alignment wrapText="1"/>
    </xf>
    <xf numFmtId="0" fontId="1" fillId="7" borderId="3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3" borderId="4" xfId="0" applyFont="1" applyFill="1" applyBorder="1" applyAlignment="1">
      <alignment wrapText="1"/>
    </xf>
    <xf numFmtId="0" fontId="1" fillId="3" borderId="12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8" borderId="1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horizontal="center" vertical="center" wrapText="1"/>
    </xf>
    <xf numFmtId="4" fontId="1" fillId="10" borderId="1" xfId="0" applyNumberFormat="1" applyFont="1" applyFill="1" applyBorder="1" applyAlignment="1">
      <alignment horizontal="center" vertical="center" wrapText="1"/>
    </xf>
    <xf numFmtId="4" fontId="1" fillId="10" borderId="11" xfId="0" applyNumberFormat="1" applyFont="1" applyFill="1" applyBorder="1" applyAlignment="1">
      <alignment horizontal="center" vertical="center" wrapText="1"/>
    </xf>
    <xf numFmtId="4" fontId="1" fillId="10" borderId="12" xfId="0" applyNumberFormat="1" applyFont="1" applyFill="1" applyBorder="1" applyAlignment="1">
      <alignment horizontal="center" vertical="center" wrapText="1"/>
    </xf>
    <xf numFmtId="4" fontId="1" fillId="10" borderId="6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11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4" fontId="1" fillId="10" borderId="2" xfId="0" applyNumberFormat="1" applyFont="1" applyFill="1" applyBorder="1" applyAlignment="1">
      <alignment horizontal="center" vertical="center" wrapText="1"/>
    </xf>
    <xf numFmtId="4" fontId="1" fillId="10" borderId="5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2" fontId="1" fillId="8" borderId="11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4" fontId="3" fillId="2" borderId="20" xfId="0" applyNumberFormat="1" applyFont="1" applyFill="1" applyBorder="1" applyAlignment="1">
      <alignment horizontal="center" vertical="center" wrapText="1"/>
    </xf>
    <xf numFmtId="4" fontId="3" fillId="2" borderId="2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28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wrapText="1"/>
    </xf>
    <xf numFmtId="4" fontId="7" fillId="0" borderId="17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7" fillId="0" borderId="17" xfId="0" applyNumberFormat="1" applyFont="1" applyFill="1" applyBorder="1" applyAlignment="1">
      <alignment horizontal="center"/>
    </xf>
    <xf numFmtId="4" fontId="7" fillId="9" borderId="17" xfId="0" applyNumberFormat="1" applyFont="1" applyFill="1" applyBorder="1" applyAlignment="1">
      <alignment horizontal="center"/>
    </xf>
    <xf numFmtId="4" fontId="6" fillId="9" borderId="11" xfId="0" applyNumberFormat="1" applyFont="1" applyFill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8" fillId="9" borderId="11" xfId="0" applyNumberFormat="1" applyFont="1" applyFill="1" applyBorder="1" applyAlignment="1">
      <alignment horizontal="center"/>
    </xf>
    <xf numFmtId="4" fontId="8" fillId="9" borderId="1" xfId="0" applyNumberFormat="1" applyFont="1" applyFill="1" applyBorder="1" applyAlignment="1">
      <alignment horizontal="center"/>
    </xf>
    <xf numFmtId="4" fontId="7" fillId="0" borderId="32" xfId="0" applyNumberFormat="1" applyFont="1" applyBorder="1" applyAlignment="1">
      <alignment horizontal="center"/>
    </xf>
    <xf numFmtId="4" fontId="6" fillId="0" borderId="24" xfId="0" applyNumberFormat="1" applyFont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 vertical="top"/>
    </xf>
    <xf numFmtId="4" fontId="6" fillId="0" borderId="8" xfId="0" applyNumberFormat="1" applyFont="1" applyBorder="1" applyAlignment="1">
      <alignment horizontal="center" vertical="top"/>
    </xf>
    <xf numFmtId="4" fontId="6" fillId="0" borderId="9" xfId="0" applyNumberFormat="1" applyFont="1" applyBorder="1" applyAlignment="1">
      <alignment horizontal="center" vertical="top"/>
    </xf>
    <xf numFmtId="4" fontId="6" fillId="0" borderId="9" xfId="0" applyNumberFormat="1" applyFont="1" applyBorder="1" applyAlignment="1">
      <alignment vertical="top"/>
    </xf>
    <xf numFmtId="4" fontId="6" fillId="0" borderId="28" xfId="0" applyNumberFormat="1" applyFont="1" applyBorder="1" applyAlignment="1">
      <alignment horizontal="center" wrapText="1"/>
    </xf>
    <xf numFmtId="4" fontId="8" fillId="0" borderId="28" xfId="0" applyNumberFormat="1" applyFont="1" applyBorder="1" applyAlignment="1">
      <alignment horizontal="center" wrapText="1"/>
    </xf>
    <xf numFmtId="4" fontId="6" fillId="0" borderId="29" xfId="0" applyNumberFormat="1" applyFont="1" applyBorder="1" applyAlignment="1">
      <alignment horizontal="center" wrapText="1"/>
    </xf>
    <xf numFmtId="4" fontId="6" fillId="0" borderId="5" xfId="0" applyNumberFormat="1" applyFont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 wrapText="1"/>
    </xf>
    <xf numFmtId="4" fontId="7" fillId="0" borderId="28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 wrapText="1"/>
    </xf>
    <xf numFmtId="4" fontId="8" fillId="0" borderId="1" xfId="0" applyNumberFormat="1" applyFont="1" applyBorder="1" applyAlignment="1">
      <alignment horizontal="center" wrapText="1"/>
    </xf>
    <xf numFmtId="4" fontId="7" fillId="0" borderId="28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 wrapText="1"/>
    </xf>
    <xf numFmtId="4" fontId="8" fillId="0" borderId="5" xfId="0" applyNumberFormat="1" applyFont="1" applyBorder="1" applyAlignment="1">
      <alignment horizontal="center" wrapText="1"/>
    </xf>
    <xf numFmtId="4" fontId="7" fillId="0" borderId="29" xfId="0" applyNumberFormat="1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4" fontId="3" fillId="2" borderId="25" xfId="0" applyNumberFormat="1" applyFont="1" applyFill="1" applyBorder="1" applyAlignment="1">
      <alignment horizontal="center" vertical="center" wrapText="1"/>
    </xf>
    <xf numFmtId="4" fontId="3" fillId="2" borderId="26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1A0C7"/>
      <color rgb="FFE6B8B7"/>
      <color rgb="FF8DB4E2"/>
      <color rgb="FFB1EFD7"/>
      <color rgb="FFFEF5B2"/>
      <color rgb="FFEBF0A8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K84"/>
  <sheetViews>
    <sheetView tabSelected="1" zoomScale="66" zoomScaleNormal="66" workbookViewId="0">
      <selection activeCell="AM78" sqref="AM78"/>
    </sheetView>
  </sheetViews>
  <sheetFormatPr baseColWidth="10" defaultColWidth="9.140625" defaultRowHeight="12" x14ac:dyDescent="0.2"/>
  <cols>
    <col min="1" max="1" width="1.140625" style="1" customWidth="1"/>
    <col min="2" max="2" width="2.5703125" style="1" customWidth="1"/>
    <col min="3" max="3" width="4.42578125" style="1" customWidth="1"/>
    <col min="4" max="4" width="6" style="1" customWidth="1"/>
    <col min="5" max="5" width="5.85546875" style="1" customWidth="1"/>
    <col min="6" max="6" width="6.5703125" style="1" customWidth="1"/>
    <col min="7" max="7" width="45.28515625" style="1" customWidth="1"/>
    <col min="8" max="8" width="17.140625" style="2" customWidth="1"/>
    <col min="9" max="9" width="14" style="2" customWidth="1"/>
    <col min="10" max="10" width="17.42578125" style="2" customWidth="1"/>
    <col min="11" max="11" width="12.7109375" style="2" customWidth="1"/>
    <col min="12" max="12" width="17" style="2" customWidth="1"/>
    <col min="13" max="14" width="17.42578125" style="2" customWidth="1"/>
    <col min="15" max="15" width="10.7109375" style="2" customWidth="1"/>
    <col min="16" max="16" width="12.42578125" style="2" customWidth="1"/>
    <col min="17" max="17" width="11" style="2" customWidth="1"/>
    <col min="18" max="18" width="11.42578125" style="2" customWidth="1"/>
    <col min="19" max="19" width="13.85546875" style="2" customWidth="1"/>
    <col min="20" max="20" width="17" style="2" customWidth="1"/>
    <col min="21" max="21" width="11.42578125" style="2" customWidth="1"/>
    <col min="22" max="22" width="13.42578125" style="2" customWidth="1"/>
    <col min="23" max="23" width="11" style="2" customWidth="1"/>
    <col min="24" max="24" width="14.42578125" style="2" customWidth="1"/>
    <col min="25" max="25" width="12.140625" style="2" customWidth="1"/>
    <col min="26" max="26" width="17.28515625" style="2" customWidth="1"/>
    <col min="27" max="28" width="11.42578125" style="2" customWidth="1"/>
    <col min="29" max="29" width="10.28515625" style="2" customWidth="1"/>
    <col min="30" max="30" width="11.42578125" style="2" customWidth="1"/>
    <col min="31" max="31" width="12.140625" style="2" customWidth="1"/>
    <col min="32" max="32" width="15.85546875" style="2" customWidth="1"/>
    <col min="33" max="33" width="8.5703125" style="2" customWidth="1"/>
    <col min="34" max="34" width="11.42578125" style="2" bestFit="1" customWidth="1"/>
    <col min="35" max="35" width="12" style="2" customWidth="1"/>
    <col min="36" max="36" width="11.42578125" style="2" bestFit="1" customWidth="1"/>
    <col min="37" max="37" width="12.140625" style="2" customWidth="1"/>
    <col min="38" max="16384" width="9.140625" style="1"/>
  </cols>
  <sheetData>
    <row r="1" spans="2:37" ht="4.5" customHeight="1" x14ac:dyDescent="0.2"/>
    <row r="2" spans="2:37" ht="18.75" customHeight="1" x14ac:dyDescent="0.25">
      <c r="B2" s="170" t="s">
        <v>132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2:37" ht="9" customHeight="1" thickBot="1" x14ac:dyDescent="0.3">
      <c r="G3" s="156"/>
      <c r="H3" s="156"/>
      <c r="I3" s="156"/>
      <c r="J3" s="156"/>
      <c r="K3" s="156"/>
      <c r="L3" s="156"/>
      <c r="M3" s="156"/>
    </row>
    <row r="4" spans="2:37" ht="38.25" customHeight="1" thickBot="1" x14ac:dyDescent="0.25">
      <c r="B4" s="171" t="s">
        <v>133</v>
      </c>
      <c r="C4" s="172"/>
      <c r="D4" s="173"/>
      <c r="E4" s="174" t="s">
        <v>134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6"/>
    </row>
    <row r="5" spans="2:37" ht="9.75" customHeight="1" thickBot="1" x14ac:dyDescent="0.25">
      <c r="E5" s="157"/>
      <c r="F5" s="157"/>
      <c r="G5" s="157"/>
      <c r="H5" s="157"/>
    </row>
    <row r="6" spans="2:37" s="3" customFormat="1" x14ac:dyDescent="0.2">
      <c r="B6" s="162" t="s">
        <v>95</v>
      </c>
      <c r="C6" s="163"/>
      <c r="D6" s="163"/>
      <c r="E6" s="163"/>
      <c r="F6" s="163"/>
      <c r="G6" s="164"/>
      <c r="H6" s="162" t="s">
        <v>94</v>
      </c>
      <c r="I6" s="163"/>
      <c r="J6" s="163"/>
      <c r="K6" s="163"/>
      <c r="L6" s="163"/>
      <c r="M6" s="164"/>
      <c r="N6" s="162" t="s">
        <v>93</v>
      </c>
      <c r="O6" s="163"/>
      <c r="P6" s="163"/>
      <c r="Q6" s="163"/>
      <c r="R6" s="163"/>
      <c r="S6" s="164"/>
      <c r="T6" s="162" t="s">
        <v>92</v>
      </c>
      <c r="U6" s="163"/>
      <c r="V6" s="163"/>
      <c r="W6" s="163"/>
      <c r="X6" s="163"/>
      <c r="Y6" s="164"/>
      <c r="Z6" s="162" t="s">
        <v>91</v>
      </c>
      <c r="AA6" s="163"/>
      <c r="AB6" s="163"/>
      <c r="AC6" s="163"/>
      <c r="AD6" s="163"/>
      <c r="AE6" s="164"/>
      <c r="AF6" s="162" t="s">
        <v>90</v>
      </c>
      <c r="AG6" s="163"/>
      <c r="AH6" s="163"/>
      <c r="AI6" s="163"/>
      <c r="AJ6" s="163"/>
      <c r="AK6" s="164"/>
    </row>
    <row r="7" spans="2:37" s="3" customFormat="1" ht="12.75" thickBot="1" x14ac:dyDescent="0.25">
      <c r="B7" s="165"/>
      <c r="C7" s="166"/>
      <c r="D7" s="166"/>
      <c r="E7" s="166"/>
      <c r="F7" s="166"/>
      <c r="G7" s="167"/>
      <c r="H7" s="165" t="s">
        <v>89</v>
      </c>
      <c r="I7" s="166"/>
      <c r="J7" s="166"/>
      <c r="K7" s="166"/>
      <c r="L7" s="166"/>
      <c r="M7" s="167"/>
      <c r="N7" s="165" t="s">
        <v>89</v>
      </c>
      <c r="O7" s="166"/>
      <c r="P7" s="166"/>
      <c r="Q7" s="166"/>
      <c r="R7" s="166"/>
      <c r="S7" s="167"/>
      <c r="T7" s="165" t="s">
        <v>89</v>
      </c>
      <c r="U7" s="166"/>
      <c r="V7" s="166"/>
      <c r="W7" s="166"/>
      <c r="X7" s="166"/>
      <c r="Y7" s="167"/>
      <c r="Z7" s="165" t="s">
        <v>89</v>
      </c>
      <c r="AA7" s="166"/>
      <c r="AB7" s="166"/>
      <c r="AC7" s="166"/>
      <c r="AD7" s="166"/>
      <c r="AE7" s="167"/>
      <c r="AF7" s="165" t="s">
        <v>89</v>
      </c>
      <c r="AG7" s="166"/>
      <c r="AH7" s="166"/>
      <c r="AI7" s="166"/>
      <c r="AJ7" s="166"/>
      <c r="AK7" s="167"/>
    </row>
    <row r="8" spans="2:37" ht="12.75" thickBot="1" x14ac:dyDescent="0.25"/>
    <row r="9" spans="2:37" s="2" customFormat="1" ht="20.25" customHeight="1" x14ac:dyDescent="0.25">
      <c r="B9" s="162" t="s">
        <v>88</v>
      </c>
      <c r="C9" s="163"/>
      <c r="D9" s="163"/>
      <c r="E9" s="163"/>
      <c r="F9" s="163"/>
      <c r="G9" s="168" t="s">
        <v>87</v>
      </c>
      <c r="H9" s="73" t="s">
        <v>86</v>
      </c>
      <c r="I9" s="158" t="s">
        <v>85</v>
      </c>
      <c r="J9" s="159"/>
      <c r="K9" s="158" t="s">
        <v>84</v>
      </c>
      <c r="L9" s="159"/>
      <c r="M9" s="5" t="s">
        <v>83</v>
      </c>
      <c r="N9" s="4" t="s">
        <v>86</v>
      </c>
      <c r="O9" s="158" t="s">
        <v>85</v>
      </c>
      <c r="P9" s="159"/>
      <c r="Q9" s="158" t="s">
        <v>84</v>
      </c>
      <c r="R9" s="159"/>
      <c r="S9" s="5" t="s">
        <v>83</v>
      </c>
      <c r="T9" s="4" t="s">
        <v>86</v>
      </c>
      <c r="U9" s="158" t="s">
        <v>85</v>
      </c>
      <c r="V9" s="159"/>
      <c r="W9" s="158" t="s">
        <v>84</v>
      </c>
      <c r="X9" s="159"/>
      <c r="Y9" s="5" t="s">
        <v>83</v>
      </c>
      <c r="Z9" s="4" t="s">
        <v>86</v>
      </c>
      <c r="AA9" s="158" t="s">
        <v>85</v>
      </c>
      <c r="AB9" s="159"/>
      <c r="AC9" s="158" t="s">
        <v>84</v>
      </c>
      <c r="AD9" s="159"/>
      <c r="AE9" s="5" t="s">
        <v>83</v>
      </c>
      <c r="AF9" s="4" t="s">
        <v>86</v>
      </c>
      <c r="AG9" s="158" t="s">
        <v>85</v>
      </c>
      <c r="AH9" s="159"/>
      <c r="AI9" s="158" t="s">
        <v>84</v>
      </c>
      <c r="AJ9" s="159"/>
      <c r="AK9" s="5" t="s">
        <v>83</v>
      </c>
    </row>
    <row r="10" spans="2:37" ht="14.25" customHeight="1" thickBot="1" x14ac:dyDescent="0.25">
      <c r="B10" s="165"/>
      <c r="C10" s="166"/>
      <c r="D10" s="166"/>
      <c r="E10" s="166"/>
      <c r="F10" s="166"/>
      <c r="G10" s="169"/>
      <c r="H10" s="74" t="s">
        <v>82</v>
      </c>
      <c r="I10" s="6" t="s">
        <v>81</v>
      </c>
      <c r="J10" s="6" t="s">
        <v>79</v>
      </c>
      <c r="K10" s="6" t="s">
        <v>80</v>
      </c>
      <c r="L10" s="6" t="s">
        <v>79</v>
      </c>
      <c r="M10" s="7" t="s">
        <v>79</v>
      </c>
      <c r="N10" s="6" t="s">
        <v>82</v>
      </c>
      <c r="O10" s="6" t="s">
        <v>81</v>
      </c>
      <c r="P10" s="6" t="s">
        <v>79</v>
      </c>
      <c r="Q10" s="6" t="s">
        <v>80</v>
      </c>
      <c r="R10" s="6" t="s">
        <v>79</v>
      </c>
      <c r="S10" s="7" t="s">
        <v>79</v>
      </c>
      <c r="T10" s="83" t="s">
        <v>82</v>
      </c>
      <c r="U10" s="83" t="s">
        <v>81</v>
      </c>
      <c r="V10" s="83" t="s">
        <v>79</v>
      </c>
      <c r="W10" s="83" t="s">
        <v>80</v>
      </c>
      <c r="X10" s="83" t="s">
        <v>79</v>
      </c>
      <c r="Y10" s="84" t="s">
        <v>79</v>
      </c>
      <c r="Z10" s="6" t="s">
        <v>82</v>
      </c>
      <c r="AA10" s="6" t="s">
        <v>81</v>
      </c>
      <c r="AB10" s="6" t="s">
        <v>79</v>
      </c>
      <c r="AC10" s="6" t="s">
        <v>80</v>
      </c>
      <c r="AD10" s="6" t="s">
        <v>79</v>
      </c>
      <c r="AE10" s="7" t="s">
        <v>79</v>
      </c>
      <c r="AF10" s="6" t="s">
        <v>82</v>
      </c>
      <c r="AG10" s="6" t="s">
        <v>81</v>
      </c>
      <c r="AH10" s="6" t="s">
        <v>79</v>
      </c>
      <c r="AI10" s="6" t="s">
        <v>80</v>
      </c>
      <c r="AJ10" s="6" t="s">
        <v>79</v>
      </c>
      <c r="AK10" s="7" t="s">
        <v>79</v>
      </c>
    </row>
    <row r="11" spans="2:37" ht="12" customHeight="1" x14ac:dyDescent="0.2">
      <c r="B11" s="45">
        <v>1</v>
      </c>
      <c r="C11" s="46"/>
      <c r="D11" s="46"/>
      <c r="E11" s="46"/>
      <c r="F11" s="46"/>
      <c r="G11" s="76" t="s">
        <v>3</v>
      </c>
      <c r="H11" s="59">
        <f t="shared" ref="H11:X11" si="0">H12+H36</f>
        <v>47320.194550752189</v>
      </c>
      <c r="I11" s="32">
        <f t="shared" si="0"/>
        <v>129.59964479394662</v>
      </c>
      <c r="J11" s="32">
        <f t="shared" si="0"/>
        <v>2721.5925406728793</v>
      </c>
      <c r="K11" s="32">
        <f t="shared" si="0"/>
        <v>0.93344700764850896</v>
      </c>
      <c r="L11" s="32">
        <f t="shared" si="0"/>
        <v>289.36857237103777</v>
      </c>
      <c r="M11" s="34">
        <f t="shared" si="0"/>
        <v>50331.155663796097</v>
      </c>
      <c r="N11" s="32">
        <f t="shared" si="0"/>
        <v>43147.983269555822</v>
      </c>
      <c r="O11" s="32">
        <f t="shared" si="0"/>
        <v>104.78025307270299</v>
      </c>
      <c r="P11" s="32">
        <f t="shared" si="0"/>
        <v>2200.3853145267631</v>
      </c>
      <c r="Q11" s="32">
        <f t="shared" si="0"/>
        <v>0.8845759652470272</v>
      </c>
      <c r="R11" s="32">
        <f t="shared" si="0"/>
        <v>274.21854922657849</v>
      </c>
      <c r="S11" s="80">
        <f t="shared" si="0"/>
        <v>45622.587133309156</v>
      </c>
      <c r="T11" s="59">
        <f t="shared" si="0"/>
        <v>40154.875582143432</v>
      </c>
      <c r="U11" s="32">
        <f t="shared" si="0"/>
        <v>170.7727055454574</v>
      </c>
      <c r="V11" s="32">
        <f t="shared" si="0"/>
        <v>3586.2268164546053</v>
      </c>
      <c r="W11" s="32">
        <f t="shared" si="0"/>
        <v>0.84374068714011186</v>
      </c>
      <c r="X11" s="32">
        <f t="shared" si="0"/>
        <v>261.55961301343473</v>
      </c>
      <c r="Y11" s="34">
        <f t="shared" ref="Y11:Y12" si="1">T11+V11+X11</f>
        <v>44002.662011611472</v>
      </c>
      <c r="Z11" s="107">
        <f>Z12+Z36</f>
        <v>27312.986424454772</v>
      </c>
      <c r="AA11" s="107">
        <f>AA12+AA36</f>
        <v>175.66937513536095</v>
      </c>
      <c r="AB11" s="107">
        <f>AB12+AB36</f>
        <v>3689.0568778425804</v>
      </c>
      <c r="AC11" s="107">
        <f>AC12+AC36</f>
        <v>0.62996084843114075</v>
      </c>
      <c r="AD11" s="107">
        <f>AD12+AD36</f>
        <v>195.28786301365361</v>
      </c>
      <c r="AE11" s="87">
        <f>Z11+AB11+AD11</f>
        <v>31197.331165311007</v>
      </c>
      <c r="AF11" s="108">
        <f>AF12+AF36</f>
        <v>26468.568232653863</v>
      </c>
      <c r="AG11" s="108">
        <f>AG12+AG36</f>
        <v>204.58122977122329</v>
      </c>
      <c r="AH11" s="108">
        <f>AH12+AH36</f>
        <v>4296.2058251956896</v>
      </c>
      <c r="AI11" s="108">
        <f>AI12+AI36</f>
        <v>0.631636917655227</v>
      </c>
      <c r="AJ11" s="108">
        <f>AJ12+AJ36</f>
        <v>195.80744447312037</v>
      </c>
      <c r="AK11" s="87">
        <f>AF11+AH11+AJ11</f>
        <v>30960.581502322671</v>
      </c>
    </row>
    <row r="12" spans="2:37" ht="12" customHeight="1" x14ac:dyDescent="0.2">
      <c r="B12" s="8"/>
      <c r="C12" s="9" t="s">
        <v>78</v>
      </c>
      <c r="D12" s="9"/>
      <c r="E12" s="9"/>
      <c r="F12" s="9"/>
      <c r="G12" s="77" t="s">
        <v>126</v>
      </c>
      <c r="H12" s="60">
        <f t="shared" ref="H12:X12" si="2">H13+H19+H22+H29+H35</f>
        <v>45452.947569583506</v>
      </c>
      <c r="I12" s="11">
        <f t="shared" si="2"/>
        <v>8.2320642114347216</v>
      </c>
      <c r="J12" s="11">
        <f t="shared" si="2"/>
        <v>172.87334844012915</v>
      </c>
      <c r="K12" s="11">
        <f t="shared" si="2"/>
        <v>0.9285651780492441</v>
      </c>
      <c r="L12" s="11">
        <f t="shared" si="2"/>
        <v>287.85520519526568</v>
      </c>
      <c r="M12" s="12">
        <f t="shared" si="2"/>
        <v>45913.676123218887</v>
      </c>
      <c r="N12" s="11">
        <f t="shared" si="2"/>
        <v>41532.155174632542</v>
      </c>
      <c r="O12" s="11">
        <f t="shared" si="2"/>
        <v>6.2355196678815075</v>
      </c>
      <c r="P12" s="11">
        <f t="shared" si="2"/>
        <v>130.94591302551169</v>
      </c>
      <c r="Q12" s="11">
        <f t="shared" si="2"/>
        <v>0.88122374719963403</v>
      </c>
      <c r="R12" s="11">
        <f t="shared" si="2"/>
        <v>273.17936163188659</v>
      </c>
      <c r="S12" s="81">
        <f t="shared" si="2"/>
        <v>41936.28044928993</v>
      </c>
      <c r="T12" s="60">
        <f t="shared" si="2"/>
        <v>39118.546711768504</v>
      </c>
      <c r="U12" s="11">
        <f t="shared" si="2"/>
        <v>5.2984273787403078</v>
      </c>
      <c r="V12" s="11">
        <f t="shared" si="2"/>
        <v>111.26697495354645</v>
      </c>
      <c r="W12" s="11">
        <f t="shared" si="2"/>
        <v>0.83846432928935988</v>
      </c>
      <c r="X12" s="11">
        <f t="shared" si="2"/>
        <v>259.92394207970159</v>
      </c>
      <c r="Y12" s="12">
        <f t="shared" si="1"/>
        <v>39489.737628801755</v>
      </c>
      <c r="Z12" s="104">
        <f>Z13+Z19+Z22+Z29+Z35</f>
        <v>26949.760992003092</v>
      </c>
      <c r="AA12" s="104">
        <f>AA13+AA19+AA22+AA29+AA35</f>
        <v>3.1600448823784713</v>
      </c>
      <c r="AB12" s="104">
        <f>AB13+AB19+AB22+AB29+AB35</f>
        <v>66.36094252994792</v>
      </c>
      <c r="AC12" s="104">
        <f>AC13+AC19+AC22+AC29+AC35</f>
        <v>0.62785307540627056</v>
      </c>
      <c r="AD12" s="104">
        <f>AD13+AD19+AD22+AD29+AD35</f>
        <v>194.63445337594385</v>
      </c>
      <c r="AE12" s="12">
        <f>Z12+AB12+AD12</f>
        <v>27210.756387908983</v>
      </c>
      <c r="AF12" s="11">
        <f>AF13+AF19+AF22+AF29+AF35</f>
        <v>26218.139159040526</v>
      </c>
      <c r="AG12" s="11">
        <f>AG13+AG19+AG22+AG29+AG35</f>
        <v>3.2015224840724033</v>
      </c>
      <c r="AH12" s="11">
        <f>AH13+AH19+AH22+AH29+AH35</f>
        <v>67.231972165520475</v>
      </c>
      <c r="AI12" s="11">
        <f>AI13+AI19+AI22+AI29+AI35</f>
        <v>0.62936621980192764</v>
      </c>
      <c r="AJ12" s="11">
        <f>AJ13+AJ19+AJ22+AJ29+AJ35</f>
        <v>195.10352813859757</v>
      </c>
      <c r="AK12" s="10">
        <f t="shared" ref="AK12:AK37" si="3">AF12+AH12+AJ12</f>
        <v>26480.474659344647</v>
      </c>
    </row>
    <row r="13" spans="2:37" ht="12" customHeight="1" x14ac:dyDescent="0.2">
      <c r="B13" s="8"/>
      <c r="C13" s="9"/>
      <c r="D13" s="9" t="s">
        <v>77</v>
      </c>
      <c r="E13" s="9"/>
      <c r="F13" s="9"/>
      <c r="G13" s="77" t="s">
        <v>127</v>
      </c>
      <c r="H13" s="60">
        <f t="shared" ref="H13:X13" si="4">H14+H17+H18</f>
        <v>14735.305972063697</v>
      </c>
      <c r="I13" s="11">
        <f t="shared" si="4"/>
        <v>0.28481483583945699</v>
      </c>
      <c r="J13" s="11">
        <f t="shared" si="4"/>
        <v>5.9811115526285965</v>
      </c>
      <c r="K13" s="11">
        <f t="shared" si="4"/>
        <v>3.5134005174489502E-2</v>
      </c>
      <c r="L13" s="11">
        <f t="shared" si="4"/>
        <v>10.891541604091746</v>
      </c>
      <c r="M13" s="12">
        <f t="shared" si="4"/>
        <v>14752.178625220418</v>
      </c>
      <c r="N13" s="11">
        <f t="shared" si="4"/>
        <v>13862.216291079672</v>
      </c>
      <c r="O13" s="11">
        <f t="shared" si="4"/>
        <v>0.26891993994007035</v>
      </c>
      <c r="P13" s="11">
        <f t="shared" si="4"/>
        <v>5.6473187387414781</v>
      </c>
      <c r="Q13" s="11">
        <f t="shared" si="4"/>
        <v>4.0207105599571843E-2</v>
      </c>
      <c r="R13" s="11">
        <f t="shared" si="4"/>
        <v>12.464202735867271</v>
      </c>
      <c r="S13" s="81">
        <f t="shared" si="4"/>
        <v>13880.327812554278</v>
      </c>
      <c r="T13" s="60">
        <f t="shared" si="4"/>
        <v>13110.020212445561</v>
      </c>
      <c r="U13" s="11">
        <f t="shared" si="4"/>
        <v>0.19760743395978717</v>
      </c>
      <c r="V13" s="11">
        <f t="shared" si="4"/>
        <v>4.1497561131555312</v>
      </c>
      <c r="W13" s="11">
        <f t="shared" si="4"/>
        <v>3.8514879170443314E-2</v>
      </c>
      <c r="X13" s="11">
        <f t="shared" si="4"/>
        <v>11.939612542837427</v>
      </c>
      <c r="Y13" s="12">
        <f>T13+V13+X13</f>
        <v>13126.109581101555</v>
      </c>
      <c r="Z13" s="104">
        <f>Z14+Z17+Z18</f>
        <v>5142.6500772227746</v>
      </c>
      <c r="AA13" s="104">
        <f>AA14+AA17+AA18</f>
        <v>0.11467330820985266</v>
      </c>
      <c r="AB13" s="104">
        <f>AB14+AB17+AB18</f>
        <v>2.4081394724069058</v>
      </c>
      <c r="AC13" s="104">
        <f>AC14+AC17+AC18</f>
        <v>1.5707210567587102E-2</v>
      </c>
      <c r="AD13" s="104">
        <f>AD14+AD17+AD18</f>
        <v>4.8692352759520023</v>
      </c>
      <c r="AE13" s="12">
        <f t="shared" ref="AE13:AE37" si="5">Z13+AB13+AD13</f>
        <v>5149.9274519711335</v>
      </c>
      <c r="AF13" s="11">
        <f>AF14+AF17+AF18</f>
        <v>4355.8916671469815</v>
      </c>
      <c r="AG13" s="11">
        <f>AG14+AG17+AG18</f>
        <v>0.24444692005548241</v>
      </c>
      <c r="AH13" s="11">
        <f>AH14+AH17+AH18</f>
        <v>5.1333853211651306</v>
      </c>
      <c r="AI13" s="11">
        <f>AI14+AI17+AI18</f>
        <v>4.2326637327777028E-2</v>
      </c>
      <c r="AJ13" s="11">
        <f>AJ14+AJ17+AJ18</f>
        <v>13.121257571610879</v>
      </c>
      <c r="AK13" s="12">
        <f t="shared" si="3"/>
        <v>4374.1463100397577</v>
      </c>
    </row>
    <row r="14" spans="2:37" ht="12" customHeight="1" x14ac:dyDescent="0.2">
      <c r="B14" s="8"/>
      <c r="C14" s="9"/>
      <c r="D14" s="9"/>
      <c r="E14" s="9" t="s">
        <v>76</v>
      </c>
      <c r="F14" s="9"/>
      <c r="G14" s="77" t="s">
        <v>128</v>
      </c>
      <c r="H14" s="60">
        <f>SUM(H15:H16)</f>
        <v>8820.9857731186421</v>
      </c>
      <c r="I14" s="11">
        <f t="shared" ref="I14:M14" si="6">SUM(I15:I16)</f>
        <v>0.16261220207627258</v>
      </c>
      <c r="J14" s="11">
        <f t="shared" si="6"/>
        <v>3.414856243601724</v>
      </c>
      <c r="K14" s="11">
        <f t="shared" si="6"/>
        <v>1.9773325870641418E-2</v>
      </c>
      <c r="L14" s="11">
        <f t="shared" si="6"/>
        <v>6.1297310198988395</v>
      </c>
      <c r="M14" s="12">
        <f t="shared" si="6"/>
        <v>8830.530360382143</v>
      </c>
      <c r="N14" s="11">
        <f>N15+N16</f>
        <v>8859.5623461469677</v>
      </c>
      <c r="O14" s="11">
        <f t="shared" ref="O14:R14" si="7">O15+O16</f>
        <v>0.16270755275516624</v>
      </c>
      <c r="P14" s="11">
        <f t="shared" si="7"/>
        <v>3.416858607858491</v>
      </c>
      <c r="Q14" s="11">
        <f t="shared" si="7"/>
        <v>2.6275068085958551E-2</v>
      </c>
      <c r="R14" s="11">
        <f t="shared" si="7"/>
        <v>8.1452711066471508</v>
      </c>
      <c r="S14" s="81">
        <f>N14+P14+R14</f>
        <v>8871.1244758614721</v>
      </c>
      <c r="T14" s="60">
        <f>T15+T16</f>
        <v>8163.29</v>
      </c>
      <c r="U14" s="11">
        <f>U15+U16</f>
        <v>0.15945999999999999</v>
      </c>
      <c r="V14" s="11">
        <f t="shared" ref="V14:X14" si="8">V15+V16</f>
        <v>3.3486600000000002</v>
      </c>
      <c r="W14" s="11">
        <f t="shared" si="8"/>
        <v>3.4669999999999999E-2</v>
      </c>
      <c r="X14" s="11">
        <f t="shared" si="8"/>
        <v>10.7477</v>
      </c>
      <c r="Y14" s="12">
        <f>T14+V14+X14</f>
        <v>8177.3863599999995</v>
      </c>
      <c r="Z14" s="104">
        <f>Z15+Z16</f>
        <v>2918.124018295277</v>
      </c>
      <c r="AA14" s="11">
        <f>AA15+AA16</f>
        <v>6.0920657762276585E-2</v>
      </c>
      <c r="AB14" s="11">
        <f>AB15+AB16</f>
        <v>1.2793338130078082</v>
      </c>
      <c r="AC14" s="11">
        <f>AC15+AC16</f>
        <v>7.7332146131853085E-3</v>
      </c>
      <c r="AD14" s="11">
        <f>AD15+AD16</f>
        <v>2.3972965300874458</v>
      </c>
      <c r="AE14" s="12">
        <f t="shared" si="5"/>
        <v>2921.800648638372</v>
      </c>
      <c r="AF14" s="11">
        <f>AF15+AF16</f>
        <v>2081.948532101389</v>
      </c>
      <c r="AG14" s="11">
        <f t="shared" ref="AG14:AJ14" si="9">AG15+AG16</f>
        <v>6.0566028354075499E-2</v>
      </c>
      <c r="AH14" s="11">
        <f t="shared" si="9"/>
        <v>1.2718865954355856</v>
      </c>
      <c r="AI14" s="11">
        <f t="shared" si="9"/>
        <v>1.597053449711618E-2</v>
      </c>
      <c r="AJ14" s="11">
        <f t="shared" si="9"/>
        <v>4.9508656941060156</v>
      </c>
      <c r="AK14" s="12">
        <f t="shared" si="3"/>
        <v>2088.1712843909309</v>
      </c>
    </row>
    <row r="15" spans="2:37" ht="24.75" customHeight="1" x14ac:dyDescent="0.2">
      <c r="B15" s="8"/>
      <c r="C15" s="9"/>
      <c r="D15" s="9"/>
      <c r="E15" s="9"/>
      <c r="F15" s="9" t="s">
        <v>75</v>
      </c>
      <c r="G15" s="77" t="s">
        <v>135</v>
      </c>
      <c r="H15" s="118">
        <v>8581.2535487515906</v>
      </c>
      <c r="I15" s="119">
        <f>153.237677228891/1000</f>
        <v>0.15323767722889098</v>
      </c>
      <c r="J15" s="13">
        <f>I15*21</f>
        <v>3.2179912218067104</v>
      </c>
      <c r="K15" s="120">
        <f>17.8984209011651/1000</f>
        <v>1.7898420901165099E-2</v>
      </c>
      <c r="L15" s="13">
        <f>K15*310</f>
        <v>5.5485104793611804</v>
      </c>
      <c r="M15" s="12">
        <f>H15+J15+L15</f>
        <v>8590.0200504527584</v>
      </c>
      <c r="N15" s="121">
        <v>8666.4615084509696</v>
      </c>
      <c r="O15" s="121">
        <v>0.155145749687643</v>
      </c>
      <c r="P15" s="11">
        <f>O15*21</f>
        <v>3.2580607434405029</v>
      </c>
      <c r="Q15" s="121">
        <v>2.4762707472453901E-2</v>
      </c>
      <c r="R15" s="11">
        <f>Q15*310</f>
        <v>7.6764393164607094</v>
      </c>
      <c r="S15" s="81">
        <f t="shared" ref="S15:S35" si="10">N15+P15+R15</f>
        <v>8677.396008510872</v>
      </c>
      <c r="T15" s="122">
        <v>7852.51</v>
      </c>
      <c r="U15" s="123">
        <v>0.14687</v>
      </c>
      <c r="V15" s="13">
        <f>U15*21</f>
        <v>3.0842700000000001</v>
      </c>
      <c r="W15" s="13">
        <f>32.15/1000</f>
        <v>3.2149999999999998E-2</v>
      </c>
      <c r="X15" s="13">
        <f>W15*310</f>
        <v>9.9664999999999999</v>
      </c>
      <c r="Y15" s="12">
        <f>T15+V15+X15</f>
        <v>7865.560770000001</v>
      </c>
      <c r="Z15" s="104">
        <v>2810.16048586632</v>
      </c>
      <c r="AA15" s="11">
        <f>56.6445706447577/1000</f>
        <v>5.6644570644757697E-2</v>
      </c>
      <c r="AB15" s="11">
        <f t="shared" ref="AB15:AB18" si="11">AA15*21</f>
        <v>1.1895359835399115</v>
      </c>
      <c r="AC15" s="11">
        <f>0.001*6.87799718968153</f>
        <v>6.8779971896815303E-3</v>
      </c>
      <c r="AD15" s="11">
        <f t="shared" ref="AD15:AD35" si="12">AC15*310</f>
        <v>2.1321791288012744</v>
      </c>
      <c r="AE15" s="12">
        <f t="shared" si="5"/>
        <v>2813.4822009786612</v>
      </c>
      <c r="AF15" s="11">
        <v>1814.5235818042668</v>
      </c>
      <c r="AG15" s="11">
        <f>50.0916290279571/1000</f>
        <v>5.0091629027957101E-2</v>
      </c>
      <c r="AH15" s="11">
        <f>AG15*21</f>
        <v>1.0519242095870991</v>
      </c>
      <c r="AI15" s="11">
        <f>13.8756546318925/1000</f>
        <v>1.38756546318925E-2</v>
      </c>
      <c r="AJ15" s="11">
        <f>AI15*310</f>
        <v>4.3014529358866751</v>
      </c>
      <c r="AK15" s="12">
        <f>AF15+AH15+AJ15</f>
        <v>1819.8769589497404</v>
      </c>
    </row>
    <row r="16" spans="2:37" ht="12" customHeight="1" x14ac:dyDescent="0.2">
      <c r="B16" s="8"/>
      <c r="C16" s="9"/>
      <c r="D16" s="9"/>
      <c r="E16" s="9"/>
      <c r="F16" s="9" t="s">
        <v>75</v>
      </c>
      <c r="G16" s="77" t="s">
        <v>136</v>
      </c>
      <c r="H16" s="118">
        <v>239.732224367052</v>
      </c>
      <c r="I16" s="119">
        <f>9.3745248473816/1000</f>
        <v>9.3745248473816011E-3</v>
      </c>
      <c r="J16" s="13">
        <f>I16*21</f>
        <v>0.19686502179501361</v>
      </c>
      <c r="K16" s="120">
        <f>1.87490496947632/1000</f>
        <v>1.8749049694763201E-3</v>
      </c>
      <c r="L16" s="13">
        <f>K16*310</f>
        <v>0.58122054053765926</v>
      </c>
      <c r="M16" s="12">
        <f>H16+J16+L16</f>
        <v>240.51030992938468</v>
      </c>
      <c r="N16" s="121">
        <v>193.10083769599871</v>
      </c>
      <c r="O16" s="121">
        <v>7.5618030675232402E-3</v>
      </c>
      <c r="P16" s="11">
        <f>O16*21</f>
        <v>0.15879786441798804</v>
      </c>
      <c r="Q16" s="121">
        <v>1.51236061350465E-3</v>
      </c>
      <c r="R16" s="11">
        <f>Q16*310</f>
        <v>0.4688317901864415</v>
      </c>
      <c r="S16" s="81">
        <f t="shared" si="10"/>
        <v>193.72846735060313</v>
      </c>
      <c r="T16" s="122">
        <v>310.77999999999997</v>
      </c>
      <c r="U16" s="123">
        <v>1.259E-2</v>
      </c>
      <c r="V16" s="13">
        <f>U16*21</f>
        <v>0.26439000000000001</v>
      </c>
      <c r="W16" s="13">
        <f>2.52/1000</f>
        <v>2.5200000000000001E-3</v>
      </c>
      <c r="X16" s="13">
        <f>W16*310</f>
        <v>0.78120000000000001</v>
      </c>
      <c r="Y16" s="12">
        <f>T16+V16+X16</f>
        <v>311.82558999999998</v>
      </c>
      <c r="Z16" s="104">
        <v>107.96353242895714</v>
      </c>
      <c r="AA16" s="11">
        <f>4.27608711751889/1000</f>
        <v>4.27608711751889E-3</v>
      </c>
      <c r="AB16" s="11">
        <f t="shared" si="11"/>
        <v>8.9797829467896689E-2</v>
      </c>
      <c r="AC16" s="11">
        <f>0.001*0.855217423503778</f>
        <v>8.5521742350377807E-4</v>
      </c>
      <c r="AD16" s="11">
        <f t="shared" si="12"/>
        <v>0.26511740128617123</v>
      </c>
      <c r="AE16" s="12">
        <f t="shared" si="5"/>
        <v>108.31844765971121</v>
      </c>
      <c r="AF16" s="11">
        <v>267.42495029712228</v>
      </c>
      <c r="AG16" s="11">
        <f>10.4743993261184/1000</f>
        <v>1.04743993261184E-2</v>
      </c>
      <c r="AH16" s="11">
        <f>AG16*21</f>
        <v>0.2199623858484864</v>
      </c>
      <c r="AI16" s="11">
        <f>2.09487986522368/1000</f>
        <v>2.09487986522368E-3</v>
      </c>
      <c r="AJ16" s="11">
        <f>AI16*310</f>
        <v>0.64941275821934086</v>
      </c>
      <c r="AK16" s="12">
        <f t="shared" si="3"/>
        <v>268.2943254411901</v>
      </c>
    </row>
    <row r="17" spans="2:37" ht="12" customHeight="1" x14ac:dyDescent="0.2">
      <c r="B17" s="8"/>
      <c r="C17" s="9"/>
      <c r="D17" s="9"/>
      <c r="E17" s="9" t="s">
        <v>74</v>
      </c>
      <c r="F17" s="9"/>
      <c r="G17" s="77" t="s">
        <v>129</v>
      </c>
      <c r="H17" s="118">
        <v>3255.94954025879</v>
      </c>
      <c r="I17" s="119">
        <v>5.77971280491568E-2</v>
      </c>
      <c r="J17" s="13">
        <f t="shared" ref="J17:J38" si="13">I17*21</f>
        <v>1.2137396890322929</v>
      </c>
      <c r="K17" s="124">
        <f>5.79528536886625/1000</f>
        <v>5.7952853688662499E-3</v>
      </c>
      <c r="L17" s="13">
        <f t="shared" ref="L17:L38" si="14">K17*310</f>
        <v>1.7965384643485374</v>
      </c>
      <c r="M17" s="12">
        <f t="shared" ref="M17:M38" si="15">H17+J17+L17</f>
        <v>3258.9598184121705</v>
      </c>
      <c r="N17" s="125">
        <v>2118.326592655877</v>
      </c>
      <c r="O17" s="125">
        <v>3.7857253499335601E-2</v>
      </c>
      <c r="P17" s="11">
        <f>O17*21</f>
        <v>0.7950023234860476</v>
      </c>
      <c r="Q17" s="125">
        <f>0.001*3.83029385832323</f>
        <v>3.83029385832323E-3</v>
      </c>
      <c r="R17" s="11">
        <f t="shared" ref="R17:R18" si="16">Q17*310</f>
        <v>1.1873910960802012</v>
      </c>
      <c r="S17" s="81">
        <f t="shared" si="10"/>
        <v>2120.3089860754435</v>
      </c>
      <c r="T17" s="126">
        <v>2148.65</v>
      </c>
      <c r="U17" s="127">
        <v>3.8119999999999994E-2</v>
      </c>
      <c r="V17" s="13">
        <f>U17*21</f>
        <v>0.8005199999999999</v>
      </c>
      <c r="W17" s="13">
        <f>3.84/1000</f>
        <v>3.8399999999999997E-3</v>
      </c>
      <c r="X17" s="13">
        <f>W17*310</f>
        <v>1.1903999999999999</v>
      </c>
      <c r="Y17" s="12">
        <f>T17+V17+X17</f>
        <v>2150.6409199999998</v>
      </c>
      <c r="Z17" s="104">
        <v>224.91534101412651</v>
      </c>
      <c r="AA17" s="11">
        <f>0.001*4.10592596241267</f>
        <v>4.1059259624126694E-3</v>
      </c>
      <c r="AB17" s="11">
        <f t="shared" si="11"/>
        <v>8.6224445210666051E-2</v>
      </c>
      <c r="AC17" s="11">
        <f>0.001*0.435269911358303</f>
        <v>4.3526991135830302E-4</v>
      </c>
      <c r="AD17" s="11">
        <f t="shared" si="12"/>
        <v>0.13493367252107394</v>
      </c>
      <c r="AE17" s="12">
        <f t="shared" si="5"/>
        <v>225.13649913185824</v>
      </c>
      <c r="AF17" s="11">
        <v>4.6876589737280726E-2</v>
      </c>
      <c r="AG17" s="11">
        <f>0.00189783764118545/1000</f>
        <v>1.8978376411854502E-6</v>
      </c>
      <c r="AH17" s="11">
        <f t="shared" ref="AH17:AH31" si="17">AG17*21</f>
        <v>3.9854590464894455E-5</v>
      </c>
      <c r="AI17" s="11">
        <f>0.000379567528237091/1000</f>
        <v>3.7956752823709096E-7</v>
      </c>
      <c r="AJ17" s="11">
        <f t="shared" ref="AJ17:AJ31" si="18">AI17*310</f>
        <v>1.1766593375349819E-4</v>
      </c>
      <c r="AK17" s="12">
        <f t="shared" si="3"/>
        <v>4.7034110261499118E-2</v>
      </c>
    </row>
    <row r="18" spans="2:37" ht="24.75" customHeight="1" x14ac:dyDescent="0.2">
      <c r="B18" s="8"/>
      <c r="C18" s="9"/>
      <c r="D18" s="9"/>
      <c r="E18" s="9" t="s">
        <v>73</v>
      </c>
      <c r="F18" s="9"/>
      <c r="G18" s="77" t="s">
        <v>137</v>
      </c>
      <c r="H18" s="118">
        <v>2658.3706586862663</v>
      </c>
      <c r="I18" s="119">
        <v>6.4405505714027603E-2</v>
      </c>
      <c r="J18" s="13">
        <f t="shared" si="13"/>
        <v>1.3525156199945796</v>
      </c>
      <c r="K18" s="124">
        <f>9.56539393498183/1000</f>
        <v>9.5653939349818317E-3</v>
      </c>
      <c r="L18" s="13">
        <f t="shared" si="14"/>
        <v>2.9652721198443679</v>
      </c>
      <c r="M18" s="12">
        <f t="shared" si="15"/>
        <v>2662.6884464261052</v>
      </c>
      <c r="N18" s="128">
        <v>2884.3273522768277</v>
      </c>
      <c r="O18" s="128">
        <v>6.8355133685568517E-2</v>
      </c>
      <c r="P18" s="11">
        <f>O18*21</f>
        <v>1.4354578073969388</v>
      </c>
      <c r="Q18" s="125">
        <v>1.0101743655290058E-2</v>
      </c>
      <c r="R18" s="11">
        <f t="shared" si="16"/>
        <v>3.1315405331399182</v>
      </c>
      <c r="S18" s="81">
        <f t="shared" si="10"/>
        <v>2888.8943506173646</v>
      </c>
      <c r="T18" s="126">
        <v>2798.0802124455599</v>
      </c>
      <c r="U18" s="127">
        <v>2.7433959787194901E-5</v>
      </c>
      <c r="V18" s="13">
        <f>U18*21</f>
        <v>5.7611315553109295E-4</v>
      </c>
      <c r="W18" s="127">
        <v>4.8791704433109401E-6</v>
      </c>
      <c r="X18" s="13">
        <f t="shared" ref="X18:X35" si="19">W18*310</f>
        <v>1.5125428374263914E-3</v>
      </c>
      <c r="Y18" s="12">
        <f t="shared" ref="Y18:Y37" si="20">T18+V18+X18</f>
        <v>2798.0823011015532</v>
      </c>
      <c r="Z18" s="104">
        <v>1999.6107179133708</v>
      </c>
      <c r="AA18" s="11">
        <v>4.9646724485163406E-2</v>
      </c>
      <c r="AB18" s="11">
        <f t="shared" si="11"/>
        <v>1.0425812141884314</v>
      </c>
      <c r="AC18" s="11">
        <v>7.5387260430434906E-3</v>
      </c>
      <c r="AD18" s="11">
        <f t="shared" si="12"/>
        <v>2.337005073343482</v>
      </c>
      <c r="AE18" s="12">
        <f t="shared" si="5"/>
        <v>2002.9903042009028</v>
      </c>
      <c r="AF18" s="11">
        <v>2273.8962584558553</v>
      </c>
      <c r="AG18" s="125">
        <v>0.18387899386376572</v>
      </c>
      <c r="AH18" s="11">
        <f t="shared" si="17"/>
        <v>3.8614588711390798</v>
      </c>
      <c r="AI18" s="11">
        <v>2.635572326313261E-2</v>
      </c>
      <c r="AJ18" s="11">
        <f t="shared" si="18"/>
        <v>8.17027421157111</v>
      </c>
      <c r="AK18" s="12">
        <f t="shared" si="3"/>
        <v>2285.9279915385655</v>
      </c>
    </row>
    <row r="19" spans="2:37" ht="12" customHeight="1" x14ac:dyDescent="0.2">
      <c r="B19" s="8"/>
      <c r="C19" s="9"/>
      <c r="D19" s="9" t="s">
        <v>72</v>
      </c>
      <c r="E19" s="9"/>
      <c r="F19" s="9"/>
      <c r="G19" s="77" t="s">
        <v>143</v>
      </c>
      <c r="H19" s="60">
        <f>SUM(H20:H21)</f>
        <v>9006.691671522065</v>
      </c>
      <c r="I19" s="11">
        <f t="shared" ref="I19:M19" si="21">SUM(I20:I21)</f>
        <v>0.472650759688237</v>
      </c>
      <c r="J19" s="11">
        <f t="shared" si="21"/>
        <v>9.9256659534529774</v>
      </c>
      <c r="K19" s="11">
        <f t="shared" si="21"/>
        <v>7.2748484843741495E-2</v>
      </c>
      <c r="L19" s="11">
        <f t="shared" si="21"/>
        <v>22.552030301559864</v>
      </c>
      <c r="M19" s="12">
        <f t="shared" si="21"/>
        <v>9039.1693677770782</v>
      </c>
      <c r="N19" s="11">
        <f>N20+N21</f>
        <v>7860.8026228048493</v>
      </c>
      <c r="O19" s="11">
        <f t="shared" ref="O19:R19" si="22">O20+O21</f>
        <v>0.42066832038309904</v>
      </c>
      <c r="P19" s="11">
        <f t="shared" si="22"/>
        <v>8.8340347280450793</v>
      </c>
      <c r="Q19" s="11">
        <f t="shared" si="22"/>
        <v>6.1746210275574906E-2</v>
      </c>
      <c r="R19" s="11">
        <f t="shared" si="22"/>
        <v>19.141325185428222</v>
      </c>
      <c r="S19" s="81">
        <f t="shared" si="10"/>
        <v>7888.7779827183231</v>
      </c>
      <c r="T19" s="60">
        <f>T20+T21</f>
        <v>7726.5700000000006</v>
      </c>
      <c r="U19" s="13">
        <f>U20+U21</f>
        <v>0.40017999999999998</v>
      </c>
      <c r="V19" s="13">
        <f t="shared" ref="V19:V37" si="23">U19*21</f>
        <v>8.4037799999999994</v>
      </c>
      <c r="W19" s="13">
        <f>W20+W21</f>
        <v>6.3850000000000004E-2</v>
      </c>
      <c r="X19" s="13">
        <f t="shared" si="19"/>
        <v>19.793500000000002</v>
      </c>
      <c r="Y19" s="12">
        <f t="shared" si="20"/>
        <v>7754.76728</v>
      </c>
      <c r="Z19" s="104">
        <f>Z20+Z21</f>
        <v>7828.3998824598966</v>
      </c>
      <c r="AA19" s="104">
        <f t="shared" ref="AA19:AC19" si="24">AA20+AA21</f>
        <v>0.427120209036562</v>
      </c>
      <c r="AB19" s="11">
        <f t="shared" ref="AB19" si="25">AA19*21</f>
        <v>8.9695243897678019</v>
      </c>
      <c r="AC19" s="104">
        <f t="shared" si="24"/>
        <v>7.2388541807312509E-2</v>
      </c>
      <c r="AD19" s="11">
        <f t="shared" si="12"/>
        <v>22.440447960266876</v>
      </c>
      <c r="AE19" s="12">
        <f t="shared" si="5"/>
        <v>7859.8098548099315</v>
      </c>
      <c r="AF19" s="11">
        <f>AF20+AF21</f>
        <v>7125.6049959797074</v>
      </c>
      <c r="AG19" s="11">
        <f t="shared" ref="AG19:AJ19" si="26">AG20+AG21</f>
        <v>0.37685580780352801</v>
      </c>
      <c r="AH19" s="11">
        <f t="shared" si="26"/>
        <v>7.9139719638740882</v>
      </c>
      <c r="AI19" s="11">
        <f t="shared" si="26"/>
        <v>6.6664261560705498E-2</v>
      </c>
      <c r="AJ19" s="11">
        <f t="shared" si="26"/>
        <v>20.665921083818702</v>
      </c>
      <c r="AK19" s="12">
        <f t="shared" si="3"/>
        <v>7154.1848890274005</v>
      </c>
    </row>
    <row r="20" spans="2:37" ht="12" customHeight="1" x14ac:dyDescent="0.2">
      <c r="B20" s="8"/>
      <c r="C20" s="9"/>
      <c r="D20" s="9"/>
      <c r="E20" s="9" t="s">
        <v>96</v>
      </c>
      <c r="F20" s="9"/>
      <c r="G20" s="77" t="s">
        <v>98</v>
      </c>
      <c r="H20" s="118">
        <v>2023.9838276038604</v>
      </c>
      <c r="I20" s="119">
        <v>0.111401762388875</v>
      </c>
      <c r="J20" s="13">
        <f t="shared" si="13"/>
        <v>2.3394370101663751</v>
      </c>
      <c r="K20" s="124">
        <v>1.8621754601433199E-2</v>
      </c>
      <c r="L20" s="13">
        <f t="shared" si="14"/>
        <v>5.7727439264442921</v>
      </c>
      <c r="M20" s="12">
        <f t="shared" si="15"/>
        <v>2032.0960085404711</v>
      </c>
      <c r="N20" s="125">
        <v>1657.6103064475371</v>
      </c>
      <c r="O20" s="129">
        <f>0.001*103.756834141149</f>
        <v>0.103756834141149</v>
      </c>
      <c r="P20" s="11">
        <f>O20*21</f>
        <v>2.1788935169641288</v>
      </c>
      <c r="Q20" s="129">
        <f>0.001*13.952844627185</f>
        <v>1.3952844627185001E-2</v>
      </c>
      <c r="R20" s="11">
        <f>Q20*310</f>
        <v>4.3253818344273505</v>
      </c>
      <c r="S20" s="81">
        <f t="shared" si="10"/>
        <v>1664.1145817989286</v>
      </c>
      <c r="T20" s="130">
        <v>1726.54</v>
      </c>
      <c r="U20" s="13">
        <f>78.22/1000</f>
        <v>7.8219999999999998E-2</v>
      </c>
      <c r="V20" s="13">
        <f t="shared" si="23"/>
        <v>1.64262</v>
      </c>
      <c r="W20" s="13">
        <f>13.95/1000</f>
        <v>1.3949999999999999E-2</v>
      </c>
      <c r="X20" s="13">
        <f t="shared" si="19"/>
        <v>4.3244999999999996</v>
      </c>
      <c r="Y20" s="12">
        <f t="shared" si="20"/>
        <v>1732.50712</v>
      </c>
      <c r="Z20" s="104">
        <v>2038.5989949066357</v>
      </c>
      <c r="AA20" s="11">
        <f>0.001*101.218109306527</f>
        <v>0.101218109306527</v>
      </c>
      <c r="AB20" s="11">
        <f t="shared" ref="AB20" si="27">AA20*21</f>
        <v>2.1255802954370671</v>
      </c>
      <c r="AC20" s="11">
        <f>0.001*18.1834218613055</f>
        <v>1.8183421861305501E-2</v>
      </c>
      <c r="AD20" s="11">
        <f t="shared" si="12"/>
        <v>5.6368607770047054</v>
      </c>
      <c r="AE20" s="12">
        <f t="shared" si="5"/>
        <v>2046.3614359790774</v>
      </c>
      <c r="AF20" s="11">
        <v>2720.1189229104298</v>
      </c>
      <c r="AG20" s="11">
        <f>141.929206211419/1000</f>
        <v>0.141929206211419</v>
      </c>
      <c r="AH20" s="11">
        <f t="shared" si="17"/>
        <v>2.9805133304397988</v>
      </c>
      <c r="AI20" s="11">
        <f>25.5066412422838/1000</f>
        <v>2.5506641242283797E-2</v>
      </c>
      <c r="AJ20" s="11">
        <f t="shared" si="18"/>
        <v>7.907058785107977</v>
      </c>
      <c r="AK20" s="12">
        <f t="shared" si="3"/>
        <v>2731.0064950259775</v>
      </c>
    </row>
    <row r="21" spans="2:37" ht="12" customHeight="1" x14ac:dyDescent="0.2">
      <c r="B21" s="8"/>
      <c r="C21" s="9"/>
      <c r="D21" s="9"/>
      <c r="E21" s="9" t="s">
        <v>97</v>
      </c>
      <c r="F21" s="9"/>
      <c r="G21" s="77" t="s">
        <v>138</v>
      </c>
      <c r="H21" s="118">
        <v>6982.7078439182051</v>
      </c>
      <c r="I21" s="119">
        <v>0.361248997299362</v>
      </c>
      <c r="J21" s="13">
        <f t="shared" si="13"/>
        <v>7.5862289432866019</v>
      </c>
      <c r="K21" s="124">
        <v>5.4126730242308296E-2</v>
      </c>
      <c r="L21" s="13">
        <f t="shared" si="14"/>
        <v>16.779286375115571</v>
      </c>
      <c r="M21" s="12">
        <f t="shared" si="15"/>
        <v>7007.0733592366068</v>
      </c>
      <c r="N21" s="125">
        <v>6203.1923163573119</v>
      </c>
      <c r="O21" s="129">
        <f>0.001*316.91148624195</f>
        <v>0.31691148624195004</v>
      </c>
      <c r="P21" s="11">
        <f>O21*21</f>
        <v>6.6551412110809505</v>
      </c>
      <c r="Q21" s="129">
        <f>0.001*47.7933656483899</f>
        <v>4.7793365648389902E-2</v>
      </c>
      <c r="R21" s="11">
        <f>Q21*310</f>
        <v>14.81594335100087</v>
      </c>
      <c r="S21" s="81">
        <f t="shared" si="10"/>
        <v>6224.663400919394</v>
      </c>
      <c r="T21" s="130">
        <v>6000.0300000000007</v>
      </c>
      <c r="U21" s="13">
        <f>321.96/1000</f>
        <v>0.32195999999999997</v>
      </c>
      <c r="V21" s="13">
        <f t="shared" si="23"/>
        <v>6.7611599999999994</v>
      </c>
      <c r="W21" s="13">
        <f>49.9/1000</f>
        <v>4.99E-2</v>
      </c>
      <c r="X21" s="13">
        <f t="shared" si="19"/>
        <v>15.468999999999999</v>
      </c>
      <c r="Y21" s="12">
        <f t="shared" si="20"/>
        <v>6022.2601600000007</v>
      </c>
      <c r="Z21" s="104">
        <v>5789.8008875532605</v>
      </c>
      <c r="AA21" s="11">
        <f>0.001*325.902099730035</f>
        <v>0.32590209973003498</v>
      </c>
      <c r="AB21" s="11">
        <f t="shared" ref="AB21" si="28">AA21*21</f>
        <v>6.8439440943307348</v>
      </c>
      <c r="AC21" s="11">
        <v>5.4205119946007005E-2</v>
      </c>
      <c r="AD21" s="11">
        <f t="shared" si="12"/>
        <v>16.80358718326217</v>
      </c>
      <c r="AE21" s="12">
        <f t="shared" si="5"/>
        <v>5813.4484188308543</v>
      </c>
      <c r="AF21" s="11">
        <v>4405.4860730692772</v>
      </c>
      <c r="AG21" s="11">
        <f>234.926601592109/1000</f>
        <v>0.23492660159210899</v>
      </c>
      <c r="AH21" s="11">
        <f t="shared" si="17"/>
        <v>4.9334586334342889</v>
      </c>
      <c r="AI21" s="11">
        <f>41.1576203184217/1000</f>
        <v>4.1157620318421698E-2</v>
      </c>
      <c r="AJ21" s="11">
        <f t="shared" si="18"/>
        <v>12.758862298710726</v>
      </c>
      <c r="AK21" s="12">
        <f t="shared" si="3"/>
        <v>4423.178394001422</v>
      </c>
    </row>
    <row r="22" spans="2:37" ht="12" customHeight="1" x14ac:dyDescent="0.2">
      <c r="B22" s="8"/>
      <c r="C22" s="9"/>
      <c r="D22" s="9" t="s">
        <v>71</v>
      </c>
      <c r="E22" s="9"/>
      <c r="F22" s="9"/>
      <c r="G22" s="77" t="s">
        <v>70</v>
      </c>
      <c r="H22" s="118">
        <f>H23+H25+H26+H27+H28</f>
        <v>16923.685465408045</v>
      </c>
      <c r="I22" s="119">
        <f t="shared" ref="I22:M22" si="29">I23+I25+I26+I27+I28</f>
        <v>6.0673249133858445</v>
      </c>
      <c r="J22" s="119">
        <f t="shared" si="29"/>
        <v>127.41382318110273</v>
      </c>
      <c r="K22" s="119">
        <f t="shared" si="29"/>
        <v>0.79671348556958987</v>
      </c>
      <c r="L22" s="119">
        <f t="shared" si="29"/>
        <v>246.98118052657287</v>
      </c>
      <c r="M22" s="12">
        <f t="shared" si="29"/>
        <v>17298.080469115717</v>
      </c>
      <c r="N22" s="11">
        <f>N23+N25+N26+N27+N28</f>
        <v>15944.761741257513</v>
      </c>
      <c r="O22" s="11">
        <f t="shared" ref="O22:R22" si="30">O23+O25+O26+O27+O28</f>
        <v>5.1558396350298406</v>
      </c>
      <c r="P22" s="11">
        <f t="shared" si="30"/>
        <v>108.27263233562668</v>
      </c>
      <c r="Q22" s="11">
        <f t="shared" si="30"/>
        <v>0.76047050930484483</v>
      </c>
      <c r="R22" s="11">
        <f t="shared" si="30"/>
        <v>235.74585788450193</v>
      </c>
      <c r="S22" s="81">
        <f t="shared" si="10"/>
        <v>16288.780231477642</v>
      </c>
      <c r="T22" s="60">
        <f>T23+T25+T26+T27+T28</f>
        <v>14530.002240760294</v>
      </c>
      <c r="U22" s="11">
        <f t="shared" ref="U22:X22" si="31">U23+U25+U26+U27+U28</f>
        <v>4.1066291096856764</v>
      </c>
      <c r="V22" s="11">
        <f t="shared" si="31"/>
        <v>86.239211303399202</v>
      </c>
      <c r="W22" s="11">
        <f t="shared" si="31"/>
        <v>0.71449862253954177</v>
      </c>
      <c r="X22" s="11">
        <f t="shared" si="31"/>
        <v>221.49457298725795</v>
      </c>
      <c r="Y22" s="12">
        <f t="shared" si="20"/>
        <v>14837.73602505095</v>
      </c>
      <c r="Z22" s="104">
        <f>Z23+Z25+Z26+Z27+Z28</f>
        <v>10528.571905976318</v>
      </c>
      <c r="AA22" s="104">
        <f t="shared" ref="AA22:AD22" si="32">AA23+AA25+AA26+AA27+AA28</f>
        <v>2.3078209011291584</v>
      </c>
      <c r="AB22" s="104">
        <f t="shared" si="32"/>
        <v>48.464238923712337</v>
      </c>
      <c r="AC22" s="104">
        <f t="shared" si="32"/>
        <v>0.51892240057830819</v>
      </c>
      <c r="AD22" s="104">
        <f t="shared" si="32"/>
        <v>160.86594417927554</v>
      </c>
      <c r="AE22" s="12">
        <f t="shared" si="5"/>
        <v>10737.902089079305</v>
      </c>
      <c r="AF22" s="11">
        <f>AF23+AF25+AF26+AF27+AF28</f>
        <v>9636.1928201747141</v>
      </c>
      <c r="AG22" s="11">
        <f t="shared" ref="AG22:AJ22" si="33">AG23+AG25+AG26+AG27+AG28</f>
        <v>2.0406222354546082</v>
      </c>
      <c r="AH22" s="11">
        <f t="shared" si="33"/>
        <v>42.853066944546782</v>
      </c>
      <c r="AI22" s="11">
        <f t="shared" si="33"/>
        <v>0.48284466078827742</v>
      </c>
      <c r="AJ22" s="11">
        <f t="shared" si="33"/>
        <v>149.681844844366</v>
      </c>
      <c r="AK22" s="12">
        <f t="shared" si="3"/>
        <v>9828.7277319636269</v>
      </c>
    </row>
    <row r="23" spans="2:37" ht="12" customHeight="1" x14ac:dyDescent="0.2">
      <c r="B23" s="8"/>
      <c r="C23" s="9"/>
      <c r="D23" s="9"/>
      <c r="E23" s="9" t="s">
        <v>69</v>
      </c>
      <c r="F23" s="9"/>
      <c r="G23" s="77" t="s">
        <v>130</v>
      </c>
      <c r="H23" s="118">
        <f>H24</f>
        <v>792.47610369174265</v>
      </c>
      <c r="I23" s="119">
        <f t="shared" ref="I23:M23" si="34">I24</f>
        <v>5.7305269515147764E-3</v>
      </c>
      <c r="J23" s="119">
        <f t="shared" si="34"/>
        <v>0.1203410659818103</v>
      </c>
      <c r="K23" s="119">
        <f t="shared" si="34"/>
        <v>2.2922107806059105E-2</v>
      </c>
      <c r="L23" s="119">
        <f t="shared" si="34"/>
        <v>7.105853419878323</v>
      </c>
      <c r="M23" s="12">
        <f t="shared" si="34"/>
        <v>799.70229817760287</v>
      </c>
      <c r="N23" s="11">
        <f>N24</f>
        <v>755.83089362810699</v>
      </c>
      <c r="O23" s="11">
        <f t="shared" ref="O23:Q23" si="35">O24</f>
        <v>5.0830586817983397E-3</v>
      </c>
      <c r="P23" s="11">
        <f t="shared" si="35"/>
        <v>0.10674423231776513</v>
      </c>
      <c r="Q23" s="11">
        <f t="shared" si="35"/>
        <v>2.03322347271933E-2</v>
      </c>
      <c r="R23" s="11">
        <f>R24</f>
        <v>6.3029927654299227</v>
      </c>
      <c r="S23" s="81">
        <f t="shared" si="10"/>
        <v>762.24063062585469</v>
      </c>
      <c r="T23" s="60">
        <f>T24</f>
        <v>662.50358474018253</v>
      </c>
      <c r="U23" s="11">
        <f t="shared" ref="U23:Y23" si="36">U24</f>
        <v>6.383264229241294E-3</v>
      </c>
      <c r="V23" s="11">
        <f t="shared" si="36"/>
        <v>0.13404854881406716</v>
      </c>
      <c r="W23" s="11">
        <f t="shared" si="36"/>
        <v>2.5533056916965176E-2</v>
      </c>
      <c r="X23" s="11">
        <f t="shared" si="36"/>
        <v>7.9152476442592041</v>
      </c>
      <c r="Y23" s="12">
        <f t="shared" si="36"/>
        <v>670.55288093325589</v>
      </c>
      <c r="Z23" s="104">
        <f>Z24</f>
        <v>366.60879640413805</v>
      </c>
      <c r="AA23" s="104">
        <f t="shared" ref="AA23:AC23" si="37">AA24</f>
        <v>2.2912507929106203E-3</v>
      </c>
      <c r="AB23" s="11">
        <f t="shared" ref="AB23" si="38">AA23*21</f>
        <v>4.8116266651123028E-2</v>
      </c>
      <c r="AC23" s="104">
        <f t="shared" si="37"/>
        <v>9.1650031716424812E-3</v>
      </c>
      <c r="AD23" s="11">
        <f t="shared" si="12"/>
        <v>2.841150983209169</v>
      </c>
      <c r="AE23" s="12">
        <f t="shared" si="5"/>
        <v>369.49806365399832</v>
      </c>
      <c r="AF23" s="11">
        <f>AF24</f>
        <v>477.44401392166816</v>
      </c>
      <c r="AG23" s="11">
        <f t="shared" ref="AG23:AJ23" si="39">AG24</f>
        <v>2.9839545209998783E-3</v>
      </c>
      <c r="AH23" s="11">
        <f t="shared" si="39"/>
        <v>6.2663044940997448E-2</v>
      </c>
      <c r="AI23" s="11">
        <f t="shared" si="39"/>
        <v>1.193581808399951E-2</v>
      </c>
      <c r="AJ23" s="11">
        <f t="shared" si="39"/>
        <v>3.700103606039848</v>
      </c>
      <c r="AK23" s="12">
        <f t="shared" si="3"/>
        <v>481.20678057264905</v>
      </c>
    </row>
    <row r="24" spans="2:37" ht="12" customHeight="1" x14ac:dyDescent="0.2">
      <c r="B24" s="8"/>
      <c r="C24" s="9"/>
      <c r="D24" s="9"/>
      <c r="E24" s="9"/>
      <c r="F24" s="9" t="s">
        <v>68</v>
      </c>
      <c r="G24" s="77" t="s">
        <v>67</v>
      </c>
      <c r="H24" s="118">
        <v>792.47610369174265</v>
      </c>
      <c r="I24" s="119">
        <v>5.7305269515147764E-3</v>
      </c>
      <c r="J24" s="13">
        <f t="shared" si="13"/>
        <v>0.1203410659818103</v>
      </c>
      <c r="K24" s="124">
        <v>2.2922107806059105E-2</v>
      </c>
      <c r="L24" s="13">
        <f t="shared" si="14"/>
        <v>7.105853419878323</v>
      </c>
      <c r="M24" s="12">
        <f t="shared" si="15"/>
        <v>799.70229817760287</v>
      </c>
      <c r="N24" s="125">
        <v>755.83089362810699</v>
      </c>
      <c r="O24" s="125">
        <f>5.08305868179834/1000</f>
        <v>5.0830586817983397E-3</v>
      </c>
      <c r="P24" s="11">
        <f>O24*21</f>
        <v>0.10674423231776513</v>
      </c>
      <c r="Q24" s="125">
        <f>20.3322347271933/1000</f>
        <v>2.03322347271933E-2</v>
      </c>
      <c r="R24" s="11">
        <f>Q24*310</f>
        <v>6.3029927654299227</v>
      </c>
      <c r="S24" s="81">
        <f t="shared" si="10"/>
        <v>762.24063062585469</v>
      </c>
      <c r="T24" s="131">
        <v>662.50358474018253</v>
      </c>
      <c r="U24" s="132">
        <v>6.383264229241294E-3</v>
      </c>
      <c r="V24" s="13">
        <f t="shared" si="23"/>
        <v>0.13404854881406716</v>
      </c>
      <c r="W24" s="132">
        <v>2.5533056916965176E-2</v>
      </c>
      <c r="X24" s="13">
        <f t="shared" si="19"/>
        <v>7.9152476442592041</v>
      </c>
      <c r="Y24" s="12">
        <f t="shared" si="20"/>
        <v>670.55288093325589</v>
      </c>
      <c r="Z24" s="104">
        <v>366.60879640413805</v>
      </c>
      <c r="AA24" s="11">
        <v>2.2912507929106203E-3</v>
      </c>
      <c r="AB24" s="11">
        <f t="shared" ref="AB24" si="40">AA24*21</f>
        <v>4.8116266651123028E-2</v>
      </c>
      <c r="AC24" s="11">
        <v>9.1650031716424812E-3</v>
      </c>
      <c r="AD24" s="11">
        <f t="shared" si="12"/>
        <v>2.841150983209169</v>
      </c>
      <c r="AE24" s="12">
        <f t="shared" si="5"/>
        <v>369.49806365399832</v>
      </c>
      <c r="AF24" s="11">
        <f>AK24*(Z24/AE24)</f>
        <v>477.44401392166816</v>
      </c>
      <c r="AG24" s="117">
        <f>AH24/21</f>
        <v>2.9839545209998783E-3</v>
      </c>
      <c r="AH24" s="117">
        <f>AK24*(AB24/AE24)</f>
        <v>6.2663044940997448E-2</v>
      </c>
      <c r="AI24" s="117">
        <f>AJ24/310</f>
        <v>1.193581808399951E-2</v>
      </c>
      <c r="AJ24" s="117">
        <f>AK24*(AD24/AE24)</f>
        <v>3.700103606039848</v>
      </c>
      <c r="AK24" s="79">
        <f>481.206780572649</f>
        <v>481.206780572649</v>
      </c>
    </row>
    <row r="25" spans="2:37" ht="12" customHeight="1" x14ac:dyDescent="0.2">
      <c r="B25" s="8"/>
      <c r="C25" s="9"/>
      <c r="D25" s="9"/>
      <c r="E25" s="9" t="s">
        <v>66</v>
      </c>
      <c r="F25" s="9"/>
      <c r="G25" s="77" t="s">
        <v>65</v>
      </c>
      <c r="H25" s="118">
        <v>15783.402301300699</v>
      </c>
      <c r="I25" s="119">
        <v>6.032385022073707</v>
      </c>
      <c r="J25" s="13">
        <f t="shared" si="13"/>
        <v>126.68008546354784</v>
      </c>
      <c r="K25" s="124">
        <v>0.73999412739439696</v>
      </c>
      <c r="L25" s="13">
        <f t="shared" si="14"/>
        <v>229.39817949226307</v>
      </c>
      <c r="M25" s="12">
        <f t="shared" si="15"/>
        <v>16139.48056625651</v>
      </c>
      <c r="N25" s="125">
        <v>14639.456335406316</v>
      </c>
      <c r="O25" s="125">
        <v>5.1025581312691255</v>
      </c>
      <c r="P25" s="11">
        <f>O25*21</f>
        <v>107.15372075665164</v>
      </c>
      <c r="Q25" s="125">
        <v>0.69567683276964309</v>
      </c>
      <c r="R25" s="11">
        <f t="shared" ref="R25:R28" si="41">Q25*310</f>
        <v>215.65981815858936</v>
      </c>
      <c r="S25" s="81">
        <f t="shared" si="10"/>
        <v>14962.269874321557</v>
      </c>
      <c r="T25" s="131">
        <v>13332.380534492766</v>
      </c>
      <c r="U25" s="132">
        <v>4.0533969380841537</v>
      </c>
      <c r="V25" s="13">
        <f t="shared" si="23"/>
        <v>85.121335699767229</v>
      </c>
      <c r="W25" s="132">
        <v>0.64223496319040307</v>
      </c>
      <c r="X25" s="13">
        <f t="shared" si="19"/>
        <v>199.09283858902495</v>
      </c>
      <c r="Y25" s="12">
        <f t="shared" si="20"/>
        <v>13616.594708781558</v>
      </c>
      <c r="Z25" s="104">
        <v>9865.3448610195901</v>
      </c>
      <c r="AA25" s="11">
        <v>2.2800827855711701</v>
      </c>
      <c r="AB25" s="11">
        <f t="shared" ref="AB25" si="42">AA25*21</f>
        <v>47.881738496994572</v>
      </c>
      <c r="AC25" s="11">
        <v>0.47769835862518478</v>
      </c>
      <c r="AD25" s="11">
        <f t="shared" si="12"/>
        <v>148.08649117380727</v>
      </c>
      <c r="AE25" s="12">
        <f t="shared" si="5"/>
        <v>10061.313090690393</v>
      </c>
      <c r="AF25" s="11">
        <v>8926.1133005824431</v>
      </c>
      <c r="AG25" s="11">
        <v>2.018179240350559</v>
      </c>
      <c r="AH25" s="11">
        <f t="shared" si="17"/>
        <v>42.381764047361742</v>
      </c>
      <c r="AI25" s="11">
        <v>0.44114848023247044</v>
      </c>
      <c r="AJ25" s="11">
        <f t="shared" si="18"/>
        <v>136.75602887206583</v>
      </c>
      <c r="AK25" s="12">
        <f t="shared" si="3"/>
        <v>9105.2510935018709</v>
      </c>
    </row>
    <row r="26" spans="2:37" ht="12" customHeight="1" x14ac:dyDescent="0.2">
      <c r="B26" s="8"/>
      <c r="C26" s="9"/>
      <c r="D26" s="9"/>
      <c r="E26" s="9" t="s">
        <v>64</v>
      </c>
      <c r="F26" s="9"/>
      <c r="G26" s="77" t="s">
        <v>99</v>
      </c>
      <c r="H26" s="118">
        <v>68.389658936028397</v>
      </c>
      <c r="I26" s="119">
        <v>3.8301900753646141E-3</v>
      </c>
      <c r="J26" s="13">
        <f t="shared" si="13"/>
        <v>8.0433991582656891E-2</v>
      </c>
      <c r="K26" s="124">
        <v>2.6396008712151319E-2</v>
      </c>
      <c r="L26" s="13">
        <f t="shared" si="14"/>
        <v>8.1827627007669097</v>
      </c>
      <c r="M26" s="12">
        <f t="shared" si="15"/>
        <v>76.652855628377964</v>
      </c>
      <c r="N26" s="125">
        <v>83.022191692994369</v>
      </c>
      <c r="O26" s="128">
        <f>4.64969089778579/1000</f>
        <v>4.6496908977857899E-3</v>
      </c>
      <c r="P26" s="11">
        <f t="shared" ref="P26:P28" si="43">O26*21</f>
        <v>9.7643508853501593E-2</v>
      </c>
      <c r="Q26" s="125">
        <f>32.0436529341382/1000</f>
        <v>3.2043652934138203E-2</v>
      </c>
      <c r="R26" s="11">
        <f t="shared" si="41"/>
        <v>9.9335324095828437</v>
      </c>
      <c r="S26" s="81">
        <f t="shared" si="10"/>
        <v>93.053367611430716</v>
      </c>
      <c r="T26" s="131">
        <v>90.121101209818789</v>
      </c>
      <c r="U26" s="132">
        <v>5.0472681514270971E-3</v>
      </c>
      <c r="V26" s="13">
        <f t="shared" si="23"/>
        <v>0.10599263117996904</v>
      </c>
      <c r="W26" s="132">
        <v>3.4783582923087947E-2</v>
      </c>
      <c r="X26" s="13">
        <f t="shared" si="19"/>
        <v>10.782910706157264</v>
      </c>
      <c r="Y26" s="12">
        <f t="shared" si="20"/>
        <v>101.01000454715603</v>
      </c>
      <c r="Z26" s="104">
        <v>66.995677131885699</v>
      </c>
      <c r="AA26" s="11">
        <v>3.7521195694645818E-3</v>
      </c>
      <c r="AB26" s="11">
        <f t="shared" ref="AB26" si="44">AA26*21</f>
        <v>7.8794510958756211E-2</v>
      </c>
      <c r="AC26" s="11">
        <v>2.5857980647394467E-2</v>
      </c>
      <c r="AD26" s="11">
        <f t="shared" si="12"/>
        <v>8.0159740006922853</v>
      </c>
      <c r="AE26" s="12">
        <f t="shared" si="5"/>
        <v>75.090445643536739</v>
      </c>
      <c r="AF26" s="11">
        <f>AK26*(Z26/AE26)</f>
        <v>65.400153825764448</v>
      </c>
      <c r="AG26" s="117">
        <f>AH26/21</f>
        <v>3.6627616515104229E-3</v>
      </c>
      <c r="AH26" s="117">
        <f>AK26*(AB26/AE26)</f>
        <v>7.6917994681718879E-2</v>
      </c>
      <c r="AI26" s="117">
        <f>AJ26/310</f>
        <v>2.5242164634505567E-2</v>
      </c>
      <c r="AJ26" s="117">
        <f>AK26*(AD26/AE26)</f>
        <v>7.825071036696726</v>
      </c>
      <c r="AK26" s="12">
        <v>73.302142857142897</v>
      </c>
    </row>
    <row r="27" spans="2:37" ht="12" customHeight="1" x14ac:dyDescent="0.2">
      <c r="B27" s="8"/>
      <c r="C27" s="9"/>
      <c r="D27" s="9"/>
      <c r="E27" s="9" t="s">
        <v>63</v>
      </c>
      <c r="F27" s="9"/>
      <c r="G27" s="77" t="s">
        <v>100</v>
      </c>
      <c r="H27" s="118">
        <v>243.799086353571</v>
      </c>
      <c r="I27" s="119">
        <v>2.3762931379230651E-2</v>
      </c>
      <c r="J27" s="13">
        <f t="shared" si="13"/>
        <v>0.4990215589638437</v>
      </c>
      <c r="K27" s="124">
        <v>6.7894089654944719E-3</v>
      </c>
      <c r="L27" s="13">
        <f t="shared" si="14"/>
        <v>2.1047167793032862</v>
      </c>
      <c r="M27" s="12">
        <f t="shared" si="15"/>
        <v>246.40282469183813</v>
      </c>
      <c r="N27" s="125">
        <v>457.97225270006999</v>
      </c>
      <c r="O27" s="125">
        <v>4.3197611481910696E-2</v>
      </c>
      <c r="P27" s="11">
        <f t="shared" si="43"/>
        <v>0.90714984112012464</v>
      </c>
      <c r="Q27" s="125">
        <v>1.23421747091173E-2</v>
      </c>
      <c r="R27" s="11">
        <f t="shared" si="41"/>
        <v>3.826074159826363</v>
      </c>
      <c r="S27" s="81">
        <f t="shared" si="10"/>
        <v>462.70547670101649</v>
      </c>
      <c r="T27" s="131">
        <v>444.84583602346527</v>
      </c>
      <c r="U27" s="132">
        <v>4.1787071198756479E-2</v>
      </c>
      <c r="V27" s="13">
        <f t="shared" si="23"/>
        <v>0.87752849517388609</v>
      </c>
      <c r="W27" s="132">
        <v>1.1939163199644706E-2</v>
      </c>
      <c r="X27" s="13">
        <f t="shared" si="19"/>
        <v>3.701140591889859</v>
      </c>
      <c r="Y27" s="12">
        <f t="shared" si="20"/>
        <v>449.42450511052897</v>
      </c>
      <c r="Z27" s="104">
        <v>229.48412229937665</v>
      </c>
      <c r="AA27" s="11">
        <v>2.1678668569316505E-2</v>
      </c>
      <c r="AB27" s="11">
        <f t="shared" ref="AB27" si="45">AA27*21</f>
        <v>0.45525203995564661</v>
      </c>
      <c r="AC27" s="11">
        <v>6.1939053055190011E-3</v>
      </c>
      <c r="AD27" s="11">
        <f t="shared" si="12"/>
        <v>1.9201106447108904</v>
      </c>
      <c r="AE27" s="12">
        <f t="shared" si="5"/>
        <v>231.85948498404318</v>
      </c>
      <c r="AF27" s="11">
        <f>AK27*(Z27/AE27)</f>
        <v>167.05968488633346</v>
      </c>
      <c r="AG27" s="117">
        <f>AH27/21</f>
        <v>1.5781621419631933E-2</v>
      </c>
      <c r="AH27" s="117">
        <f>AK27*(AB27/AE27)</f>
        <v>0.33141404981227057</v>
      </c>
      <c r="AI27" s="117">
        <f>AJ27/310</f>
        <v>4.5090346913234103E-3</v>
      </c>
      <c r="AJ27" s="117">
        <f>AK27*(AD27/AE27)</f>
        <v>1.3978007543102571</v>
      </c>
      <c r="AK27" s="12">
        <v>168.78889969045599</v>
      </c>
    </row>
    <row r="28" spans="2:37" ht="12" customHeight="1" x14ac:dyDescent="0.2">
      <c r="B28" s="8"/>
      <c r="C28" s="9"/>
      <c r="D28" s="9"/>
      <c r="E28" s="9" t="s">
        <v>62</v>
      </c>
      <c r="F28" s="9"/>
      <c r="G28" s="77" t="s">
        <v>61</v>
      </c>
      <c r="H28" s="118">
        <v>35.618315125999565</v>
      </c>
      <c r="I28" s="119">
        <v>1.6162429060275413E-3</v>
      </c>
      <c r="J28" s="13">
        <f t="shared" si="13"/>
        <v>3.3941101026578366E-2</v>
      </c>
      <c r="K28" s="124">
        <v>6.118326914879835E-4</v>
      </c>
      <c r="L28" s="13">
        <f t="shared" si="14"/>
        <v>0.18966813436127489</v>
      </c>
      <c r="M28" s="12">
        <f t="shared" si="15"/>
        <v>35.84192436138742</v>
      </c>
      <c r="N28" s="125">
        <v>8.4800678300252166</v>
      </c>
      <c r="O28" s="125">
        <v>3.511426992208747E-4</v>
      </c>
      <c r="P28" s="11">
        <f t="shared" si="43"/>
        <v>7.3739966836383689E-3</v>
      </c>
      <c r="Q28" s="125">
        <v>7.5614164753000222E-5</v>
      </c>
      <c r="R28" s="11">
        <f t="shared" si="41"/>
        <v>2.3440391073430069E-2</v>
      </c>
      <c r="S28" s="81">
        <f t="shared" si="10"/>
        <v>8.5108822177822852</v>
      </c>
      <c r="T28" s="133">
        <v>0.1511842940600992</v>
      </c>
      <c r="U28" s="134">
        <v>1.4568022097233457E-5</v>
      </c>
      <c r="V28" s="13">
        <f t="shared" si="23"/>
        <v>3.0592846404190258E-4</v>
      </c>
      <c r="W28" s="134">
        <v>7.8563094408543496E-6</v>
      </c>
      <c r="X28" s="13">
        <f t="shared" si="19"/>
        <v>2.4354559266648486E-3</v>
      </c>
      <c r="Y28" s="12">
        <f t="shared" si="20"/>
        <v>0.15392567845080596</v>
      </c>
      <c r="Z28" s="104">
        <v>0.13844912132905582</v>
      </c>
      <c r="AA28" s="11">
        <v>1.6076626296982934E-5</v>
      </c>
      <c r="AB28" s="11">
        <f t="shared" ref="AB28" si="46">AA28*21</f>
        <v>3.3760915223664159E-4</v>
      </c>
      <c r="AC28" s="11">
        <v>7.1528285674762582E-6</v>
      </c>
      <c r="AD28" s="11">
        <f t="shared" si="12"/>
        <v>2.2173768559176402E-3</v>
      </c>
      <c r="AE28" s="12">
        <f t="shared" si="5"/>
        <v>0.14100410733721008</v>
      </c>
      <c r="AF28" s="11">
        <v>0.17566695850391084</v>
      </c>
      <c r="AG28" s="11">
        <f>0.0146575119069248/1000</f>
        <v>1.46575119069248E-5</v>
      </c>
      <c r="AH28" s="11">
        <f t="shared" si="17"/>
        <v>3.0780775004542079E-4</v>
      </c>
      <c r="AI28" s="11">
        <f>0.00916314597849683/1000</f>
        <v>9.1631459784968298E-6</v>
      </c>
      <c r="AJ28" s="11">
        <f t="shared" si="18"/>
        <v>2.8405752533340171E-3</v>
      </c>
      <c r="AK28" s="12">
        <f t="shared" si="3"/>
        <v>0.17881534150729025</v>
      </c>
    </row>
    <row r="29" spans="2:37" ht="12" customHeight="1" x14ac:dyDescent="0.2">
      <c r="B29" s="8"/>
      <c r="C29" s="9"/>
      <c r="D29" s="9" t="s">
        <v>60</v>
      </c>
      <c r="E29" s="9"/>
      <c r="F29" s="9"/>
      <c r="G29" s="77" t="s">
        <v>59</v>
      </c>
      <c r="H29" s="118">
        <f>SUM(H30:H32)</f>
        <v>4697.4986300270812</v>
      </c>
      <c r="I29" s="119">
        <f t="shared" ref="I29:M29" si="47">SUM(I30:I32)</f>
        <v>1.4066459694403246</v>
      </c>
      <c r="J29" s="119">
        <f t="shared" si="47"/>
        <v>29.539565358246811</v>
      </c>
      <c r="K29" s="119">
        <f t="shared" si="47"/>
        <v>2.1458270137993389E-2</v>
      </c>
      <c r="L29" s="119">
        <f t="shared" si="47"/>
        <v>6.6520637427779512</v>
      </c>
      <c r="M29" s="12">
        <f t="shared" si="47"/>
        <v>4733.6902591281059</v>
      </c>
      <c r="N29" s="11">
        <f>N30+N31+N32</f>
        <v>3742.1822655528435</v>
      </c>
      <c r="O29" s="11">
        <f t="shared" ref="O29:R29" si="48">O30+O31+O32</f>
        <v>0.3892372812422199</v>
      </c>
      <c r="P29" s="11">
        <f t="shared" si="48"/>
        <v>8.1739829060866178</v>
      </c>
      <c r="Q29" s="11">
        <f t="shared" si="48"/>
        <v>1.5381956874533191E-2</v>
      </c>
      <c r="R29" s="11">
        <f t="shared" si="48"/>
        <v>4.7684066311052895</v>
      </c>
      <c r="S29" s="81">
        <f t="shared" si="10"/>
        <v>3755.1246550900355</v>
      </c>
      <c r="T29" s="60">
        <f>T30+T31+T32</f>
        <v>3636.88</v>
      </c>
      <c r="U29" s="11">
        <f t="shared" ref="U29:Y29" si="49">U30+U31+U32</f>
        <v>0.59320612000000006</v>
      </c>
      <c r="V29" s="11">
        <f t="shared" si="49"/>
        <v>12.457328520000001</v>
      </c>
      <c r="W29" s="11">
        <f t="shared" si="49"/>
        <v>1.8381967200000002E-2</v>
      </c>
      <c r="X29" s="11">
        <f t="shared" si="49"/>
        <v>5.6984098319999994</v>
      </c>
      <c r="Y29" s="12">
        <f t="shared" si="49"/>
        <v>3655.0357383520004</v>
      </c>
      <c r="Z29" s="104">
        <f>Z30+Z31+Z32</f>
        <v>3398.9528702584576</v>
      </c>
      <c r="AA29" s="104">
        <f t="shared" ref="AA29:AD29" si="50">AA30+AA31+AA32</f>
        <v>0.31007251815614562</v>
      </c>
      <c r="AB29" s="104">
        <f t="shared" si="50"/>
        <v>6.511522881279058</v>
      </c>
      <c r="AC29" s="104">
        <f t="shared" si="50"/>
        <v>1.9403139066051588E-2</v>
      </c>
      <c r="AD29" s="104">
        <f t="shared" si="50"/>
        <v>6.0149731104759923</v>
      </c>
      <c r="AE29" s="12">
        <f t="shared" si="5"/>
        <v>3411.4793662502129</v>
      </c>
      <c r="AF29" s="13">
        <f>AF30+AF31+AF32</f>
        <v>5011.5458458751946</v>
      </c>
      <c r="AG29" s="13">
        <f t="shared" ref="AG29:AJ29" si="51">AG30+AG31+AG32</f>
        <v>0.53897581565484121</v>
      </c>
      <c r="AH29" s="13">
        <f t="shared" si="51"/>
        <v>11.318492128751664</v>
      </c>
      <c r="AI29" s="13">
        <f t="shared" si="51"/>
        <v>3.5043839709393509E-2</v>
      </c>
      <c r="AJ29" s="13">
        <f t="shared" si="51"/>
        <v>10.863590309911988</v>
      </c>
      <c r="AK29" s="101">
        <f t="shared" si="3"/>
        <v>5033.7279283138587</v>
      </c>
    </row>
    <row r="30" spans="2:37" ht="12" customHeight="1" x14ac:dyDescent="0.2">
      <c r="B30" s="8"/>
      <c r="C30" s="9"/>
      <c r="D30" s="9"/>
      <c r="E30" s="9" t="s">
        <v>58</v>
      </c>
      <c r="F30" s="9"/>
      <c r="G30" s="77" t="s">
        <v>141</v>
      </c>
      <c r="H30" s="118">
        <v>906.39255455187106</v>
      </c>
      <c r="I30" s="119">
        <v>0.12758137577623299</v>
      </c>
      <c r="J30" s="13">
        <f t="shared" si="13"/>
        <v>2.6792088913008927</v>
      </c>
      <c r="K30" s="124">
        <v>7.6325213466781902E-3</v>
      </c>
      <c r="L30" s="13">
        <f t="shared" si="14"/>
        <v>2.3660816174702388</v>
      </c>
      <c r="M30" s="12">
        <f t="shared" si="15"/>
        <v>911.43784506064219</v>
      </c>
      <c r="N30" s="125">
        <v>814.99055239999996</v>
      </c>
      <c r="O30" s="125">
        <v>0.11460568000000002</v>
      </c>
      <c r="P30" s="11">
        <f>O30*21</f>
        <v>2.4067192800000003</v>
      </c>
      <c r="Q30" s="125">
        <f>0.001*6.8539608</f>
        <v>6.8539608000000004E-3</v>
      </c>
      <c r="R30" s="11">
        <f>Q30*310</f>
        <v>2.124727848</v>
      </c>
      <c r="S30" s="81">
        <f t="shared" si="10"/>
        <v>819.52199952799992</v>
      </c>
      <c r="T30" s="126">
        <v>711.77</v>
      </c>
      <c r="U30" s="13">
        <f>100.43612/1000</f>
        <v>0.10043612</v>
      </c>
      <c r="V30" s="13">
        <f t="shared" si="23"/>
        <v>2.1091585200000003</v>
      </c>
      <c r="W30" s="13">
        <f>6.0119672/1000</f>
        <v>6.0119672000000001E-3</v>
      </c>
      <c r="X30" s="13">
        <f t="shared" si="19"/>
        <v>1.8637098320000001</v>
      </c>
      <c r="Y30" s="12">
        <f t="shared" si="20"/>
        <v>715.74286835200007</v>
      </c>
      <c r="Z30" s="104">
        <v>622.21119999999996</v>
      </c>
      <c r="AA30" s="11">
        <v>8.7013000000000007E-2</v>
      </c>
      <c r="AB30" s="11">
        <f t="shared" ref="AB30" si="52">AA30*21</f>
        <v>1.8272730000000001</v>
      </c>
      <c r="AC30" s="11">
        <v>5.2563000000000002E-3</v>
      </c>
      <c r="AD30" s="11">
        <f t="shared" si="12"/>
        <v>1.629453</v>
      </c>
      <c r="AE30" s="12">
        <f t="shared" si="5"/>
        <v>625.66792599999997</v>
      </c>
      <c r="AF30" s="13">
        <v>734.03739999999993</v>
      </c>
      <c r="AG30" s="13">
        <f>101.637/1000</f>
        <v>0.10163700000000001</v>
      </c>
      <c r="AH30" s="13">
        <f t="shared" si="17"/>
        <v>2.1343770000000002</v>
      </c>
      <c r="AI30" s="13">
        <f>6.1847/1000</f>
        <v>6.1847000000000004E-3</v>
      </c>
      <c r="AJ30" s="13">
        <f t="shared" si="18"/>
        <v>1.9172570000000002</v>
      </c>
      <c r="AK30" s="101">
        <f t="shared" si="3"/>
        <v>738.08903399999986</v>
      </c>
    </row>
    <row r="31" spans="2:37" ht="12" customHeight="1" x14ac:dyDescent="0.2">
      <c r="B31" s="8"/>
      <c r="C31" s="9"/>
      <c r="D31" s="9"/>
      <c r="E31" s="9" t="s">
        <v>57</v>
      </c>
      <c r="F31" s="9"/>
      <c r="G31" s="77" t="s">
        <v>140</v>
      </c>
      <c r="H31" s="118">
        <v>2933.0952087550399</v>
      </c>
      <c r="I31" s="119">
        <v>0.24205299313141501</v>
      </c>
      <c r="J31" s="13">
        <f t="shared" si="13"/>
        <v>5.0831128557597154</v>
      </c>
      <c r="K31" s="124">
        <v>5.0323971050870303E-3</v>
      </c>
      <c r="L31" s="13">
        <f t="shared" si="14"/>
        <v>1.5600431025769794</v>
      </c>
      <c r="M31" s="12">
        <f t="shared" si="15"/>
        <v>2939.7383647133765</v>
      </c>
      <c r="N31" s="125">
        <v>2364.4832064323336</v>
      </c>
      <c r="O31" s="125">
        <v>0.1943812</v>
      </c>
      <c r="P31" s="11">
        <f>O31*21</f>
        <v>4.0820052000000002</v>
      </c>
      <c r="Q31" s="125">
        <f>0.001*4.064092</f>
        <v>4.0640920000000001E-3</v>
      </c>
      <c r="R31" s="11">
        <f>Q31*310</f>
        <v>1.2598685199999999</v>
      </c>
      <c r="S31" s="81">
        <f t="shared" si="10"/>
        <v>2369.8250801523336</v>
      </c>
      <c r="T31" s="126">
        <v>2253.1400000000003</v>
      </c>
      <c r="U31" s="13">
        <f>187.2/1000</f>
        <v>0.18719999999999998</v>
      </c>
      <c r="V31" s="13">
        <f t="shared" si="23"/>
        <v>3.9311999999999996</v>
      </c>
      <c r="W31" s="13">
        <f>6.6/1000</f>
        <v>6.6E-3</v>
      </c>
      <c r="X31" s="13">
        <f t="shared" si="19"/>
        <v>2.0459999999999998</v>
      </c>
      <c r="Y31" s="12">
        <f t="shared" si="20"/>
        <v>2259.1172000000001</v>
      </c>
      <c r="Z31" s="104">
        <v>1643.3479128889182</v>
      </c>
      <c r="AA31" s="11">
        <v>0.16497700000000001</v>
      </c>
      <c r="AB31" s="11">
        <f t="shared" ref="AB31" si="53">AA31*21</f>
        <v>3.4645170000000003</v>
      </c>
      <c r="AC31" s="11">
        <v>5.4911999999999999E-3</v>
      </c>
      <c r="AD31" s="11">
        <f t="shared" si="12"/>
        <v>1.702272</v>
      </c>
      <c r="AE31" s="12">
        <f t="shared" si="5"/>
        <v>1648.5147018889181</v>
      </c>
      <c r="AF31" s="13">
        <v>2832.5862999999999</v>
      </c>
      <c r="AG31" s="13">
        <f>345.463/1000</f>
        <v>0.34546300000000002</v>
      </c>
      <c r="AH31" s="13">
        <f t="shared" si="17"/>
        <v>7.2547230000000003</v>
      </c>
      <c r="AI31" s="13">
        <f>17.5275/1000</f>
        <v>1.7527500000000001E-2</v>
      </c>
      <c r="AJ31" s="13">
        <f t="shared" si="18"/>
        <v>5.4335250000000004</v>
      </c>
      <c r="AK31" s="101">
        <f t="shared" si="3"/>
        <v>2845.2745479999999</v>
      </c>
    </row>
    <row r="32" spans="2:37" ht="15" customHeight="1" x14ac:dyDescent="0.2">
      <c r="B32" s="8"/>
      <c r="C32" s="9"/>
      <c r="D32" s="9"/>
      <c r="E32" s="9" t="s">
        <v>56</v>
      </c>
      <c r="F32" s="9"/>
      <c r="G32" s="77" t="s">
        <v>142</v>
      </c>
      <c r="H32" s="118">
        <f>SUM(H33:H34)</f>
        <v>858.01086672017004</v>
      </c>
      <c r="I32" s="119">
        <f t="shared" ref="I32:M32" si="54">SUM(I33:I34)</f>
        <v>1.0370116005326766</v>
      </c>
      <c r="J32" s="119">
        <f t="shared" si="54"/>
        <v>21.777243611186204</v>
      </c>
      <c r="K32" s="119">
        <f t="shared" si="54"/>
        <v>8.7933516862281694E-3</v>
      </c>
      <c r="L32" s="119">
        <f t="shared" si="54"/>
        <v>2.7259390227307327</v>
      </c>
      <c r="M32" s="12">
        <f t="shared" si="54"/>
        <v>882.51404935408686</v>
      </c>
      <c r="N32" s="125">
        <f>N33+N34</f>
        <v>562.70850672050983</v>
      </c>
      <c r="O32" s="125">
        <f t="shared" ref="O32:R32" si="55">O33+O34</f>
        <v>8.0250401242219896E-2</v>
      </c>
      <c r="P32" s="125">
        <f t="shared" si="55"/>
        <v>1.6852584260866177</v>
      </c>
      <c r="Q32" s="125">
        <f t="shared" si="55"/>
        <v>4.4639040745331898E-3</v>
      </c>
      <c r="R32" s="125">
        <f t="shared" si="55"/>
        <v>1.3838102631052891</v>
      </c>
      <c r="S32" s="81">
        <f t="shared" si="10"/>
        <v>565.77757540970174</v>
      </c>
      <c r="T32" s="60">
        <f>T33+T34</f>
        <v>671.97</v>
      </c>
      <c r="U32" s="11">
        <f t="shared" ref="U32:Y32" si="56">U33+U34</f>
        <v>0.30557000000000001</v>
      </c>
      <c r="V32" s="11">
        <f t="shared" si="56"/>
        <v>6.416970000000001</v>
      </c>
      <c r="W32" s="11">
        <f t="shared" si="56"/>
        <v>5.77E-3</v>
      </c>
      <c r="X32" s="11">
        <f t="shared" si="56"/>
        <v>1.7887</v>
      </c>
      <c r="Y32" s="12">
        <f t="shared" si="56"/>
        <v>680.17566999999997</v>
      </c>
      <c r="Z32" s="104">
        <f>Z33+Z34</f>
        <v>1133.3937573695396</v>
      </c>
      <c r="AA32" s="104">
        <f t="shared" ref="AA32:AD32" si="57">AA33+AA34</f>
        <v>5.8082518156145561E-2</v>
      </c>
      <c r="AB32" s="104">
        <f t="shared" si="57"/>
        <v>1.2197328812790569</v>
      </c>
      <c r="AC32" s="104">
        <f t="shared" si="57"/>
        <v>8.6556390660515875E-3</v>
      </c>
      <c r="AD32" s="104">
        <f t="shared" si="57"/>
        <v>2.6832481104759918</v>
      </c>
      <c r="AE32" s="12">
        <f t="shared" si="5"/>
        <v>1137.2967383612945</v>
      </c>
      <c r="AF32" s="13">
        <f>AF33+AF34</f>
        <v>1444.9221458751945</v>
      </c>
      <c r="AG32" s="13">
        <f t="shared" ref="AG32:AJ32" si="58">AG33+AG34</f>
        <v>9.1875815654841098E-2</v>
      </c>
      <c r="AH32" s="13">
        <f t="shared" si="58"/>
        <v>1.9293921287516629</v>
      </c>
      <c r="AI32" s="13">
        <f t="shared" si="58"/>
        <v>1.133163970939351E-2</v>
      </c>
      <c r="AJ32" s="13">
        <f t="shared" si="58"/>
        <v>3.5128083099119882</v>
      </c>
      <c r="AK32" s="101">
        <f t="shared" si="3"/>
        <v>1450.3643463138583</v>
      </c>
    </row>
    <row r="33" spans="2:37" ht="12" customHeight="1" x14ac:dyDescent="0.2">
      <c r="B33" s="8"/>
      <c r="C33" s="9"/>
      <c r="D33" s="9"/>
      <c r="E33" s="9"/>
      <c r="F33" s="9" t="s">
        <v>101</v>
      </c>
      <c r="G33" s="77" t="s">
        <v>144</v>
      </c>
      <c r="H33" s="118">
        <v>444.315880013254</v>
      </c>
      <c r="I33" s="119">
        <v>0.98471747851727109</v>
      </c>
      <c r="J33" s="13">
        <f t="shared" si="13"/>
        <v>20.679067048862692</v>
      </c>
      <c r="K33" s="124">
        <v>5.8867631495577106E-3</v>
      </c>
      <c r="L33" s="13">
        <f t="shared" si="14"/>
        <v>1.8248965763628904</v>
      </c>
      <c r="M33" s="12">
        <f t="shared" si="15"/>
        <v>466.8198436384796</v>
      </c>
      <c r="N33" s="129">
        <v>126.63339189748085</v>
      </c>
      <c r="O33" s="129">
        <v>3.8351446301954195E-2</v>
      </c>
      <c r="P33" s="11">
        <f>O33*21</f>
        <v>0.8053803723410381</v>
      </c>
      <c r="Q33" s="129">
        <f>0.001*1.09268677811725</f>
        <v>1.0926867781172499E-3</v>
      </c>
      <c r="R33" s="11">
        <f>Q33*310</f>
        <v>0.33873290121634747</v>
      </c>
      <c r="S33" s="81">
        <f t="shared" si="10"/>
        <v>127.77750517103823</v>
      </c>
      <c r="T33" s="130">
        <v>177.45</v>
      </c>
      <c r="U33" s="13">
        <f>241.36/1000</f>
        <v>0.24136000000000002</v>
      </c>
      <c r="V33" s="13">
        <f t="shared" si="23"/>
        <v>5.0685600000000006</v>
      </c>
      <c r="W33" s="13">
        <f>1.99/1000</f>
        <v>1.99E-3</v>
      </c>
      <c r="X33" s="13">
        <f t="shared" si="19"/>
        <v>0.6169</v>
      </c>
      <c r="Y33" s="12">
        <f t="shared" si="20"/>
        <v>183.13545999999997</v>
      </c>
      <c r="Z33" s="104">
        <v>122.80199372840613</v>
      </c>
      <c r="AA33" s="11">
        <v>7.4541546469820601E-3</v>
      </c>
      <c r="AB33" s="11">
        <f t="shared" ref="AB33" si="59">AA33*21</f>
        <v>0.15653724758662327</v>
      </c>
      <c r="AC33" s="11">
        <v>9.940172555017771E-4</v>
      </c>
      <c r="AD33" s="11">
        <f t="shared" si="12"/>
        <v>0.30814534920555092</v>
      </c>
      <c r="AE33" s="12">
        <f t="shared" si="5"/>
        <v>123.2666763251983</v>
      </c>
      <c r="AF33" s="13">
        <v>327.66087049041931</v>
      </c>
      <c r="AG33" s="13">
        <f>21.2782197864504/1000</f>
        <v>2.1278219786450399E-2</v>
      </c>
      <c r="AH33" s="13">
        <f>AG33*21</f>
        <v>0.4468426155154584</v>
      </c>
      <c r="AI33" s="13">
        <f>2.61114395729007/1000</f>
        <v>2.6111439572900699E-3</v>
      </c>
      <c r="AJ33" s="13">
        <f>AI33*310</f>
        <v>0.80945462675992164</v>
      </c>
      <c r="AK33" s="101">
        <f t="shared" si="3"/>
        <v>328.91716773269468</v>
      </c>
    </row>
    <row r="34" spans="2:37" ht="12" customHeight="1" x14ac:dyDescent="0.2">
      <c r="B34" s="8"/>
      <c r="C34" s="9"/>
      <c r="D34" s="9"/>
      <c r="E34" s="9"/>
      <c r="F34" s="9" t="s">
        <v>102</v>
      </c>
      <c r="G34" s="77" t="s">
        <v>139</v>
      </c>
      <c r="H34" s="118">
        <v>413.69498670691598</v>
      </c>
      <c r="I34" s="119">
        <v>5.2294122015405398E-2</v>
      </c>
      <c r="J34" s="13">
        <f t="shared" si="13"/>
        <v>1.0981765623235133</v>
      </c>
      <c r="K34" s="124">
        <v>2.9065885366704597E-3</v>
      </c>
      <c r="L34" s="13">
        <f t="shared" si="14"/>
        <v>0.90104244636784248</v>
      </c>
      <c r="M34" s="12">
        <f t="shared" si="15"/>
        <v>415.69420571560732</v>
      </c>
      <c r="N34" s="125">
        <v>436.07511482302903</v>
      </c>
      <c r="O34" s="125">
        <f>0.001*41.8989549402657</f>
        <v>4.1898954940265701E-2</v>
      </c>
      <c r="P34" s="11">
        <f>O34*21</f>
        <v>0.8798780537455797</v>
      </c>
      <c r="Q34" s="125">
        <f>0.001*3.37121729641594</f>
        <v>3.3712172964159401E-3</v>
      </c>
      <c r="R34" s="11">
        <f>Q34*310</f>
        <v>1.0450773618889415</v>
      </c>
      <c r="S34" s="81">
        <f t="shared" si="10"/>
        <v>438.00007023866357</v>
      </c>
      <c r="T34" s="131">
        <v>494.52</v>
      </c>
      <c r="U34" s="13">
        <f>64.21/1000</f>
        <v>6.4209999999999989E-2</v>
      </c>
      <c r="V34" s="13">
        <f t="shared" si="23"/>
        <v>1.3484099999999999</v>
      </c>
      <c r="W34" s="13">
        <f>3.78/1000</f>
        <v>3.7799999999999999E-3</v>
      </c>
      <c r="X34" s="13">
        <f t="shared" si="19"/>
        <v>1.1718</v>
      </c>
      <c r="Y34" s="12">
        <f t="shared" si="20"/>
        <v>497.04021</v>
      </c>
      <c r="Z34" s="104">
        <v>1010.5917636411335</v>
      </c>
      <c r="AA34" s="11">
        <v>5.0628363509163499E-2</v>
      </c>
      <c r="AB34" s="11">
        <f t="shared" ref="AB34" si="60">AA34*21</f>
        <v>1.0631956336924335</v>
      </c>
      <c r="AC34" s="11">
        <v>7.66162181054981E-3</v>
      </c>
      <c r="AD34" s="11">
        <f t="shared" si="12"/>
        <v>2.375102761270441</v>
      </c>
      <c r="AE34" s="12">
        <f t="shared" si="5"/>
        <v>1014.0300620360964</v>
      </c>
      <c r="AF34" s="13">
        <v>1117.2612753847752</v>
      </c>
      <c r="AG34" s="13">
        <f>70.5975958683907/1000</f>
        <v>7.0597595868390692E-2</v>
      </c>
      <c r="AH34" s="13">
        <f>AG34*21</f>
        <v>1.4825495132362045</v>
      </c>
      <c r="AI34" s="13">
        <f>8.72049575210344/1000</f>
        <v>8.7204957521034403E-3</v>
      </c>
      <c r="AJ34" s="13">
        <f>AI34*310</f>
        <v>2.7033536831520664</v>
      </c>
      <c r="AK34" s="101">
        <f t="shared" si="3"/>
        <v>1121.4471785811634</v>
      </c>
    </row>
    <row r="35" spans="2:37" ht="12" customHeight="1" x14ac:dyDescent="0.2">
      <c r="B35" s="8"/>
      <c r="C35" s="9"/>
      <c r="D35" s="9" t="s">
        <v>103</v>
      </c>
      <c r="E35" s="9"/>
      <c r="F35" s="9"/>
      <c r="G35" s="77" t="s">
        <v>104</v>
      </c>
      <c r="H35" s="118">
        <v>89.765830562615804</v>
      </c>
      <c r="I35" s="119">
        <v>6.2773308085745311E-4</v>
      </c>
      <c r="J35" s="13">
        <f t="shared" si="13"/>
        <v>1.3182394698006515E-2</v>
      </c>
      <c r="K35" s="124">
        <v>2.5109323234298125E-3</v>
      </c>
      <c r="L35" s="13">
        <f t="shared" si="14"/>
        <v>0.77838902026324186</v>
      </c>
      <c r="M35" s="12">
        <f t="shared" si="15"/>
        <v>90.557401977577058</v>
      </c>
      <c r="N35" s="125">
        <v>122.19225393765764</v>
      </c>
      <c r="O35" s="125">
        <v>8.5449128627732615E-4</v>
      </c>
      <c r="P35" s="11">
        <f>O35*21</f>
        <v>1.7944317011823849E-2</v>
      </c>
      <c r="Q35" s="125">
        <v>3.4179651451093046E-3</v>
      </c>
      <c r="R35" s="11">
        <f>Q35*310</f>
        <v>1.0595691949838844</v>
      </c>
      <c r="S35" s="81">
        <f t="shared" si="10"/>
        <v>123.26976744965334</v>
      </c>
      <c r="T35" s="131">
        <v>115.07425856264847</v>
      </c>
      <c r="U35" s="132">
        <v>8.0471509484369552E-4</v>
      </c>
      <c r="V35" s="13">
        <f t="shared" si="23"/>
        <v>1.6899016991717607E-2</v>
      </c>
      <c r="W35" s="132">
        <v>3.2188603793747821E-3</v>
      </c>
      <c r="X35" s="13">
        <f t="shared" si="19"/>
        <v>0.99784671760618249</v>
      </c>
      <c r="Y35" s="12">
        <f t="shared" si="20"/>
        <v>116.08900429724636</v>
      </c>
      <c r="Z35" s="104">
        <v>51.186256085647287</v>
      </c>
      <c r="AA35" s="11">
        <v>3.5794584675277817E-4</v>
      </c>
      <c r="AB35" s="11">
        <f t="shared" ref="AB35" si="61">AA35*21</f>
        <v>7.5168627818083412E-3</v>
      </c>
      <c r="AC35" s="11">
        <v>1.4317833870111127E-3</v>
      </c>
      <c r="AD35" s="11">
        <f t="shared" si="12"/>
        <v>0.44385284997344493</v>
      </c>
      <c r="AE35" s="12">
        <f t="shared" si="5"/>
        <v>51.637625798402539</v>
      </c>
      <c r="AF35" s="11">
        <f>AK35*(Z35/AE35)</f>
        <v>88.903829863927186</v>
      </c>
      <c r="AG35" s="117">
        <f>AH35/21</f>
        <v>6.2170510394354654E-4</v>
      </c>
      <c r="AH35" s="117">
        <f>AK35*(AB35/AE35)</f>
        <v>1.3055807182814478E-2</v>
      </c>
      <c r="AI35" s="117">
        <f>AJ35/310</f>
        <v>2.4868204157741862E-3</v>
      </c>
      <c r="AJ35" s="117">
        <f>AK35*(AD35/AE35)</f>
        <v>0.77091432888999778</v>
      </c>
      <c r="AK35" s="101">
        <v>89.687799999999996</v>
      </c>
    </row>
    <row r="36" spans="2:37" ht="12" customHeight="1" x14ac:dyDescent="0.2">
      <c r="B36" s="8"/>
      <c r="C36" s="9" t="s">
        <v>55</v>
      </c>
      <c r="D36" s="9"/>
      <c r="E36" s="9"/>
      <c r="F36" s="9"/>
      <c r="G36" s="77" t="s">
        <v>54</v>
      </c>
      <c r="H36" s="118">
        <f>SUM(H37:H38)</f>
        <v>1867.2469811686858</v>
      </c>
      <c r="I36" s="119">
        <f t="shared" ref="I36:M36" si="62">SUM(I37:I38)</f>
        <v>121.36758058251191</v>
      </c>
      <c r="J36" s="119">
        <f t="shared" si="62"/>
        <v>2548.7191922327502</v>
      </c>
      <c r="K36" s="119">
        <f t="shared" si="62"/>
        <v>4.8818295992648694E-3</v>
      </c>
      <c r="L36" s="119">
        <f t="shared" si="62"/>
        <v>1.5133671757721094</v>
      </c>
      <c r="M36" s="12">
        <f t="shared" si="62"/>
        <v>4417.4795405772084</v>
      </c>
      <c r="N36" s="125">
        <f>N37+N38</f>
        <v>1615.8280949232797</v>
      </c>
      <c r="O36" s="125">
        <f t="shared" ref="O36:S36" si="63">O37+O38</f>
        <v>98.544733404821486</v>
      </c>
      <c r="P36" s="125">
        <f t="shared" si="63"/>
        <v>2069.4394015012513</v>
      </c>
      <c r="Q36" s="125">
        <f t="shared" si="63"/>
        <v>3.3522180473932015E-3</v>
      </c>
      <c r="R36" s="125">
        <f t="shared" si="63"/>
        <v>1.0391875946918925</v>
      </c>
      <c r="S36" s="135">
        <f t="shared" si="63"/>
        <v>3686.3066840192228</v>
      </c>
      <c r="T36" s="60">
        <f>T37+T38</f>
        <v>1036.3288703749283</v>
      </c>
      <c r="U36" s="11">
        <f t="shared" ref="U36:X36" si="64">U37+U38</f>
        <v>165.47427816671708</v>
      </c>
      <c r="V36" s="11">
        <f t="shared" si="64"/>
        <v>3474.9598415010587</v>
      </c>
      <c r="W36" s="11">
        <f t="shared" si="64"/>
        <v>5.2763578507520007E-3</v>
      </c>
      <c r="X36" s="11">
        <f t="shared" si="64"/>
        <v>1.6356709337331201</v>
      </c>
      <c r="Y36" s="12">
        <f t="shared" si="20"/>
        <v>4512.9243828097206</v>
      </c>
      <c r="Z36" s="104">
        <f>Z37+Z38</f>
        <v>363.22543245167992</v>
      </c>
      <c r="AA36" s="104">
        <f t="shared" ref="AA36:AD36" si="65">AA37+AA38</f>
        <v>172.50933025298249</v>
      </c>
      <c r="AB36" s="104">
        <f t="shared" si="65"/>
        <v>3622.6959353126326</v>
      </c>
      <c r="AC36" s="104">
        <f t="shared" si="65"/>
        <v>2.1077730248701553E-3</v>
      </c>
      <c r="AD36" s="104">
        <f t="shared" si="65"/>
        <v>0.65340963770974814</v>
      </c>
      <c r="AE36" s="12">
        <f t="shared" si="5"/>
        <v>3986.5747774020224</v>
      </c>
      <c r="AF36" s="13">
        <f>AF37+AF38</f>
        <v>250.42907361333758</v>
      </c>
      <c r="AG36" s="13">
        <f t="shared" ref="AG36:AJ36" si="66">AG37+AG38</f>
        <v>201.37970728715089</v>
      </c>
      <c r="AH36" s="13">
        <f t="shared" si="66"/>
        <v>4228.9738530301693</v>
      </c>
      <c r="AI36" s="13">
        <f t="shared" si="66"/>
        <v>2.2706978532993499E-3</v>
      </c>
      <c r="AJ36" s="13">
        <f t="shared" si="66"/>
        <v>0.70391633452279845</v>
      </c>
      <c r="AK36" s="101">
        <f t="shared" si="3"/>
        <v>4480.1068429780298</v>
      </c>
    </row>
    <row r="37" spans="2:37" ht="12" customHeight="1" x14ac:dyDescent="0.2">
      <c r="B37" s="8"/>
      <c r="C37" s="9"/>
      <c r="D37" s="9" t="s">
        <v>53</v>
      </c>
      <c r="E37" s="9"/>
      <c r="F37" s="9"/>
      <c r="G37" s="77" t="s">
        <v>52</v>
      </c>
      <c r="H37" s="118">
        <v>6.6700000000000006E-4</v>
      </c>
      <c r="I37" s="119">
        <v>3.0719584486184996</v>
      </c>
      <c r="J37" s="13">
        <f t="shared" si="13"/>
        <v>64.511127420988487</v>
      </c>
      <c r="K37" s="33"/>
      <c r="L37" s="33"/>
      <c r="M37" s="12">
        <f t="shared" si="15"/>
        <v>64.511794420988494</v>
      </c>
      <c r="N37" s="33"/>
      <c r="O37" s="125">
        <v>3.0341955</v>
      </c>
      <c r="P37" s="11">
        <f>O37*21</f>
        <v>63.7181055</v>
      </c>
      <c r="Q37" s="33"/>
      <c r="R37" s="33"/>
      <c r="S37" s="81">
        <f>N37+P37+R37</f>
        <v>63.7181055</v>
      </c>
      <c r="T37" s="57"/>
      <c r="U37" s="127">
        <v>1.6167258934050002</v>
      </c>
      <c r="V37" s="13">
        <f t="shared" si="23"/>
        <v>33.951243761505005</v>
      </c>
      <c r="W37" s="33"/>
      <c r="X37" s="33"/>
      <c r="Y37" s="79">
        <f t="shared" si="20"/>
        <v>33.951243761505005</v>
      </c>
      <c r="Z37" s="57"/>
      <c r="AA37" s="11">
        <v>0.78651303324037491</v>
      </c>
      <c r="AB37" s="11">
        <f t="shared" ref="AB37" si="67">AA37*21</f>
        <v>16.516773698047874</v>
      </c>
      <c r="AC37" s="33"/>
      <c r="AD37" s="33"/>
      <c r="AE37" s="12">
        <f t="shared" si="5"/>
        <v>16.516773698047874</v>
      </c>
      <c r="AF37" s="106"/>
      <c r="AG37" s="13">
        <v>0.22221806250000001</v>
      </c>
      <c r="AH37" s="13">
        <f>AG37*21</f>
        <v>4.6665793125000006</v>
      </c>
      <c r="AI37" s="86"/>
      <c r="AJ37" s="86"/>
      <c r="AK37" s="101">
        <f t="shared" si="3"/>
        <v>4.6665793125000006</v>
      </c>
    </row>
    <row r="38" spans="2:37" ht="12" customHeight="1" thickBot="1" x14ac:dyDescent="0.25">
      <c r="B38" s="47"/>
      <c r="C38" s="48"/>
      <c r="D38" s="48" t="s">
        <v>51</v>
      </c>
      <c r="E38" s="48"/>
      <c r="F38" s="48"/>
      <c r="G38" s="78" t="s">
        <v>50</v>
      </c>
      <c r="H38" s="75">
        <v>1867.2463141686858</v>
      </c>
      <c r="I38" s="49">
        <v>118.2956221338934</v>
      </c>
      <c r="J38" s="49">
        <f t="shared" si="13"/>
        <v>2484.2080648117617</v>
      </c>
      <c r="K38" s="136">
        <v>4.8818295992648694E-3</v>
      </c>
      <c r="L38" s="49">
        <f t="shared" si="14"/>
        <v>1.5133671757721094</v>
      </c>
      <c r="M38" s="40">
        <f t="shared" si="15"/>
        <v>4352.9677461562196</v>
      </c>
      <c r="N38" s="137">
        <v>1615.8280949232797</v>
      </c>
      <c r="O38" s="137">
        <v>95.51053790482149</v>
      </c>
      <c r="P38" s="39">
        <f>O38*21</f>
        <v>2005.7212960012512</v>
      </c>
      <c r="Q38" s="137">
        <v>3.3522180473932015E-3</v>
      </c>
      <c r="R38" s="39">
        <f>Q38*310</f>
        <v>1.0391875946918925</v>
      </c>
      <c r="S38" s="82">
        <f>N38+P38+R38</f>
        <v>3622.5885785192227</v>
      </c>
      <c r="T38" s="138">
        <v>1036.3288703749283</v>
      </c>
      <c r="U38" s="139">
        <v>163.85755227331208</v>
      </c>
      <c r="V38" s="35">
        <f>U38*21</f>
        <v>3441.0085977395538</v>
      </c>
      <c r="W38" s="140">
        <v>5.2763578507520007E-3</v>
      </c>
      <c r="X38" s="35">
        <f>W38*310</f>
        <v>1.6356709337331201</v>
      </c>
      <c r="Y38" s="37">
        <f>T38+V38+X38</f>
        <v>4478.9731390482157</v>
      </c>
      <c r="Z38" s="109">
        <v>363.22543245167992</v>
      </c>
      <c r="AA38" s="110">
        <v>171.72281721974213</v>
      </c>
      <c r="AB38" s="110">
        <f>AA38*21</f>
        <v>3606.1791616145847</v>
      </c>
      <c r="AC38" s="110">
        <v>2.1077730248701553E-3</v>
      </c>
      <c r="AD38" s="110">
        <f>AC38*310</f>
        <v>0.65340963770974814</v>
      </c>
      <c r="AE38" s="37">
        <f>Z38+AB38+AD38</f>
        <v>3970.0580037039745</v>
      </c>
      <c r="AF38" s="35">
        <v>250.42907361333758</v>
      </c>
      <c r="AG38" s="35">
        <v>201.1574892246509</v>
      </c>
      <c r="AH38" s="35">
        <f>AG38*21</f>
        <v>4224.307273717669</v>
      </c>
      <c r="AI38" s="35">
        <v>2.2706978532993499E-3</v>
      </c>
      <c r="AJ38" s="35">
        <f>AI38*310</f>
        <v>0.70391633452279845</v>
      </c>
      <c r="AK38" s="115">
        <f>AF38+AH38+AJ38</f>
        <v>4475.4402636655295</v>
      </c>
    </row>
    <row r="39" spans="2:37" ht="12" customHeight="1" x14ac:dyDescent="0.2">
      <c r="B39" s="14">
        <v>2</v>
      </c>
      <c r="C39" s="15"/>
      <c r="D39" s="15"/>
      <c r="E39" s="15"/>
      <c r="F39" s="15"/>
      <c r="G39" s="61" t="s">
        <v>2</v>
      </c>
      <c r="H39" s="59">
        <f>H40+H45+H49</f>
        <v>5898.900123708192</v>
      </c>
      <c r="I39" s="32">
        <f t="shared" ref="I39:L39" si="68">I40+I45+I49</f>
        <v>1.1061625000000001E-3</v>
      </c>
      <c r="J39" s="32">
        <f t="shared" si="68"/>
        <v>2.3229412500000001E-2</v>
      </c>
      <c r="K39" s="32">
        <f t="shared" si="68"/>
        <v>0.45753998849999999</v>
      </c>
      <c r="L39" s="32">
        <f t="shared" si="68"/>
        <v>141.83739643499999</v>
      </c>
      <c r="M39" s="34">
        <f>H39+J39+L39</f>
        <v>6040.7607495556922</v>
      </c>
      <c r="N39" s="32">
        <f>N40+N45+N49</f>
        <v>4916.7349348191847</v>
      </c>
      <c r="O39" s="32">
        <f t="shared" ref="O39:R39" si="69">O40+O45+O49</f>
        <v>1.2041375E-3</v>
      </c>
      <c r="P39" s="32">
        <f t="shared" si="69"/>
        <v>2.5286887500000001E-2</v>
      </c>
      <c r="Q39" s="32">
        <f t="shared" si="69"/>
        <v>0.46002930288634514</v>
      </c>
      <c r="R39" s="32">
        <f t="shared" si="69"/>
        <v>142.609083894767</v>
      </c>
      <c r="S39" s="80">
        <f>N39+P39+R39</f>
        <v>5059.3693056014517</v>
      </c>
      <c r="T39" s="59">
        <f>T40+T45+T49</f>
        <v>4323.1007750750441</v>
      </c>
      <c r="U39" s="32">
        <f>U40+U45+U49</f>
        <v>1.2606E-3</v>
      </c>
      <c r="V39" s="32">
        <f t="shared" ref="V39:Y39" si="70">V40+V45+V49</f>
        <v>2.6472599999999999E-2</v>
      </c>
      <c r="W39" s="32">
        <f t="shared" si="70"/>
        <v>0.5763403055398203</v>
      </c>
      <c r="X39" s="32">
        <f t="shared" si="70"/>
        <v>178.6654947173443</v>
      </c>
      <c r="Y39" s="34">
        <f t="shared" si="70"/>
        <v>4501.7927423923884</v>
      </c>
      <c r="Z39" s="59">
        <f>Z40+Z45+Z49</f>
        <v>3168.8139061379798</v>
      </c>
      <c r="AA39" s="111">
        <f t="shared" ref="AA39:AD39" si="71">AA40+AA45+AA49</f>
        <v>9.734749999999999E-4</v>
      </c>
      <c r="AB39" s="111">
        <f t="shared" si="71"/>
        <v>2.0442974999999999E-2</v>
      </c>
      <c r="AC39" s="111">
        <f t="shared" si="71"/>
        <v>0.7058704204617452</v>
      </c>
      <c r="AD39" s="111">
        <f t="shared" si="71"/>
        <v>218.81983034314101</v>
      </c>
      <c r="AE39" s="34">
        <f>Z39+AB39+AD39</f>
        <v>3387.6541794561208</v>
      </c>
      <c r="AF39" s="32">
        <f>AF40+AF45+AF49</f>
        <v>2420.8626123141521</v>
      </c>
      <c r="AG39" s="32">
        <f t="shared" ref="AG39:AJ39" si="72">AG40+AG45+AG49</f>
        <v>1.0227875E-3</v>
      </c>
      <c r="AH39" s="32">
        <f t="shared" si="72"/>
        <v>2.1478537499999999E-2</v>
      </c>
      <c r="AI39" s="32">
        <f t="shared" si="72"/>
        <v>0.85437081676151938</v>
      </c>
      <c r="AJ39" s="32">
        <f t="shared" si="72"/>
        <v>264.85495319607099</v>
      </c>
      <c r="AK39" s="34">
        <f>AF39+AH39+AJ39</f>
        <v>2685.7390440477234</v>
      </c>
    </row>
    <row r="40" spans="2:37" ht="12" customHeight="1" x14ac:dyDescent="0.2">
      <c r="B40" s="16"/>
      <c r="C40" s="17" t="s">
        <v>49</v>
      </c>
      <c r="D40" s="17"/>
      <c r="E40" s="17"/>
      <c r="F40" s="17"/>
      <c r="G40" s="62" t="s">
        <v>108</v>
      </c>
      <c r="H40" s="60">
        <f>SUM(H41:H44)</f>
        <v>5116.4023674201953</v>
      </c>
      <c r="I40" s="33"/>
      <c r="J40" s="33"/>
      <c r="K40" s="33"/>
      <c r="L40" s="33"/>
      <c r="M40" s="12">
        <f>H40+J40+L40</f>
        <v>5116.4023674201953</v>
      </c>
      <c r="N40" s="11">
        <f>N41+N42+N43+N44</f>
        <v>4173.6269746636035</v>
      </c>
      <c r="O40" s="33"/>
      <c r="P40" s="33"/>
      <c r="Q40" s="33"/>
      <c r="R40" s="33"/>
      <c r="S40" s="81">
        <f>N40</f>
        <v>4173.6269746636035</v>
      </c>
      <c r="T40" s="60">
        <f>T41+T42+T43+T44</f>
        <v>3722.1979158266231</v>
      </c>
      <c r="U40" s="33"/>
      <c r="V40" s="33"/>
      <c r="W40" s="33"/>
      <c r="X40" s="33"/>
      <c r="Y40" s="12">
        <f>T40+V40+X40</f>
        <v>3722.1979158266231</v>
      </c>
      <c r="Z40" s="60">
        <f>SUM(Z41:Z44)</f>
        <v>2597.5102239837083</v>
      </c>
      <c r="AA40" s="33"/>
      <c r="AB40" s="33"/>
      <c r="AC40" s="33"/>
      <c r="AD40" s="33"/>
      <c r="AE40" s="12">
        <f>Z40+AB40+AD40</f>
        <v>2597.5102239837083</v>
      </c>
      <c r="AF40" s="11">
        <f>SUM(AF41:AF44)</f>
        <v>1864.0585114849287</v>
      </c>
      <c r="AG40" s="33"/>
      <c r="AH40" s="33"/>
      <c r="AI40" s="33"/>
      <c r="AJ40" s="33"/>
      <c r="AK40" s="12">
        <f>AF40+AH40+AJ40</f>
        <v>1864.0585114849287</v>
      </c>
    </row>
    <row r="41" spans="2:37" ht="12" customHeight="1" x14ac:dyDescent="0.2">
      <c r="B41" s="16"/>
      <c r="C41" s="17"/>
      <c r="D41" s="17" t="s">
        <v>48</v>
      </c>
      <c r="E41" s="17"/>
      <c r="F41" s="17"/>
      <c r="G41" s="62" t="s">
        <v>47</v>
      </c>
      <c r="H41" s="141">
        <v>4590.0086737739857</v>
      </c>
      <c r="I41" s="33"/>
      <c r="J41" s="33"/>
      <c r="K41" s="33"/>
      <c r="L41" s="33"/>
      <c r="M41" s="12">
        <f t="shared" ref="M41:M53" si="73">H41+J41+L41</f>
        <v>4590.0086737739857</v>
      </c>
      <c r="N41" s="125">
        <v>3730.6016068361232</v>
      </c>
      <c r="O41" s="33"/>
      <c r="P41" s="33"/>
      <c r="Q41" s="33"/>
      <c r="R41" s="33"/>
      <c r="S41" s="81">
        <f t="shared" ref="S41:S44" si="74">N41</f>
        <v>3730.6016068361232</v>
      </c>
      <c r="T41" s="126">
        <v>3338.2932267149222</v>
      </c>
      <c r="U41" s="33"/>
      <c r="V41" s="33"/>
      <c r="W41" s="33"/>
      <c r="X41" s="33"/>
      <c r="Y41" s="12">
        <f t="shared" ref="Y41:Y53" si="75">T41+V41+X41</f>
        <v>3338.2932267149222</v>
      </c>
      <c r="Z41" s="60">
        <v>2375.5909777356874</v>
      </c>
      <c r="AA41" s="33"/>
      <c r="AB41" s="33"/>
      <c r="AC41" s="33"/>
      <c r="AD41" s="33"/>
      <c r="AE41" s="12">
        <f t="shared" ref="AE41:AE52" si="76">Z41+AB41+AD41</f>
        <v>2375.5909777356874</v>
      </c>
      <c r="AF41" s="11">
        <v>1777.6593675663876</v>
      </c>
      <c r="AG41" s="33"/>
      <c r="AH41" s="33"/>
      <c r="AI41" s="33"/>
      <c r="AJ41" s="33"/>
      <c r="AK41" s="12">
        <f t="shared" ref="AK41:AK52" si="77">AF41+AH41+AJ41</f>
        <v>1777.6593675663876</v>
      </c>
    </row>
    <row r="42" spans="2:37" ht="12" customHeight="1" x14ac:dyDescent="0.2">
      <c r="B42" s="16"/>
      <c r="C42" s="17"/>
      <c r="D42" s="17" t="s">
        <v>46</v>
      </c>
      <c r="E42" s="17"/>
      <c r="F42" s="17"/>
      <c r="G42" s="62" t="s">
        <v>45</v>
      </c>
      <c r="H42" s="141">
        <v>392.26107688499991</v>
      </c>
      <c r="I42" s="33"/>
      <c r="J42" s="33"/>
      <c r="K42" s="33"/>
      <c r="L42" s="33"/>
      <c r="M42" s="12">
        <f t="shared" si="73"/>
        <v>392.26107688499991</v>
      </c>
      <c r="N42" s="125">
        <v>319.64494056899997</v>
      </c>
      <c r="O42" s="33"/>
      <c r="P42" s="33"/>
      <c r="Q42" s="33"/>
      <c r="R42" s="33"/>
      <c r="S42" s="81">
        <f t="shared" si="74"/>
        <v>319.64494056899997</v>
      </c>
      <c r="T42" s="126">
        <v>270.44325880749994</v>
      </c>
      <c r="U42" s="33"/>
      <c r="V42" s="33"/>
      <c r="W42" s="33"/>
      <c r="X42" s="33"/>
      <c r="Y42" s="12">
        <f t="shared" si="75"/>
        <v>270.44325880749994</v>
      </c>
      <c r="Z42" s="60">
        <v>147.43905440374996</v>
      </c>
      <c r="AA42" s="33"/>
      <c r="AB42" s="33"/>
      <c r="AC42" s="33"/>
      <c r="AD42" s="33"/>
      <c r="AE42" s="12">
        <f t="shared" si="76"/>
        <v>147.43905440374996</v>
      </c>
      <c r="AF42" s="11">
        <v>24.434849999999994</v>
      </c>
      <c r="AG42" s="33"/>
      <c r="AH42" s="33"/>
      <c r="AI42" s="33"/>
      <c r="AJ42" s="33"/>
      <c r="AK42" s="12">
        <f t="shared" si="77"/>
        <v>24.434849999999994</v>
      </c>
    </row>
    <row r="43" spans="2:37" ht="12" customHeight="1" x14ac:dyDescent="0.2">
      <c r="B43" s="16"/>
      <c r="C43" s="17"/>
      <c r="D43" s="17" t="s">
        <v>44</v>
      </c>
      <c r="E43" s="17"/>
      <c r="F43" s="17"/>
      <c r="G43" s="62" t="s">
        <v>131</v>
      </c>
      <c r="H43" s="141">
        <v>33.315240000000003</v>
      </c>
      <c r="I43" s="33"/>
      <c r="J43" s="33"/>
      <c r="K43" s="33"/>
      <c r="L43" s="33"/>
      <c r="M43" s="12">
        <f t="shared" si="73"/>
        <v>33.315240000000003</v>
      </c>
      <c r="N43" s="125">
        <v>34.810879999999997</v>
      </c>
      <c r="O43" s="33"/>
      <c r="P43" s="33"/>
      <c r="Q43" s="33"/>
      <c r="R43" s="33"/>
      <c r="S43" s="81">
        <f t="shared" si="74"/>
        <v>34.810879999999997</v>
      </c>
      <c r="T43" s="126">
        <v>34.448559757066441</v>
      </c>
      <c r="U43" s="33"/>
      <c r="V43" s="33"/>
      <c r="W43" s="33"/>
      <c r="X43" s="33"/>
      <c r="Y43" s="12">
        <f t="shared" si="75"/>
        <v>34.448559757066441</v>
      </c>
      <c r="Z43" s="60">
        <v>34.784212305636309</v>
      </c>
      <c r="AA43" s="33"/>
      <c r="AB43" s="33"/>
      <c r="AC43" s="33"/>
      <c r="AD43" s="33"/>
      <c r="AE43" s="12">
        <f t="shared" si="76"/>
        <v>34.784212305636309</v>
      </c>
      <c r="AF43" s="11">
        <v>34.392162537192974</v>
      </c>
      <c r="AG43" s="33"/>
      <c r="AH43" s="33"/>
      <c r="AI43" s="33"/>
      <c r="AJ43" s="33"/>
      <c r="AK43" s="12">
        <f t="shared" si="77"/>
        <v>34.392162537192974</v>
      </c>
    </row>
    <row r="44" spans="2:37" ht="12" customHeight="1" x14ac:dyDescent="0.2">
      <c r="B44" s="16"/>
      <c r="C44" s="17"/>
      <c r="D44" s="17" t="s">
        <v>43</v>
      </c>
      <c r="E44" s="17"/>
      <c r="F44" s="17"/>
      <c r="G44" s="62" t="s">
        <v>145</v>
      </c>
      <c r="H44" s="141">
        <v>100.81737676120986</v>
      </c>
      <c r="I44" s="33"/>
      <c r="J44" s="33"/>
      <c r="K44" s="33"/>
      <c r="L44" s="33"/>
      <c r="M44" s="12">
        <f t="shared" si="73"/>
        <v>100.81737676120986</v>
      </c>
      <c r="N44" s="125">
        <v>88.569547258480299</v>
      </c>
      <c r="O44" s="33"/>
      <c r="P44" s="33"/>
      <c r="Q44" s="33"/>
      <c r="R44" s="33"/>
      <c r="S44" s="81">
        <f t="shared" si="74"/>
        <v>88.569547258480299</v>
      </c>
      <c r="T44" s="126">
        <v>79.012870547134526</v>
      </c>
      <c r="U44" s="33"/>
      <c r="V44" s="33"/>
      <c r="W44" s="33"/>
      <c r="X44" s="33"/>
      <c r="Y44" s="12">
        <f t="shared" si="75"/>
        <v>79.012870547134526</v>
      </c>
      <c r="Z44" s="60">
        <v>39.695979538634596</v>
      </c>
      <c r="AA44" s="33"/>
      <c r="AB44" s="33"/>
      <c r="AC44" s="33"/>
      <c r="AD44" s="33"/>
      <c r="AE44" s="12">
        <f t="shared" si="76"/>
        <v>39.695979538634596</v>
      </c>
      <c r="AF44" s="11">
        <v>27.572131381348068</v>
      </c>
      <c r="AG44" s="33"/>
      <c r="AH44" s="33"/>
      <c r="AI44" s="33"/>
      <c r="AJ44" s="33"/>
      <c r="AK44" s="12">
        <f t="shared" si="77"/>
        <v>27.572131381348068</v>
      </c>
    </row>
    <row r="45" spans="2:37" ht="12" customHeight="1" x14ac:dyDescent="0.2">
      <c r="B45" s="16"/>
      <c r="C45" s="17" t="s">
        <v>42</v>
      </c>
      <c r="D45" s="17"/>
      <c r="E45" s="17"/>
      <c r="F45" s="17"/>
      <c r="G45" s="62" t="s">
        <v>41</v>
      </c>
      <c r="H45" s="60">
        <f>SUM(H46:H48)</f>
        <v>50.490632877106997</v>
      </c>
      <c r="I45" s="33"/>
      <c r="J45" s="33"/>
      <c r="K45" s="11">
        <f t="shared" ref="K45:L45" si="78">SUM(K46:K48)</f>
        <v>0.45753998849999999</v>
      </c>
      <c r="L45" s="11">
        <f t="shared" si="78"/>
        <v>141.83739643499999</v>
      </c>
      <c r="M45" s="12">
        <f t="shared" si="73"/>
        <v>192.32802931210699</v>
      </c>
      <c r="N45" s="11">
        <f>N46+N47+N48</f>
        <v>34.653700540876237</v>
      </c>
      <c r="O45" s="33"/>
      <c r="P45" s="33"/>
      <c r="Q45" s="11">
        <f t="shared" ref="Q45:R45" si="79">Q46+Q47+Q48</f>
        <v>0.46002930288634514</v>
      </c>
      <c r="R45" s="11">
        <f t="shared" si="79"/>
        <v>142.609083894767</v>
      </c>
      <c r="S45" s="81">
        <f>N45+P45+R45</f>
        <v>177.26278443564323</v>
      </c>
      <c r="T45" s="60">
        <f>T46+T47+T48</f>
        <v>30.253637178669678</v>
      </c>
      <c r="U45" s="33"/>
      <c r="V45" s="33"/>
      <c r="W45" s="11">
        <f t="shared" ref="W45:X45" si="80">W46+W47+W48</f>
        <v>0.5763403055398203</v>
      </c>
      <c r="X45" s="11">
        <f t="shared" si="80"/>
        <v>178.6654947173443</v>
      </c>
      <c r="Y45" s="12">
        <f t="shared" si="75"/>
        <v>208.91913189601399</v>
      </c>
      <c r="Z45" s="60">
        <f>SUM(Z46:Z48)</f>
        <v>28.304465700331548</v>
      </c>
      <c r="AA45" s="33"/>
      <c r="AB45" s="33"/>
      <c r="AC45" s="104">
        <f t="shared" ref="AC45:AD45" si="81">SUM(AC46:AC48)</f>
        <v>0.7058704204617452</v>
      </c>
      <c r="AD45" s="104">
        <f t="shared" si="81"/>
        <v>218.81983034314101</v>
      </c>
      <c r="AE45" s="12">
        <f t="shared" si="76"/>
        <v>247.12429604347255</v>
      </c>
      <c r="AF45" s="11">
        <f>SUM(AF46:AF48)</f>
        <v>18.901145179412705</v>
      </c>
      <c r="AG45" s="33"/>
      <c r="AH45" s="33"/>
      <c r="AI45" s="11">
        <f>SUM(AI46:AI48)</f>
        <v>0.85437081676151938</v>
      </c>
      <c r="AJ45" s="11">
        <f>SUM(AJ46:AJ48)</f>
        <v>264.85495319607099</v>
      </c>
      <c r="AK45" s="12">
        <f t="shared" si="77"/>
        <v>283.7560983754837</v>
      </c>
    </row>
    <row r="46" spans="2:37" ht="12" customHeight="1" x14ac:dyDescent="0.2">
      <c r="B46" s="16"/>
      <c r="C46" s="17"/>
      <c r="D46" s="17" t="s">
        <v>40</v>
      </c>
      <c r="E46" s="17"/>
      <c r="F46" s="17"/>
      <c r="G46" s="62" t="s">
        <v>39</v>
      </c>
      <c r="H46" s="141">
        <v>49.569335045999999</v>
      </c>
      <c r="I46" s="33"/>
      <c r="J46" s="33"/>
      <c r="K46" s="33"/>
      <c r="L46" s="33"/>
      <c r="M46" s="12">
        <f t="shared" si="73"/>
        <v>49.569335045999999</v>
      </c>
      <c r="N46" s="125">
        <v>33.733933674248824</v>
      </c>
      <c r="O46" s="33"/>
      <c r="P46" s="33"/>
      <c r="Q46" s="33"/>
      <c r="R46" s="33"/>
      <c r="S46" s="81">
        <f>N46+P46+R46</f>
        <v>33.733933674248824</v>
      </c>
      <c r="T46" s="126">
        <v>29.48086434857456</v>
      </c>
      <c r="U46" s="33"/>
      <c r="V46" s="33"/>
      <c r="W46" s="33"/>
      <c r="X46" s="33"/>
      <c r="Y46" s="12">
        <f t="shared" si="75"/>
        <v>29.48086434857456</v>
      </c>
      <c r="Z46" s="60">
        <v>27.907023831996401</v>
      </c>
      <c r="AA46" s="33"/>
      <c r="AB46" s="33"/>
      <c r="AC46" s="33"/>
      <c r="AD46" s="33"/>
      <c r="AE46" s="12">
        <f t="shared" si="76"/>
        <v>27.907023831996401</v>
      </c>
      <c r="AF46" s="11">
        <v>18.667405953574772</v>
      </c>
      <c r="AG46" s="33"/>
      <c r="AH46" s="33"/>
      <c r="AI46" s="33"/>
      <c r="AJ46" s="33"/>
      <c r="AK46" s="12">
        <f t="shared" si="77"/>
        <v>18.667405953574772</v>
      </c>
    </row>
    <row r="47" spans="2:37" ht="12" customHeight="1" x14ac:dyDescent="0.2">
      <c r="B47" s="16"/>
      <c r="C47" s="17"/>
      <c r="D47" s="17" t="s">
        <v>38</v>
      </c>
      <c r="E47" s="17"/>
      <c r="F47" s="17"/>
      <c r="G47" s="62" t="s">
        <v>37</v>
      </c>
      <c r="H47" s="57"/>
      <c r="I47" s="33"/>
      <c r="J47" s="33"/>
      <c r="K47" s="124">
        <v>0.45753998849999999</v>
      </c>
      <c r="L47" s="11">
        <f>K47*310</f>
        <v>141.83739643499999</v>
      </c>
      <c r="M47" s="12">
        <f t="shared" si="73"/>
        <v>141.83739643499999</v>
      </c>
      <c r="N47" s="33"/>
      <c r="O47" s="33"/>
      <c r="P47" s="33"/>
      <c r="Q47" s="125">
        <v>0.46002930288634514</v>
      </c>
      <c r="R47" s="13">
        <f>Q47*310</f>
        <v>142.609083894767</v>
      </c>
      <c r="S47" s="81">
        <f t="shared" ref="S47:S48" si="82">N47+P47+R47</f>
        <v>142.609083894767</v>
      </c>
      <c r="T47" s="57"/>
      <c r="U47" s="33"/>
      <c r="V47" s="33"/>
      <c r="W47" s="127">
        <v>0.5763403055398203</v>
      </c>
      <c r="X47" s="13">
        <f>W47*310</f>
        <v>178.6654947173443</v>
      </c>
      <c r="Y47" s="12">
        <f t="shared" si="75"/>
        <v>178.6654947173443</v>
      </c>
      <c r="Z47" s="57"/>
      <c r="AA47" s="33"/>
      <c r="AB47" s="33"/>
      <c r="AC47" s="11">
        <v>0.7058704204617452</v>
      </c>
      <c r="AD47" s="11">
        <f>AC47*310</f>
        <v>218.81983034314101</v>
      </c>
      <c r="AE47" s="12">
        <f t="shared" si="76"/>
        <v>218.81983034314101</v>
      </c>
      <c r="AF47" s="57"/>
      <c r="AG47" s="33"/>
      <c r="AH47" s="33"/>
      <c r="AI47" s="11">
        <v>0.85437081676151938</v>
      </c>
      <c r="AJ47" s="11">
        <f>AI47*310</f>
        <v>264.85495319607099</v>
      </c>
      <c r="AK47" s="12">
        <f t="shared" si="77"/>
        <v>264.85495319607099</v>
      </c>
    </row>
    <row r="48" spans="2:37" ht="12" customHeight="1" x14ac:dyDescent="0.2">
      <c r="B48" s="16"/>
      <c r="C48" s="17"/>
      <c r="D48" s="17" t="s">
        <v>105</v>
      </c>
      <c r="E48" s="17"/>
      <c r="F48" s="17"/>
      <c r="G48" s="62" t="s">
        <v>106</v>
      </c>
      <c r="H48" s="141">
        <v>0.92129783110700014</v>
      </c>
      <c r="I48" s="33"/>
      <c r="J48" s="33"/>
      <c r="K48" s="33"/>
      <c r="L48" s="33"/>
      <c r="M48" s="12">
        <f t="shared" si="73"/>
        <v>0.92129783110700014</v>
      </c>
      <c r="N48" s="125">
        <v>0.91976686662741203</v>
      </c>
      <c r="O48" s="33"/>
      <c r="P48" s="33"/>
      <c r="Q48" s="33"/>
      <c r="R48" s="33"/>
      <c r="S48" s="81">
        <f t="shared" si="82"/>
        <v>0.91976686662741203</v>
      </c>
      <c r="T48" s="126">
        <v>0.77277283009511766</v>
      </c>
      <c r="U48" s="33"/>
      <c r="V48" s="33"/>
      <c r="W48" s="33"/>
      <c r="X48" s="33"/>
      <c r="Y48" s="12">
        <f t="shared" si="75"/>
        <v>0.77277283009511766</v>
      </c>
      <c r="Z48" s="60">
        <v>0.39744186833514761</v>
      </c>
      <c r="AA48" s="33"/>
      <c r="AB48" s="33"/>
      <c r="AC48" s="33"/>
      <c r="AD48" s="33"/>
      <c r="AE48" s="12">
        <f t="shared" si="76"/>
        <v>0.39744186833514761</v>
      </c>
      <c r="AF48" s="11">
        <v>0.23373922583793216</v>
      </c>
      <c r="AG48" s="33"/>
      <c r="AH48" s="33"/>
      <c r="AI48" s="33"/>
      <c r="AJ48" s="33"/>
      <c r="AK48" s="12">
        <f t="shared" si="77"/>
        <v>0.23373922583793216</v>
      </c>
    </row>
    <row r="49" spans="2:37" ht="12" customHeight="1" x14ac:dyDescent="0.2">
      <c r="B49" s="16"/>
      <c r="C49" s="17" t="s">
        <v>36</v>
      </c>
      <c r="D49" s="17"/>
      <c r="E49" s="17"/>
      <c r="F49" s="17"/>
      <c r="G49" s="62" t="s">
        <v>109</v>
      </c>
      <c r="H49" s="60">
        <f>SUM(H50:H53)</f>
        <v>732.00712341089036</v>
      </c>
      <c r="I49" s="11">
        <f t="shared" ref="I49:J49" si="83">SUM(I50:I53)</f>
        <v>1.1061625000000001E-3</v>
      </c>
      <c r="J49" s="11">
        <f t="shared" si="83"/>
        <v>2.3229412500000001E-2</v>
      </c>
      <c r="K49" s="33"/>
      <c r="L49" s="33"/>
      <c r="M49" s="12">
        <f t="shared" si="73"/>
        <v>732.03035282339033</v>
      </c>
      <c r="N49" s="11">
        <f>N50+N51+N52+N53</f>
        <v>708.45425961470505</v>
      </c>
      <c r="O49" s="11">
        <f t="shared" ref="O49:S49" si="84">O50+O51+O52+O53</f>
        <v>1.2041375E-3</v>
      </c>
      <c r="P49" s="11">
        <f t="shared" si="84"/>
        <v>2.5286887500000001E-2</v>
      </c>
      <c r="Q49" s="33"/>
      <c r="R49" s="33"/>
      <c r="S49" s="81">
        <f t="shared" si="84"/>
        <v>708.47954650220504</v>
      </c>
      <c r="T49" s="85">
        <f>T50+T51+T52+T53</f>
        <v>570.64922206975177</v>
      </c>
      <c r="U49" s="13">
        <f t="shared" ref="U49:V49" si="85">U50+U51+U52+U53</f>
        <v>1.2606E-3</v>
      </c>
      <c r="V49" s="44">
        <f t="shared" si="85"/>
        <v>2.6472599999999999E-2</v>
      </c>
      <c r="W49" s="33"/>
      <c r="X49" s="33"/>
      <c r="Y49" s="12">
        <f t="shared" si="75"/>
        <v>570.67569466975181</v>
      </c>
      <c r="Z49" s="60">
        <f>SUM(Z50:Z53)</f>
        <v>542.99921645393988</v>
      </c>
      <c r="AA49" s="104">
        <f t="shared" ref="AA49:AB49" si="86">SUM(AA50:AA53)</f>
        <v>9.734749999999999E-4</v>
      </c>
      <c r="AB49" s="104">
        <f t="shared" si="86"/>
        <v>2.0442974999999999E-2</v>
      </c>
      <c r="AC49" s="33"/>
      <c r="AD49" s="33"/>
      <c r="AE49" s="12">
        <f t="shared" si="76"/>
        <v>543.01965942893992</v>
      </c>
      <c r="AF49" s="11">
        <f>SUM(AF50:AF53)</f>
        <v>537.90295564981102</v>
      </c>
      <c r="AG49" s="11">
        <f t="shared" ref="AG49:AH49" si="87">SUM(AG50:AG53)</f>
        <v>1.0227875E-3</v>
      </c>
      <c r="AH49" s="11">
        <f t="shared" si="87"/>
        <v>2.1478537499999999E-2</v>
      </c>
      <c r="AI49" s="33"/>
      <c r="AJ49" s="33"/>
      <c r="AK49" s="12">
        <f t="shared" si="77"/>
        <v>537.92443418731102</v>
      </c>
    </row>
    <row r="50" spans="2:37" ht="12" customHeight="1" x14ac:dyDescent="0.2">
      <c r="B50" s="16"/>
      <c r="C50" s="17"/>
      <c r="D50" s="17" t="s">
        <v>35</v>
      </c>
      <c r="E50" s="17"/>
      <c r="F50" s="17"/>
      <c r="G50" s="62" t="s">
        <v>34</v>
      </c>
      <c r="H50" s="141">
        <v>150.43173999999999</v>
      </c>
      <c r="I50" s="124">
        <v>1.1061625000000001E-3</v>
      </c>
      <c r="J50" s="11">
        <f>I50*21</f>
        <v>2.3229412500000001E-2</v>
      </c>
      <c r="K50" s="33"/>
      <c r="L50" s="33"/>
      <c r="M50" s="12">
        <f t="shared" si="73"/>
        <v>150.45496941249999</v>
      </c>
      <c r="N50" s="125">
        <v>148.24014</v>
      </c>
      <c r="O50" s="125">
        <v>1.2041375E-3</v>
      </c>
      <c r="P50" s="13">
        <f>O50*21</f>
        <v>2.5286887500000001E-2</v>
      </c>
      <c r="Q50" s="33"/>
      <c r="R50" s="33"/>
      <c r="S50" s="81">
        <f>N50+P50+R50</f>
        <v>148.26542688749998</v>
      </c>
      <c r="T50" s="126">
        <v>184.50815</v>
      </c>
      <c r="U50" s="127">
        <v>1.2606E-3</v>
      </c>
      <c r="V50" s="44">
        <f>U50*21</f>
        <v>2.6472599999999999E-2</v>
      </c>
      <c r="W50" s="33"/>
      <c r="X50" s="33"/>
      <c r="Y50" s="12">
        <f t="shared" si="75"/>
        <v>184.53462260000001</v>
      </c>
      <c r="Z50" s="60">
        <v>196.45733142857142</v>
      </c>
      <c r="AA50" s="11">
        <v>9.734749999999999E-4</v>
      </c>
      <c r="AB50" s="11">
        <f>AA50*21</f>
        <v>2.0442974999999999E-2</v>
      </c>
      <c r="AC50" s="33"/>
      <c r="AD50" s="33"/>
      <c r="AE50" s="12">
        <f t="shared" si="76"/>
        <v>196.47777440357143</v>
      </c>
      <c r="AF50" s="11">
        <v>253.82966364285718</v>
      </c>
      <c r="AG50" s="11">
        <v>1.0227875E-3</v>
      </c>
      <c r="AH50" s="11">
        <f>AG50*21</f>
        <v>2.1478537499999999E-2</v>
      </c>
      <c r="AI50" s="33"/>
      <c r="AJ50" s="33"/>
      <c r="AK50" s="12">
        <f t="shared" si="77"/>
        <v>253.85114218035719</v>
      </c>
    </row>
    <row r="51" spans="2:37" ht="12" customHeight="1" x14ac:dyDescent="0.2">
      <c r="B51" s="16"/>
      <c r="C51" s="17"/>
      <c r="D51" s="17" t="s">
        <v>33</v>
      </c>
      <c r="E51" s="17"/>
      <c r="F51" s="17"/>
      <c r="G51" s="62" t="s">
        <v>32</v>
      </c>
      <c r="H51" s="141">
        <v>2.8738215220504681</v>
      </c>
      <c r="I51" s="33"/>
      <c r="J51" s="33"/>
      <c r="K51" s="33"/>
      <c r="L51" s="33"/>
      <c r="M51" s="12">
        <f t="shared" si="73"/>
        <v>2.8738215220504681</v>
      </c>
      <c r="N51" s="125">
        <v>2.6348396147050477</v>
      </c>
      <c r="O51" s="33"/>
      <c r="P51" s="33"/>
      <c r="Q51" s="33"/>
      <c r="R51" s="33"/>
      <c r="S51" s="81">
        <f t="shared" ref="S51:S53" si="88">N51+P51+R51</f>
        <v>2.6348396147050477</v>
      </c>
      <c r="T51" s="126">
        <v>2.3884320697517332</v>
      </c>
      <c r="U51" s="33"/>
      <c r="V51" s="33"/>
      <c r="W51" s="33"/>
      <c r="X51" s="33"/>
      <c r="Y51" s="12">
        <f t="shared" si="75"/>
        <v>2.3884320697517332</v>
      </c>
      <c r="Z51" s="60">
        <v>1.6636450253684611</v>
      </c>
      <c r="AA51" s="33"/>
      <c r="AB51" s="33"/>
      <c r="AC51" s="33"/>
      <c r="AD51" s="33"/>
      <c r="AE51" s="12">
        <f t="shared" si="76"/>
        <v>1.6636450253684611</v>
      </c>
      <c r="AF51" s="11">
        <v>0.61757308194509142</v>
      </c>
      <c r="AG51" s="33"/>
      <c r="AH51" s="33"/>
      <c r="AI51" s="33"/>
      <c r="AJ51" s="33"/>
      <c r="AK51" s="12">
        <f t="shared" si="77"/>
        <v>0.61757308194509142</v>
      </c>
    </row>
    <row r="52" spans="2:37" ht="12" customHeight="1" x14ac:dyDescent="0.2">
      <c r="B52" s="16"/>
      <c r="C52" s="17"/>
      <c r="D52" s="17" t="s">
        <v>31</v>
      </c>
      <c r="E52" s="17"/>
      <c r="F52" s="17"/>
      <c r="G52" s="62" t="s">
        <v>29</v>
      </c>
      <c r="H52" s="142">
        <v>0</v>
      </c>
      <c r="I52" s="33"/>
      <c r="J52" s="33"/>
      <c r="K52" s="33"/>
      <c r="L52" s="33"/>
      <c r="M52" s="12">
        <f t="shared" si="73"/>
        <v>0</v>
      </c>
      <c r="N52" s="125">
        <v>0</v>
      </c>
      <c r="O52" s="33"/>
      <c r="P52" s="33"/>
      <c r="Q52" s="33"/>
      <c r="R52" s="33"/>
      <c r="S52" s="81">
        <f t="shared" si="88"/>
        <v>0</v>
      </c>
      <c r="T52" s="131">
        <v>0</v>
      </c>
      <c r="U52" s="33"/>
      <c r="V52" s="33"/>
      <c r="W52" s="33"/>
      <c r="X52" s="33"/>
      <c r="Y52" s="12">
        <f t="shared" si="75"/>
        <v>0</v>
      </c>
      <c r="Z52" s="60">
        <v>63.481079999999999</v>
      </c>
      <c r="AA52" s="33"/>
      <c r="AB52" s="33"/>
      <c r="AC52" s="33"/>
      <c r="AD52" s="33"/>
      <c r="AE52" s="12">
        <f t="shared" si="76"/>
        <v>63.481079999999999</v>
      </c>
      <c r="AF52" s="11">
        <v>62.435870196161467</v>
      </c>
      <c r="AG52" s="33"/>
      <c r="AH52" s="33"/>
      <c r="AI52" s="33"/>
      <c r="AJ52" s="33"/>
      <c r="AK52" s="12">
        <f t="shared" si="77"/>
        <v>62.435870196161467</v>
      </c>
    </row>
    <row r="53" spans="2:37" ht="12" customHeight="1" thickBot="1" x14ac:dyDescent="0.25">
      <c r="B53" s="50"/>
      <c r="C53" s="51"/>
      <c r="D53" s="51" t="s">
        <v>30</v>
      </c>
      <c r="E53" s="51"/>
      <c r="F53" s="51"/>
      <c r="G53" s="63" t="s">
        <v>107</v>
      </c>
      <c r="H53" s="143">
        <v>578.70156188883993</v>
      </c>
      <c r="I53" s="38"/>
      <c r="J53" s="38"/>
      <c r="K53" s="38"/>
      <c r="L53" s="38"/>
      <c r="M53" s="40">
        <f t="shared" si="73"/>
        <v>578.70156188883993</v>
      </c>
      <c r="N53" s="125">
        <v>557.57928000000004</v>
      </c>
      <c r="O53" s="38"/>
      <c r="P53" s="38"/>
      <c r="Q53" s="38"/>
      <c r="R53" s="38"/>
      <c r="S53" s="82">
        <f t="shared" si="88"/>
        <v>557.57928000000004</v>
      </c>
      <c r="T53" s="144">
        <v>383.75264000000004</v>
      </c>
      <c r="U53" s="38"/>
      <c r="V53" s="38"/>
      <c r="W53" s="38"/>
      <c r="X53" s="38"/>
      <c r="Y53" s="40">
        <f t="shared" si="75"/>
        <v>383.75264000000004</v>
      </c>
      <c r="Z53" s="105">
        <v>281.39715999999999</v>
      </c>
      <c r="AA53" s="38"/>
      <c r="AB53" s="38"/>
      <c r="AC53" s="38"/>
      <c r="AD53" s="38"/>
      <c r="AE53" s="40">
        <f>Z53+AB53+AD53</f>
        <v>281.39715999999999</v>
      </c>
      <c r="AF53" s="110">
        <v>221.01984872884719</v>
      </c>
      <c r="AG53" s="38"/>
      <c r="AH53" s="38"/>
      <c r="AI53" s="38"/>
      <c r="AJ53" s="38"/>
      <c r="AK53" s="37">
        <f>AF53+AH53+AJ53</f>
        <v>221.01984872884719</v>
      </c>
    </row>
    <row r="54" spans="2:37" ht="12" customHeight="1" x14ac:dyDescent="0.2">
      <c r="B54" s="18">
        <v>4</v>
      </c>
      <c r="C54" s="19"/>
      <c r="D54" s="19"/>
      <c r="E54" s="19"/>
      <c r="F54" s="19"/>
      <c r="G54" s="64" t="s">
        <v>1</v>
      </c>
      <c r="H54" s="56"/>
      <c r="I54" s="32">
        <f>SUM(I55:I60)</f>
        <v>544.58713789864669</v>
      </c>
      <c r="J54" s="32">
        <f t="shared" ref="J54:L54" si="89">SUM(J55:J60)</f>
        <v>11436.329895871579</v>
      </c>
      <c r="K54" s="32">
        <f t="shared" si="89"/>
        <v>47.731827693569983</v>
      </c>
      <c r="L54" s="32">
        <f t="shared" si="89"/>
        <v>14796.866585006694</v>
      </c>
      <c r="M54" s="34">
        <f>H54+J54+L54</f>
        <v>26233.196480878272</v>
      </c>
      <c r="N54" s="36"/>
      <c r="O54" s="32">
        <f t="shared" ref="O54:S54" si="90">O55+O56+O57+O58+O59+O60</f>
        <v>546.31402285669242</v>
      </c>
      <c r="P54" s="32">
        <f t="shared" si="90"/>
        <v>11472.594479990541</v>
      </c>
      <c r="Q54" s="32">
        <f t="shared" si="90"/>
        <v>45.78096782973941</v>
      </c>
      <c r="R54" s="32">
        <f t="shared" si="90"/>
        <v>14192.100027219216</v>
      </c>
      <c r="S54" s="34">
        <f t="shared" si="90"/>
        <v>25664.694507209759</v>
      </c>
      <c r="T54" s="56"/>
      <c r="U54" s="96">
        <f>SUM(U55:U60)</f>
        <v>550.41654872823017</v>
      </c>
      <c r="V54" s="96">
        <f t="shared" ref="V54:X54" si="91">SUM(V55:V60)</f>
        <v>11558.747523292834</v>
      </c>
      <c r="W54" s="96">
        <f t="shared" si="91"/>
        <v>46.195504104692851</v>
      </c>
      <c r="X54" s="96">
        <f t="shared" si="91"/>
        <v>14320.606272454785</v>
      </c>
      <c r="Y54" s="34">
        <f>T54+V54+X54</f>
        <v>25879.353795747618</v>
      </c>
      <c r="Z54" s="56"/>
      <c r="AA54" s="32">
        <f>SUM(AA55:AA60)</f>
        <v>523.56956720002268</v>
      </c>
      <c r="AB54" s="32">
        <f t="shared" ref="AB54:AD54" si="92">SUM(AB55:AB60)</f>
        <v>10994.960911200478</v>
      </c>
      <c r="AC54" s="32">
        <f t="shared" si="92"/>
        <v>41.151096469790787</v>
      </c>
      <c r="AD54" s="32">
        <f t="shared" si="92"/>
        <v>12756.839905635145</v>
      </c>
      <c r="AE54" s="34">
        <f>AB54+AD54</f>
        <v>23751.800816835625</v>
      </c>
      <c r="AF54" s="56"/>
      <c r="AG54" s="32">
        <f>SUM(AG55:AG60)</f>
        <v>495.35789843590351</v>
      </c>
      <c r="AH54" s="32">
        <f t="shared" ref="AH54:AJ54" si="93">SUM(AH55:AH60)</f>
        <v>10402.515867153974</v>
      </c>
      <c r="AI54" s="32">
        <f t="shared" si="93"/>
        <v>40.098750832500336</v>
      </c>
      <c r="AJ54" s="32">
        <f t="shared" si="93"/>
        <v>12430.612758075104</v>
      </c>
      <c r="AK54" s="34">
        <f>AF54+AH54+AJ54</f>
        <v>22833.128625229077</v>
      </c>
    </row>
    <row r="55" spans="2:37" ht="12" customHeight="1" x14ac:dyDescent="0.2">
      <c r="B55" s="20"/>
      <c r="C55" s="21" t="s">
        <v>28</v>
      </c>
      <c r="D55" s="21"/>
      <c r="E55" s="21"/>
      <c r="F55" s="21"/>
      <c r="G55" s="65" t="s">
        <v>27</v>
      </c>
      <c r="H55" s="57"/>
      <c r="I55" s="11">
        <v>443.66176203223102</v>
      </c>
      <c r="J55" s="11">
        <f>I55*21</f>
        <v>9316.8970026768511</v>
      </c>
      <c r="K55" s="33"/>
      <c r="L55" s="33"/>
      <c r="M55" s="12">
        <f>H55+J55+L55</f>
        <v>9316.8970026768511</v>
      </c>
      <c r="N55" s="33"/>
      <c r="O55" s="128">
        <v>445.12344264845842</v>
      </c>
      <c r="P55" s="13">
        <f>O55*21</f>
        <v>9347.5922956176273</v>
      </c>
      <c r="Q55" s="33"/>
      <c r="R55" s="33"/>
      <c r="S55" s="12">
        <f>N55+P55+R55</f>
        <v>9347.5922956176273</v>
      </c>
      <c r="T55" s="57"/>
      <c r="U55" s="13">
        <v>451.10293718599917</v>
      </c>
      <c r="V55" s="13">
        <f>U55*21</f>
        <v>9473.1616809059833</v>
      </c>
      <c r="W55" s="33"/>
      <c r="X55" s="33"/>
      <c r="Y55" s="12">
        <f>T55+V55+X55</f>
        <v>9473.1616809059833</v>
      </c>
      <c r="Z55" s="57"/>
      <c r="AA55" s="11">
        <v>434.16800836323</v>
      </c>
      <c r="AB55" s="11">
        <f>AA55*21</f>
        <v>9117.5281756278309</v>
      </c>
      <c r="AC55" s="33"/>
      <c r="AD55" s="33"/>
      <c r="AE55" s="12">
        <f>AB55+AD55</f>
        <v>9117.5281756278309</v>
      </c>
      <c r="AF55" s="57"/>
      <c r="AG55" s="11">
        <v>415.58900012276638</v>
      </c>
      <c r="AH55" s="11">
        <f>AG55*21</f>
        <v>8727.3690025780943</v>
      </c>
      <c r="AI55" s="33"/>
      <c r="AJ55" s="33"/>
      <c r="AK55" s="12">
        <f>AF55+AH55+AJ55</f>
        <v>8727.3690025780943</v>
      </c>
    </row>
    <row r="56" spans="2:37" ht="12" customHeight="1" x14ac:dyDescent="0.2">
      <c r="B56" s="20"/>
      <c r="C56" s="21" t="s">
        <v>26</v>
      </c>
      <c r="D56" s="21"/>
      <c r="E56" s="21"/>
      <c r="F56" s="21"/>
      <c r="G56" s="65" t="s">
        <v>25</v>
      </c>
      <c r="H56" s="57"/>
      <c r="I56" s="11">
        <v>14.530164502828308</v>
      </c>
      <c r="J56" s="11">
        <f t="shared" ref="J56:J57" si="94">I56*21</f>
        <v>305.13345455939447</v>
      </c>
      <c r="K56" s="11">
        <v>3.5155087498457145</v>
      </c>
      <c r="L56" s="11">
        <f>K56*310</f>
        <v>1089.8077124521715</v>
      </c>
      <c r="M56" s="12">
        <f t="shared" ref="M56:M59" si="95">H56+J56+L56</f>
        <v>1394.941167011566</v>
      </c>
      <c r="N56" s="33"/>
      <c r="O56" s="128">
        <v>14.261151390669514</v>
      </c>
      <c r="P56" s="13">
        <f t="shared" ref="P56:P60" si="96">O56*21</f>
        <v>299.48417920405979</v>
      </c>
      <c r="Q56" s="128">
        <v>3.3628170016571426</v>
      </c>
      <c r="R56" s="11">
        <f>Q56*310</f>
        <v>1042.4732705137142</v>
      </c>
      <c r="S56" s="12">
        <f t="shared" ref="S56:S60" si="97">N56+P56+R56</f>
        <v>1341.9574497177739</v>
      </c>
      <c r="T56" s="57"/>
      <c r="U56" s="13">
        <v>14.544074516717965</v>
      </c>
      <c r="V56" s="13">
        <f t="shared" ref="V56:V57" si="98">U56*21</f>
        <v>305.42556485107724</v>
      </c>
      <c r="W56" s="13">
        <v>3.2716542212514286</v>
      </c>
      <c r="X56" s="13">
        <f>W56*310</f>
        <v>1014.2128085879428</v>
      </c>
      <c r="Y56" s="12">
        <f t="shared" ref="Y56:Y59" si="99">T56+V56+X56</f>
        <v>1319.6383734390201</v>
      </c>
      <c r="Z56" s="57"/>
      <c r="AA56" s="11">
        <v>13.788997806757282</v>
      </c>
      <c r="AB56" s="11">
        <f t="shared" ref="AB56:AB60" si="100">AA56*21</f>
        <v>289.56895394190292</v>
      </c>
      <c r="AC56" s="11">
        <v>2.6622873128971429</v>
      </c>
      <c r="AD56" s="11">
        <f t="shared" ref="AD56:AD60" si="101">AC56*310</f>
        <v>825.3090669981143</v>
      </c>
      <c r="AE56" s="12">
        <f t="shared" ref="AE56:AE59" si="102">AB56+AD56</f>
        <v>1114.8780209400172</v>
      </c>
      <c r="AF56" s="57"/>
      <c r="AG56" s="11">
        <v>14.189065506445553</v>
      </c>
      <c r="AH56" s="11">
        <f>AG56*21</f>
        <v>297.97037563535662</v>
      </c>
      <c r="AI56" s="11">
        <v>2.4102500435199996</v>
      </c>
      <c r="AJ56" s="11">
        <f>AI56*310</f>
        <v>747.17751349119987</v>
      </c>
      <c r="AK56" s="12">
        <f t="shared" ref="AK56:AK60" si="103">AF56+AH56+AJ56</f>
        <v>1045.1478891265565</v>
      </c>
    </row>
    <row r="57" spans="2:37" ht="12" customHeight="1" x14ac:dyDescent="0.2">
      <c r="B57" s="20"/>
      <c r="C57" s="21" t="s">
        <v>24</v>
      </c>
      <c r="D57" s="21"/>
      <c r="E57" s="21"/>
      <c r="F57" s="21"/>
      <c r="G57" s="65" t="s">
        <v>23</v>
      </c>
      <c r="H57" s="57"/>
      <c r="I57" s="11">
        <v>54.001697330400006</v>
      </c>
      <c r="J57" s="11">
        <f t="shared" si="94"/>
        <v>1134.0356439384002</v>
      </c>
      <c r="K57" s="33"/>
      <c r="L57" s="33"/>
      <c r="M57" s="12">
        <f t="shared" si="95"/>
        <v>1134.0356439384002</v>
      </c>
      <c r="N57" s="33"/>
      <c r="O57" s="128">
        <v>55.774865064000025</v>
      </c>
      <c r="P57" s="13">
        <f t="shared" si="96"/>
        <v>1171.2721663440004</v>
      </c>
      <c r="Q57" s="33"/>
      <c r="R57" s="33"/>
      <c r="S57" s="12">
        <f t="shared" si="97"/>
        <v>1171.2721663440004</v>
      </c>
      <c r="T57" s="57"/>
      <c r="U57" s="13">
        <v>55.034163960000008</v>
      </c>
      <c r="V57" s="13">
        <f t="shared" si="98"/>
        <v>1155.7174431600001</v>
      </c>
      <c r="W57" s="86"/>
      <c r="X57" s="86"/>
      <c r="Y57" s="12">
        <f t="shared" si="99"/>
        <v>1155.7174431600001</v>
      </c>
      <c r="Z57" s="57"/>
      <c r="AA57" s="11">
        <v>50.676232800000008</v>
      </c>
      <c r="AB57" s="11">
        <f t="shared" si="100"/>
        <v>1064.2008888000003</v>
      </c>
      <c r="AC57" s="86"/>
      <c r="AD57" s="86"/>
      <c r="AE57" s="12">
        <f t="shared" si="102"/>
        <v>1064.2008888000003</v>
      </c>
      <c r="AF57" s="57"/>
      <c r="AG57" s="11">
        <v>40.711530696000004</v>
      </c>
      <c r="AH57" s="11">
        <f>AG57*21</f>
        <v>854.94214461600006</v>
      </c>
      <c r="AI57" s="33"/>
      <c r="AJ57" s="33"/>
      <c r="AK57" s="12">
        <f t="shared" si="103"/>
        <v>854.94214461600006</v>
      </c>
    </row>
    <row r="58" spans="2:37" ht="12" customHeight="1" x14ac:dyDescent="0.2">
      <c r="B58" s="20"/>
      <c r="C58" s="21" t="s">
        <v>22</v>
      </c>
      <c r="D58" s="21"/>
      <c r="E58" s="21"/>
      <c r="F58" s="21"/>
      <c r="G58" s="65" t="s">
        <v>21</v>
      </c>
      <c r="H58" s="57"/>
      <c r="I58" s="33"/>
      <c r="J58" s="33"/>
      <c r="K58" s="11">
        <v>43.480773849735279</v>
      </c>
      <c r="L58" s="11">
        <f>K58*310</f>
        <v>13479.039893417936</v>
      </c>
      <c r="M58" s="12">
        <f t="shared" si="95"/>
        <v>13479.039893417936</v>
      </c>
      <c r="N58" s="33"/>
      <c r="O58" s="33"/>
      <c r="P58" s="33"/>
      <c r="Q58" s="128">
        <v>41.717518184283676</v>
      </c>
      <c r="R58" s="11">
        <f t="shared" ref="R58:R60" si="104">Q58*310</f>
        <v>12932.43063712794</v>
      </c>
      <c r="S58" s="12">
        <f t="shared" si="97"/>
        <v>12932.43063712794</v>
      </c>
      <c r="T58" s="57"/>
      <c r="U58" s="86"/>
      <c r="V58" s="86"/>
      <c r="W58" s="13">
        <v>42.259795692696713</v>
      </c>
      <c r="X58" s="13">
        <f>W58*310</f>
        <v>13100.536664735981</v>
      </c>
      <c r="Y58" s="12">
        <f t="shared" si="99"/>
        <v>13100.536664735981</v>
      </c>
      <c r="Z58" s="57"/>
      <c r="AA58" s="86"/>
      <c r="AB58" s="86"/>
      <c r="AC58" s="11">
        <v>37.953486522491623</v>
      </c>
      <c r="AD58" s="11">
        <f t="shared" si="101"/>
        <v>11765.580821972404</v>
      </c>
      <c r="AE58" s="12">
        <f t="shared" si="102"/>
        <v>11765.580821972404</v>
      </c>
      <c r="AF58" s="57"/>
      <c r="AG58" s="33"/>
      <c r="AH58" s="33"/>
      <c r="AI58" s="11">
        <v>37.163617764958431</v>
      </c>
      <c r="AJ58" s="11">
        <f>AI58*310</f>
        <v>11520.721507137114</v>
      </c>
      <c r="AK58" s="12">
        <f t="shared" si="103"/>
        <v>11520.721507137114</v>
      </c>
    </row>
    <row r="59" spans="2:37" ht="12" customHeight="1" x14ac:dyDescent="0.2">
      <c r="B59" s="20"/>
      <c r="C59" s="21" t="s">
        <v>20</v>
      </c>
      <c r="D59" s="21"/>
      <c r="E59" s="21"/>
      <c r="F59" s="21"/>
      <c r="G59" s="65" t="s">
        <v>19</v>
      </c>
      <c r="H59" s="57"/>
      <c r="I59" s="11">
        <v>14.72469299653125</v>
      </c>
      <c r="J59" s="11">
        <f>I59*21</f>
        <v>309.21855292715622</v>
      </c>
      <c r="K59" s="11">
        <v>0.18221807583207422</v>
      </c>
      <c r="L59" s="11">
        <f>K59*310</f>
        <v>56.487603507943007</v>
      </c>
      <c r="M59" s="12">
        <f t="shared" si="95"/>
        <v>365.70615643509922</v>
      </c>
      <c r="N59" s="33"/>
      <c r="O59" s="128">
        <v>14.72469299653125</v>
      </c>
      <c r="P59" s="13">
        <f t="shared" si="96"/>
        <v>309.21855292715622</v>
      </c>
      <c r="Q59" s="128">
        <v>0.18221807583207422</v>
      </c>
      <c r="R59" s="11">
        <f t="shared" si="104"/>
        <v>56.487603507943007</v>
      </c>
      <c r="S59" s="12">
        <f t="shared" si="97"/>
        <v>365.70615643509922</v>
      </c>
      <c r="T59" s="57"/>
      <c r="U59" s="13">
        <v>14.512291955618032</v>
      </c>
      <c r="V59" s="13">
        <f>U59*21</f>
        <v>304.7581310679787</v>
      </c>
      <c r="W59" s="13">
        <v>0.17958961295077314</v>
      </c>
      <c r="X59" s="13">
        <f>W59*310</f>
        <v>55.672780014739672</v>
      </c>
      <c r="Y59" s="12">
        <f t="shared" si="99"/>
        <v>360.43091108271835</v>
      </c>
      <c r="Z59" s="57"/>
      <c r="AA59" s="11">
        <v>13.981289353334986</v>
      </c>
      <c r="AB59" s="11">
        <f t="shared" si="100"/>
        <v>293.60707642003473</v>
      </c>
      <c r="AC59" s="11">
        <v>0.17301845574752045</v>
      </c>
      <c r="AD59" s="11">
        <f t="shared" si="101"/>
        <v>53.635721281731342</v>
      </c>
      <c r="AE59" s="12">
        <f t="shared" si="102"/>
        <v>347.24279770176605</v>
      </c>
      <c r="AF59" s="57"/>
      <c r="AG59" s="11">
        <v>13.450286751051944</v>
      </c>
      <c r="AH59" s="11">
        <f>AG59*21</f>
        <v>282.45602177209082</v>
      </c>
      <c r="AI59" s="116">
        <v>0.16644729854426782</v>
      </c>
      <c r="AJ59" s="11">
        <f>AI59*310</f>
        <v>51.598662548723027</v>
      </c>
      <c r="AK59" s="12">
        <f t="shared" si="103"/>
        <v>334.05468432081386</v>
      </c>
    </row>
    <row r="60" spans="2:37" ht="12" customHeight="1" thickBot="1" x14ac:dyDescent="0.25">
      <c r="B60" s="54"/>
      <c r="C60" s="55" t="s">
        <v>18</v>
      </c>
      <c r="D60" s="55"/>
      <c r="E60" s="55"/>
      <c r="F60" s="55"/>
      <c r="G60" s="66" t="s">
        <v>17</v>
      </c>
      <c r="H60" s="58"/>
      <c r="I60" s="39">
        <v>17.668821036656048</v>
      </c>
      <c r="J60" s="39">
        <f>I60*21</f>
        <v>371.04524176977702</v>
      </c>
      <c r="K60" s="39">
        <v>0.55332701815691132</v>
      </c>
      <c r="L60" s="39">
        <f>K60*310</f>
        <v>171.53137562864251</v>
      </c>
      <c r="M60" s="40">
        <f>H60+J60+L60</f>
        <v>542.57661739841956</v>
      </c>
      <c r="N60" s="38"/>
      <c r="O60" s="145">
        <v>16.429870757033221</v>
      </c>
      <c r="P60" s="49">
        <f t="shared" si="96"/>
        <v>345.02728589769765</v>
      </c>
      <c r="Q60" s="145">
        <v>0.5184145679665132</v>
      </c>
      <c r="R60" s="39">
        <f t="shared" si="104"/>
        <v>160.70851606961909</v>
      </c>
      <c r="S60" s="40">
        <f t="shared" si="97"/>
        <v>505.73580196731677</v>
      </c>
      <c r="T60" s="58"/>
      <c r="U60" s="49">
        <v>15.22308110989499</v>
      </c>
      <c r="V60" s="49">
        <f>U60*21</f>
        <v>319.68470330779479</v>
      </c>
      <c r="W60" s="49">
        <v>0.48446457779393826</v>
      </c>
      <c r="X60" s="49">
        <f>W60*310</f>
        <v>150.18401911612085</v>
      </c>
      <c r="Y60" s="40">
        <f>T60+V60+X60</f>
        <v>469.86872242391564</v>
      </c>
      <c r="Z60" s="58"/>
      <c r="AA60" s="110">
        <v>10.955038876700462</v>
      </c>
      <c r="AB60" s="11">
        <f t="shared" si="100"/>
        <v>230.0558164107097</v>
      </c>
      <c r="AC60" s="110">
        <v>0.36230417865450404</v>
      </c>
      <c r="AD60" s="11">
        <f t="shared" si="101"/>
        <v>112.31429538289625</v>
      </c>
      <c r="AE60" s="37">
        <f>Z60+AB60+AD60</f>
        <v>342.37011179360593</v>
      </c>
      <c r="AF60" s="58"/>
      <c r="AG60" s="110">
        <v>11.418015359639666</v>
      </c>
      <c r="AH60" s="110">
        <f>AG60*21</f>
        <v>239.778322552433</v>
      </c>
      <c r="AI60" s="110">
        <v>0.35843572547763469</v>
      </c>
      <c r="AJ60" s="110">
        <f>AI60*310</f>
        <v>111.11507489806675</v>
      </c>
      <c r="AK60" s="37">
        <f t="shared" si="103"/>
        <v>350.89339745049972</v>
      </c>
    </row>
    <row r="61" spans="2:37" ht="12" customHeight="1" x14ac:dyDescent="0.2">
      <c r="B61" s="22">
        <v>5</v>
      </c>
      <c r="C61" s="23"/>
      <c r="D61" s="23"/>
      <c r="E61" s="23"/>
      <c r="F61" s="23"/>
      <c r="G61" s="67" t="s">
        <v>16</v>
      </c>
      <c r="H61" s="59">
        <f>H62+H65+H68+H71+H73</f>
        <v>72864.051429648476</v>
      </c>
      <c r="I61" s="32">
        <f>I62+I65+I68+I71+I73</f>
        <v>100.10219764667254</v>
      </c>
      <c r="J61" s="32">
        <f>J62+J65+J68+J71+J73</f>
        <v>2102.146150580123</v>
      </c>
      <c r="K61" s="32">
        <f>K62+K65+K68+K71+K73</f>
        <v>1.2234713045704422</v>
      </c>
      <c r="L61" s="32">
        <f>L62+L65+L68+L71+L73</f>
        <v>379.27610441683709</v>
      </c>
      <c r="M61" s="34">
        <f>H61+J61+L61</f>
        <v>75345.473684645447</v>
      </c>
      <c r="N61" s="59">
        <f>N62+N65+N68+N71+N73</f>
        <v>65709.004037861188</v>
      </c>
      <c r="O61" s="32">
        <f t="shared" ref="O61:S61" si="105">O62+O65+O68+O71+O73</f>
        <v>112.95005724795799</v>
      </c>
      <c r="P61" s="32">
        <f t="shared" si="105"/>
        <v>2371.9512022071176</v>
      </c>
      <c r="Q61" s="32">
        <f t="shared" si="105"/>
        <v>1.3805006996972642</v>
      </c>
      <c r="R61" s="32">
        <f t="shared" si="105"/>
        <v>427.95521690615186</v>
      </c>
      <c r="S61" s="34">
        <f t="shared" si="105"/>
        <v>68508.910456974467</v>
      </c>
      <c r="T61" s="97"/>
      <c r="U61" s="88"/>
      <c r="V61" s="88"/>
      <c r="W61" s="88"/>
      <c r="X61" s="88"/>
      <c r="Y61" s="89"/>
      <c r="Z61" s="97"/>
      <c r="AA61" s="88"/>
      <c r="AB61" s="88"/>
      <c r="AC61" s="88"/>
      <c r="AD61" s="88"/>
      <c r="AE61" s="89"/>
      <c r="AF61" s="97"/>
      <c r="AG61" s="88"/>
      <c r="AH61" s="88"/>
      <c r="AI61" s="88"/>
      <c r="AJ61" s="88"/>
      <c r="AK61" s="89"/>
    </row>
    <row r="62" spans="2:37" ht="12" customHeight="1" x14ac:dyDescent="0.2">
      <c r="B62" s="24"/>
      <c r="C62" s="25" t="s">
        <v>146</v>
      </c>
      <c r="D62" s="25"/>
      <c r="E62" s="25"/>
      <c r="F62" s="25"/>
      <c r="G62" s="68" t="s">
        <v>113</v>
      </c>
      <c r="H62" s="60">
        <f>H63+H64</f>
        <v>13621.047022139406</v>
      </c>
      <c r="I62" s="33"/>
      <c r="J62" s="33"/>
      <c r="K62" s="33"/>
      <c r="L62" s="33"/>
      <c r="M62" s="12">
        <f>H62+J62+L62</f>
        <v>13621.047022139406</v>
      </c>
      <c r="N62" s="60">
        <f>N63+N64</f>
        <v>800.00157240440967</v>
      </c>
      <c r="O62" s="33"/>
      <c r="P62" s="33"/>
      <c r="Q62" s="33"/>
      <c r="R62" s="33"/>
      <c r="S62" s="12">
        <f>N62+P62+R62</f>
        <v>800.00157240440967</v>
      </c>
      <c r="T62" s="98"/>
      <c r="U62" s="92"/>
      <c r="V62" s="92"/>
      <c r="W62" s="92"/>
      <c r="X62" s="92"/>
      <c r="Y62" s="91"/>
      <c r="Z62" s="98"/>
      <c r="AA62" s="92"/>
      <c r="AB62" s="92"/>
      <c r="AC62" s="92"/>
      <c r="AD62" s="92"/>
      <c r="AE62" s="91"/>
      <c r="AF62" s="98"/>
      <c r="AG62" s="92"/>
      <c r="AH62" s="92"/>
      <c r="AI62" s="92"/>
      <c r="AJ62" s="92"/>
      <c r="AK62" s="91"/>
    </row>
    <row r="63" spans="2:37" ht="12" customHeight="1" x14ac:dyDescent="0.2">
      <c r="B63" s="24"/>
      <c r="C63" s="25"/>
      <c r="D63" s="25" t="s">
        <v>148</v>
      </c>
      <c r="E63" s="25"/>
      <c r="F63" s="25"/>
      <c r="G63" s="68" t="s">
        <v>114</v>
      </c>
      <c r="H63" s="146">
        <v>38776.430930010778</v>
      </c>
      <c r="I63" s="33"/>
      <c r="J63" s="33"/>
      <c r="K63" s="33"/>
      <c r="L63" s="33"/>
      <c r="M63" s="12">
        <f t="shared" ref="M63:M74" si="106">H63+J63+L63</f>
        <v>38776.430930010778</v>
      </c>
      <c r="N63" s="147">
        <v>25735.296594497013</v>
      </c>
      <c r="O63" s="33"/>
      <c r="P63" s="33"/>
      <c r="Q63" s="33"/>
      <c r="R63" s="33"/>
      <c r="S63" s="12">
        <f t="shared" ref="S63:S64" si="107">N63+P63+R63</f>
        <v>25735.296594497013</v>
      </c>
      <c r="T63" s="98"/>
      <c r="U63" s="92"/>
      <c r="V63" s="92"/>
      <c r="W63" s="92"/>
      <c r="X63" s="92"/>
      <c r="Y63" s="91"/>
      <c r="Z63" s="98"/>
      <c r="AA63" s="92"/>
      <c r="AB63" s="92"/>
      <c r="AC63" s="92"/>
      <c r="AD63" s="92"/>
      <c r="AE63" s="91"/>
      <c r="AF63" s="98"/>
      <c r="AG63" s="92"/>
      <c r="AH63" s="92"/>
      <c r="AI63" s="92"/>
      <c r="AJ63" s="92"/>
      <c r="AK63" s="91"/>
    </row>
    <row r="64" spans="2:37" ht="12" customHeight="1" x14ac:dyDescent="0.2">
      <c r="B64" s="24"/>
      <c r="C64" s="25"/>
      <c r="D64" s="25" t="s">
        <v>150</v>
      </c>
      <c r="E64" s="25"/>
      <c r="F64" s="25"/>
      <c r="G64" s="68" t="s">
        <v>115</v>
      </c>
      <c r="H64" s="146">
        <v>-25155.383907871372</v>
      </c>
      <c r="I64" s="33"/>
      <c r="J64" s="33"/>
      <c r="K64" s="33"/>
      <c r="L64" s="33"/>
      <c r="M64" s="12">
        <f t="shared" si="106"/>
        <v>-25155.383907871372</v>
      </c>
      <c r="N64" s="147">
        <v>-24935.295022092603</v>
      </c>
      <c r="O64" s="33"/>
      <c r="P64" s="33"/>
      <c r="Q64" s="33"/>
      <c r="R64" s="33"/>
      <c r="S64" s="12">
        <f t="shared" si="107"/>
        <v>-24935.295022092603</v>
      </c>
      <c r="T64" s="98"/>
      <c r="U64" s="92"/>
      <c r="V64" s="92"/>
      <c r="W64" s="92"/>
      <c r="X64" s="92"/>
      <c r="Y64" s="91"/>
      <c r="Z64" s="98"/>
      <c r="AA64" s="92"/>
      <c r="AB64" s="92"/>
      <c r="AC64" s="92"/>
      <c r="AD64" s="92"/>
      <c r="AE64" s="91"/>
      <c r="AF64" s="98"/>
      <c r="AG64" s="92"/>
      <c r="AH64" s="92"/>
      <c r="AI64" s="92"/>
      <c r="AJ64" s="92"/>
      <c r="AK64" s="91"/>
    </row>
    <row r="65" spans="2:37" ht="12" customHeight="1" x14ac:dyDescent="0.2">
      <c r="B65" s="24"/>
      <c r="C65" s="25" t="s">
        <v>147</v>
      </c>
      <c r="D65" s="25"/>
      <c r="E65" s="25"/>
      <c r="F65" s="25"/>
      <c r="G65" s="68" t="s">
        <v>116</v>
      </c>
      <c r="H65" s="146">
        <f>H66+H67</f>
        <v>42325.301773963503</v>
      </c>
      <c r="I65" s="148">
        <f t="shared" ref="I65:L65" si="108">I66+I67</f>
        <v>86.12605532772551</v>
      </c>
      <c r="J65" s="148">
        <f t="shared" si="108"/>
        <v>1808.6471618822357</v>
      </c>
      <c r="K65" s="148">
        <f t="shared" si="108"/>
        <v>1.0526517873388674</v>
      </c>
      <c r="L65" s="148">
        <f t="shared" si="108"/>
        <v>326.32205407504892</v>
      </c>
      <c r="M65" s="12">
        <f t="shared" si="106"/>
        <v>44460.270989920784</v>
      </c>
      <c r="N65" s="60">
        <f>N66+N67</f>
        <v>44877.063288147998</v>
      </c>
      <c r="O65" s="11">
        <f t="shared" ref="O65:Q65" si="109">O66+O67</f>
        <v>93.532086937632087</v>
      </c>
      <c r="P65" s="11">
        <f t="shared" si="109"/>
        <v>1964.1738256902738</v>
      </c>
      <c r="Q65" s="11">
        <f t="shared" si="109"/>
        <v>1.1431699514599476</v>
      </c>
      <c r="R65" s="11">
        <f t="shared" ref="R65" si="110">R66+R67</f>
        <v>354.38268495258376</v>
      </c>
      <c r="S65" s="12">
        <f t="shared" ref="S65" si="111">S66+S67</f>
        <v>47195.61979879086</v>
      </c>
      <c r="T65" s="98"/>
      <c r="U65" s="90"/>
      <c r="V65" s="90"/>
      <c r="W65" s="90"/>
      <c r="X65" s="90"/>
      <c r="Y65" s="91"/>
      <c r="Z65" s="98"/>
      <c r="AA65" s="90"/>
      <c r="AB65" s="90"/>
      <c r="AC65" s="90"/>
      <c r="AD65" s="90"/>
      <c r="AE65" s="91"/>
      <c r="AF65" s="98"/>
      <c r="AG65" s="90"/>
      <c r="AH65" s="90"/>
      <c r="AI65" s="90"/>
      <c r="AJ65" s="90"/>
      <c r="AK65" s="91"/>
    </row>
    <row r="66" spans="2:37" ht="12" customHeight="1" x14ac:dyDescent="0.2">
      <c r="B66" s="24"/>
      <c r="C66" s="25"/>
      <c r="D66" s="25" t="s">
        <v>149</v>
      </c>
      <c r="E66" s="25"/>
      <c r="F66" s="25"/>
      <c r="G66" s="68" t="s">
        <v>117</v>
      </c>
      <c r="H66" s="146">
        <v>-48.550721541669688</v>
      </c>
      <c r="I66" s="33"/>
      <c r="J66" s="33"/>
      <c r="K66" s="33"/>
      <c r="L66" s="33"/>
      <c r="M66" s="12">
        <f t="shared" si="106"/>
        <v>-48.550721541669688</v>
      </c>
      <c r="N66" s="147">
        <v>-599.16327890833315</v>
      </c>
      <c r="O66" s="33"/>
      <c r="P66" s="33"/>
      <c r="Q66" s="33"/>
      <c r="R66" s="33"/>
      <c r="S66" s="12">
        <f>N66+P66+R66</f>
        <v>-599.16327890833315</v>
      </c>
      <c r="T66" s="98"/>
      <c r="U66" s="92"/>
      <c r="V66" s="92"/>
      <c r="W66" s="92"/>
      <c r="X66" s="92"/>
      <c r="Y66" s="91"/>
      <c r="Z66" s="98"/>
      <c r="AA66" s="92"/>
      <c r="AB66" s="92"/>
      <c r="AC66" s="92"/>
      <c r="AD66" s="92"/>
      <c r="AE66" s="91"/>
      <c r="AF66" s="98"/>
      <c r="AG66" s="92"/>
      <c r="AH66" s="92"/>
      <c r="AI66" s="92"/>
      <c r="AJ66" s="92"/>
      <c r="AK66" s="91"/>
    </row>
    <row r="67" spans="2:37" ht="12" customHeight="1" x14ac:dyDescent="0.2">
      <c r="B67" s="24"/>
      <c r="C67" s="25"/>
      <c r="D67" s="25" t="s">
        <v>151</v>
      </c>
      <c r="E67" s="25"/>
      <c r="F67" s="25"/>
      <c r="G67" s="68" t="s">
        <v>118</v>
      </c>
      <c r="H67" s="146">
        <v>42373.852495505176</v>
      </c>
      <c r="I67" s="149">
        <v>86.12605532772551</v>
      </c>
      <c r="J67" s="11">
        <f>I67*21</f>
        <v>1808.6471618822357</v>
      </c>
      <c r="K67" s="149">
        <v>1.0526517873388674</v>
      </c>
      <c r="L67" s="11">
        <f>K67*310</f>
        <v>326.32205407504892</v>
      </c>
      <c r="M67" s="12">
        <f t="shared" si="106"/>
        <v>44508.821711462457</v>
      </c>
      <c r="N67" s="147">
        <v>45476.226567056328</v>
      </c>
      <c r="O67" s="125">
        <v>93.532086937632087</v>
      </c>
      <c r="P67" s="13">
        <f>O67*21</f>
        <v>1964.1738256902738</v>
      </c>
      <c r="Q67" s="125">
        <v>1.1431699514599476</v>
      </c>
      <c r="R67" s="13">
        <f>Q67*310</f>
        <v>354.38268495258376</v>
      </c>
      <c r="S67" s="12">
        <f t="shared" ref="S67:S79" si="112">N67+P67+R67</f>
        <v>47794.78307769919</v>
      </c>
      <c r="T67" s="98"/>
      <c r="U67" s="90"/>
      <c r="V67" s="90"/>
      <c r="W67" s="90"/>
      <c r="X67" s="90"/>
      <c r="Y67" s="91"/>
      <c r="Z67" s="98"/>
      <c r="AA67" s="90"/>
      <c r="AB67" s="90"/>
      <c r="AC67" s="90"/>
      <c r="AD67" s="90"/>
      <c r="AE67" s="91"/>
      <c r="AF67" s="98"/>
      <c r="AG67" s="90"/>
      <c r="AH67" s="90"/>
      <c r="AI67" s="90"/>
      <c r="AJ67" s="90"/>
      <c r="AK67" s="91"/>
    </row>
    <row r="68" spans="2:37" ht="12" customHeight="1" x14ac:dyDescent="0.2">
      <c r="B68" s="24"/>
      <c r="C68" s="25" t="s">
        <v>152</v>
      </c>
      <c r="D68" s="25"/>
      <c r="E68" s="25"/>
      <c r="F68" s="25"/>
      <c r="G68" s="68" t="s">
        <v>119</v>
      </c>
      <c r="H68" s="146">
        <f>H69+H70</f>
        <v>12736.945531839981</v>
      </c>
      <c r="I68" s="148">
        <f t="shared" ref="I68:L68" si="113">I69+I70</f>
        <v>13.976142318947023</v>
      </c>
      <c r="J68" s="148">
        <f t="shared" si="113"/>
        <v>293.49898869788746</v>
      </c>
      <c r="K68" s="148">
        <f t="shared" si="113"/>
        <v>0.17081951723157471</v>
      </c>
      <c r="L68" s="148">
        <f t="shared" si="113"/>
        <v>52.954050341788161</v>
      </c>
      <c r="M68" s="12">
        <f t="shared" si="106"/>
        <v>13083.398570879657</v>
      </c>
      <c r="N68" s="60">
        <f>N69+N70</f>
        <v>16109.21004036673</v>
      </c>
      <c r="O68" s="11">
        <f t="shared" ref="O68:R68" si="114">O69+O70</f>
        <v>19.417970310325895</v>
      </c>
      <c r="P68" s="11">
        <f t="shared" si="114"/>
        <v>407.77737651684379</v>
      </c>
      <c r="Q68" s="11">
        <f t="shared" si="114"/>
        <v>0.23733074823731651</v>
      </c>
      <c r="R68" s="11">
        <f t="shared" si="114"/>
        <v>73.572531953568117</v>
      </c>
      <c r="S68" s="12">
        <f t="shared" si="112"/>
        <v>16590.559948837141</v>
      </c>
      <c r="T68" s="98"/>
      <c r="U68" s="90"/>
      <c r="V68" s="90"/>
      <c r="W68" s="90"/>
      <c r="X68" s="90"/>
      <c r="Y68" s="91"/>
      <c r="Z68" s="98"/>
      <c r="AA68" s="90"/>
      <c r="AB68" s="90"/>
      <c r="AC68" s="90"/>
      <c r="AD68" s="90"/>
      <c r="AE68" s="91"/>
      <c r="AF68" s="98"/>
      <c r="AG68" s="90"/>
      <c r="AH68" s="90"/>
      <c r="AI68" s="90"/>
      <c r="AJ68" s="90"/>
      <c r="AK68" s="91"/>
    </row>
    <row r="69" spans="2:37" ht="12" customHeight="1" x14ac:dyDescent="0.2">
      <c r="B69" s="24"/>
      <c r="C69" s="25"/>
      <c r="D69" s="25" t="s">
        <v>153</v>
      </c>
      <c r="E69" s="25"/>
      <c r="F69" s="25"/>
      <c r="G69" s="68" t="s">
        <v>120</v>
      </c>
      <c r="H69" s="57"/>
      <c r="I69" s="33"/>
      <c r="J69" s="33"/>
      <c r="K69" s="33"/>
      <c r="L69" s="33"/>
      <c r="M69" s="41"/>
      <c r="N69" s="57"/>
      <c r="O69" s="33"/>
      <c r="P69" s="33"/>
      <c r="Q69" s="33"/>
      <c r="R69" s="33"/>
      <c r="S69" s="41"/>
      <c r="T69" s="93"/>
      <c r="U69" s="92"/>
      <c r="V69" s="92"/>
      <c r="W69" s="92"/>
      <c r="X69" s="92"/>
      <c r="Y69" s="94"/>
      <c r="Z69" s="93"/>
      <c r="AA69" s="92"/>
      <c r="AB69" s="92"/>
      <c r="AC69" s="92"/>
      <c r="AD69" s="92"/>
      <c r="AE69" s="94"/>
      <c r="AF69" s="93"/>
      <c r="AG69" s="92"/>
      <c r="AH69" s="92"/>
      <c r="AI69" s="92"/>
      <c r="AJ69" s="92"/>
      <c r="AK69" s="94"/>
    </row>
    <row r="70" spans="2:37" ht="12" customHeight="1" x14ac:dyDescent="0.2">
      <c r="B70" s="24"/>
      <c r="C70" s="25"/>
      <c r="D70" s="25" t="s">
        <v>152</v>
      </c>
      <c r="E70" s="25"/>
      <c r="F70" s="25"/>
      <c r="G70" s="68" t="s">
        <v>121</v>
      </c>
      <c r="H70" s="146">
        <v>12736.945531839981</v>
      </c>
      <c r="I70" s="149">
        <v>13.976142318947023</v>
      </c>
      <c r="J70" s="11">
        <f>I70*21</f>
        <v>293.49898869788746</v>
      </c>
      <c r="K70" s="149">
        <v>0.17081951723157471</v>
      </c>
      <c r="L70" s="11">
        <f>K70*310</f>
        <v>52.954050341788161</v>
      </c>
      <c r="M70" s="12">
        <f t="shared" si="106"/>
        <v>13083.398570879657</v>
      </c>
      <c r="N70" s="150">
        <v>16109.21004036673</v>
      </c>
      <c r="O70" s="125">
        <v>19.417970310325895</v>
      </c>
      <c r="P70" s="13">
        <f>O70*21</f>
        <v>407.77737651684379</v>
      </c>
      <c r="Q70" s="125">
        <v>0.23733074823731651</v>
      </c>
      <c r="R70" s="13">
        <f>Q70*310</f>
        <v>73.572531953568117</v>
      </c>
      <c r="S70" s="12">
        <f t="shared" si="112"/>
        <v>16590.559948837141</v>
      </c>
      <c r="T70" s="98"/>
      <c r="U70" s="90"/>
      <c r="V70" s="90"/>
      <c r="W70" s="90"/>
      <c r="X70" s="90"/>
      <c r="Y70" s="91"/>
      <c r="Z70" s="98"/>
      <c r="AA70" s="90"/>
      <c r="AB70" s="90"/>
      <c r="AC70" s="90"/>
      <c r="AD70" s="90"/>
      <c r="AE70" s="91"/>
      <c r="AF70" s="98"/>
      <c r="AG70" s="90"/>
      <c r="AH70" s="90"/>
      <c r="AI70" s="90"/>
      <c r="AJ70" s="90"/>
      <c r="AK70" s="91"/>
    </row>
    <row r="71" spans="2:37" ht="12" customHeight="1" x14ac:dyDescent="0.2">
      <c r="B71" s="24"/>
      <c r="C71" s="25" t="s">
        <v>154</v>
      </c>
      <c r="D71" s="25"/>
      <c r="E71" s="25"/>
      <c r="F71" s="25"/>
      <c r="G71" s="68" t="s">
        <v>122</v>
      </c>
      <c r="H71" s="60">
        <f>H72</f>
        <v>4016.9116980102876</v>
      </c>
      <c r="I71" s="33"/>
      <c r="J71" s="33"/>
      <c r="K71" s="33"/>
      <c r="L71" s="33"/>
      <c r="M71" s="12">
        <f t="shared" si="106"/>
        <v>4016.9116980102876</v>
      </c>
      <c r="N71" s="60">
        <f>N72</f>
        <v>3895.4712310905074</v>
      </c>
      <c r="O71" s="33"/>
      <c r="P71" s="33"/>
      <c r="Q71" s="33"/>
      <c r="R71" s="33"/>
      <c r="S71" s="12">
        <f t="shared" si="112"/>
        <v>3895.4712310905074</v>
      </c>
      <c r="T71" s="98"/>
      <c r="U71" s="92"/>
      <c r="V71" s="92"/>
      <c r="W71" s="92"/>
      <c r="X71" s="92"/>
      <c r="Y71" s="91"/>
      <c r="Z71" s="98"/>
      <c r="AA71" s="92"/>
      <c r="AB71" s="92"/>
      <c r="AC71" s="92"/>
      <c r="AD71" s="92"/>
      <c r="AE71" s="91"/>
      <c r="AF71" s="98"/>
      <c r="AG71" s="92"/>
      <c r="AH71" s="92"/>
      <c r="AI71" s="92"/>
      <c r="AJ71" s="92"/>
      <c r="AK71" s="91"/>
    </row>
    <row r="72" spans="2:37" ht="12" customHeight="1" x14ac:dyDescent="0.2">
      <c r="B72" s="24"/>
      <c r="C72" s="25"/>
      <c r="D72" s="25" t="s">
        <v>155</v>
      </c>
      <c r="E72" s="25"/>
      <c r="F72" s="25"/>
      <c r="G72" s="68" t="s">
        <v>123</v>
      </c>
      <c r="H72" s="151">
        <v>4016.9116980102876</v>
      </c>
      <c r="I72" s="33"/>
      <c r="J72" s="33"/>
      <c r="K72" s="33"/>
      <c r="L72" s="33"/>
      <c r="M72" s="12">
        <f t="shared" si="106"/>
        <v>4016.9116980102876</v>
      </c>
      <c r="N72" s="150">
        <v>3895.4712310905074</v>
      </c>
      <c r="O72" s="33"/>
      <c r="P72" s="33"/>
      <c r="Q72" s="33"/>
      <c r="R72" s="33"/>
      <c r="S72" s="12">
        <f t="shared" si="112"/>
        <v>3895.4712310905074</v>
      </c>
      <c r="T72" s="98"/>
      <c r="U72" s="92"/>
      <c r="V72" s="92"/>
      <c r="W72" s="92"/>
      <c r="X72" s="92"/>
      <c r="Y72" s="91"/>
      <c r="Z72" s="98"/>
      <c r="AA72" s="92"/>
      <c r="AB72" s="92"/>
      <c r="AC72" s="92"/>
      <c r="AD72" s="92"/>
      <c r="AE72" s="91"/>
      <c r="AF72" s="98"/>
      <c r="AG72" s="92"/>
      <c r="AH72" s="92"/>
      <c r="AI72" s="92"/>
      <c r="AJ72" s="92"/>
      <c r="AK72" s="91"/>
    </row>
    <row r="73" spans="2:37" ht="12" customHeight="1" x14ac:dyDescent="0.2">
      <c r="B73" s="24"/>
      <c r="C73" s="25" t="s">
        <v>156</v>
      </c>
      <c r="D73" s="25"/>
      <c r="E73" s="25"/>
      <c r="F73" s="25"/>
      <c r="G73" s="68" t="s">
        <v>124</v>
      </c>
      <c r="H73" s="60">
        <f>H74</f>
        <v>163.84540369531021</v>
      </c>
      <c r="I73" s="33"/>
      <c r="J73" s="33"/>
      <c r="K73" s="33"/>
      <c r="L73" s="33"/>
      <c r="M73" s="12">
        <f t="shared" si="106"/>
        <v>163.84540369531021</v>
      </c>
      <c r="N73" s="60">
        <f>N74</f>
        <v>27.257905851556973</v>
      </c>
      <c r="O73" s="33"/>
      <c r="P73" s="33"/>
      <c r="Q73" s="33"/>
      <c r="R73" s="33"/>
      <c r="S73" s="12">
        <f t="shared" si="112"/>
        <v>27.257905851556973</v>
      </c>
      <c r="T73" s="98"/>
      <c r="U73" s="92"/>
      <c r="V73" s="92"/>
      <c r="W73" s="92"/>
      <c r="X73" s="92"/>
      <c r="Y73" s="91"/>
      <c r="Z73" s="98"/>
      <c r="AA73" s="92"/>
      <c r="AB73" s="92"/>
      <c r="AC73" s="92"/>
      <c r="AD73" s="92"/>
      <c r="AE73" s="91"/>
      <c r="AF73" s="98"/>
      <c r="AG73" s="92"/>
      <c r="AH73" s="92"/>
      <c r="AI73" s="92"/>
      <c r="AJ73" s="92"/>
      <c r="AK73" s="91"/>
    </row>
    <row r="74" spans="2:37" ht="12" customHeight="1" thickBot="1" x14ac:dyDescent="0.25">
      <c r="B74" s="42"/>
      <c r="C74" s="43"/>
      <c r="D74" s="43" t="s">
        <v>157</v>
      </c>
      <c r="E74" s="43"/>
      <c r="F74" s="43"/>
      <c r="G74" s="69" t="s">
        <v>125</v>
      </c>
      <c r="H74" s="152">
        <v>163.84540369531021</v>
      </c>
      <c r="I74" s="38"/>
      <c r="J74" s="38"/>
      <c r="K74" s="38"/>
      <c r="L74" s="38"/>
      <c r="M74" s="40">
        <f t="shared" si="106"/>
        <v>163.84540369531021</v>
      </c>
      <c r="N74" s="153">
        <v>27.257905851556973</v>
      </c>
      <c r="O74" s="38"/>
      <c r="P74" s="38"/>
      <c r="Q74" s="38"/>
      <c r="R74" s="38"/>
      <c r="S74" s="40">
        <f t="shared" si="112"/>
        <v>27.257905851556973</v>
      </c>
      <c r="T74" s="99"/>
      <c r="U74" s="95"/>
      <c r="V74" s="95"/>
      <c r="W74" s="95"/>
      <c r="X74" s="95"/>
      <c r="Y74" s="100"/>
      <c r="Z74" s="99"/>
      <c r="AA74" s="95"/>
      <c r="AB74" s="95"/>
      <c r="AC74" s="95"/>
      <c r="AD74" s="95"/>
      <c r="AE74" s="100"/>
      <c r="AF74" s="99"/>
      <c r="AG74" s="95"/>
      <c r="AH74" s="95"/>
      <c r="AI74" s="95"/>
      <c r="AJ74" s="95"/>
      <c r="AK74" s="100"/>
    </row>
    <row r="75" spans="2:37" ht="12" customHeight="1" x14ac:dyDescent="0.2">
      <c r="B75" s="26">
        <v>6</v>
      </c>
      <c r="C75" s="27"/>
      <c r="D75" s="27"/>
      <c r="E75" s="27"/>
      <c r="F75" s="27"/>
      <c r="G75" s="70" t="s">
        <v>0</v>
      </c>
      <c r="H75" s="56"/>
      <c r="I75" s="32">
        <f t="shared" ref="I75:L75" si="115">I76+I78</f>
        <v>432.97077989133209</v>
      </c>
      <c r="J75" s="32">
        <f t="shared" si="115"/>
        <v>9092.386377717974</v>
      </c>
      <c r="K75" s="32">
        <f t="shared" si="115"/>
        <v>1.8946667761999996</v>
      </c>
      <c r="L75" s="32">
        <f t="shared" si="115"/>
        <v>587.34670062199984</v>
      </c>
      <c r="M75" s="34">
        <f>H75+J75+L75</f>
        <v>9679.7330783399739</v>
      </c>
      <c r="N75" s="56"/>
      <c r="O75" s="32">
        <f>O76+O78</f>
        <v>329.04217003273288</v>
      </c>
      <c r="P75" s="32">
        <f t="shared" ref="P75:S75" si="116">P76+P78</f>
        <v>6909.885570687391</v>
      </c>
      <c r="Q75" s="32">
        <f t="shared" si="116"/>
        <v>1.8529602409999999</v>
      </c>
      <c r="R75" s="32">
        <f t="shared" si="116"/>
        <v>574.41767470999991</v>
      </c>
      <c r="S75" s="34">
        <f t="shared" si="116"/>
        <v>7484.303245397391</v>
      </c>
      <c r="T75" s="102"/>
      <c r="U75" s="32">
        <f>U76+U78</f>
        <v>302.89777781312614</v>
      </c>
      <c r="V75" s="32">
        <f t="shared" ref="V75:X75" si="117">V76+V78</f>
        <v>6360.8533340756494</v>
      </c>
      <c r="W75" s="32">
        <f t="shared" si="117"/>
        <v>1.8115216655234283</v>
      </c>
      <c r="X75" s="32">
        <f t="shared" si="117"/>
        <v>561.57171631226277</v>
      </c>
      <c r="Y75" s="34">
        <f>T75+V75+X75</f>
        <v>6922.4250503879121</v>
      </c>
      <c r="Z75" s="102"/>
      <c r="AA75" s="32">
        <f>AA76+AA78</f>
        <v>278.05530198620835</v>
      </c>
      <c r="AB75" s="32">
        <f t="shared" ref="AB75:AD75" si="118">AB76+AB78</f>
        <v>5839.1613417103754</v>
      </c>
      <c r="AC75" s="32">
        <f t="shared" si="118"/>
        <v>1.7099827000457142</v>
      </c>
      <c r="AD75" s="32">
        <f t="shared" si="118"/>
        <v>530.09463701417144</v>
      </c>
      <c r="AE75" s="34">
        <f>Z75+AB75+AD75</f>
        <v>6369.2559787245464</v>
      </c>
      <c r="AF75" s="102"/>
      <c r="AG75" s="32">
        <f>AG76+AG78</f>
        <v>259.38851582558635</v>
      </c>
      <c r="AH75" s="32">
        <f t="shared" ref="AH75:AJ75" si="119">AH76+AH78</f>
        <v>5447.1588323373144</v>
      </c>
      <c r="AI75" s="32">
        <f t="shared" si="119"/>
        <v>1.6</v>
      </c>
      <c r="AJ75" s="32">
        <f t="shared" si="119"/>
        <v>496</v>
      </c>
      <c r="AK75" s="34">
        <f>AF75+AH75+AJ75</f>
        <v>5943.1588323373144</v>
      </c>
    </row>
    <row r="76" spans="2:37" ht="12" customHeight="1" x14ac:dyDescent="0.2">
      <c r="B76" s="28"/>
      <c r="C76" s="29" t="s">
        <v>15</v>
      </c>
      <c r="D76" s="29"/>
      <c r="E76" s="29"/>
      <c r="F76" s="29"/>
      <c r="G76" s="71" t="s">
        <v>111</v>
      </c>
      <c r="H76" s="57"/>
      <c r="I76" s="11">
        <f>I77</f>
        <v>306.62469173453093</v>
      </c>
      <c r="J76" s="11">
        <f>J77</f>
        <v>6439.1185264251499</v>
      </c>
      <c r="K76" s="33"/>
      <c r="L76" s="33"/>
      <c r="M76" s="12">
        <f>H76+J76+L76</f>
        <v>6439.1185264251499</v>
      </c>
      <c r="N76" s="57"/>
      <c r="O76" s="11">
        <f>O77</f>
        <v>249.01804743696803</v>
      </c>
      <c r="P76" s="11">
        <f t="shared" ref="P76" si="120">P77</f>
        <v>5229.3789961763287</v>
      </c>
      <c r="Q76" s="33"/>
      <c r="R76" s="33"/>
      <c r="S76" s="12">
        <f t="shared" si="112"/>
        <v>5229.3789961763287</v>
      </c>
      <c r="T76" s="93"/>
      <c r="U76" s="11">
        <f>U77</f>
        <v>244.10474185825638</v>
      </c>
      <c r="V76" s="11">
        <f>V77</f>
        <v>5126.1995790233841</v>
      </c>
      <c r="W76" s="92"/>
      <c r="X76" s="92"/>
      <c r="Y76" s="12">
        <f t="shared" ref="Y76:Y79" si="121">T76+V76+X76</f>
        <v>5126.1995790233841</v>
      </c>
      <c r="Z76" s="93"/>
      <c r="AA76" s="11">
        <f>AA77</f>
        <v>192.73702809272552</v>
      </c>
      <c r="AB76" s="11">
        <f>AB77</f>
        <v>4047.4775899472361</v>
      </c>
      <c r="AC76" s="92"/>
      <c r="AD76" s="92"/>
      <c r="AE76" s="12">
        <f>Z76+AB76+AD76</f>
        <v>4047.4775899472361</v>
      </c>
      <c r="AF76" s="93"/>
      <c r="AG76" s="11">
        <f>AG77</f>
        <v>189.20410675657982</v>
      </c>
      <c r="AH76" s="11">
        <f>AH77</f>
        <v>3973.2862418881764</v>
      </c>
      <c r="AI76" s="92"/>
      <c r="AJ76" s="92"/>
      <c r="AK76" s="12">
        <f>AF76+AH76+AJ76</f>
        <v>3973.2862418881764</v>
      </c>
    </row>
    <row r="77" spans="2:37" ht="12" customHeight="1" x14ac:dyDescent="0.2">
      <c r="B77" s="28"/>
      <c r="C77" s="29"/>
      <c r="D77" s="29" t="s">
        <v>14</v>
      </c>
      <c r="E77" s="29"/>
      <c r="F77" s="29"/>
      <c r="G77" s="71" t="s">
        <v>110</v>
      </c>
      <c r="H77" s="57"/>
      <c r="I77" s="11">
        <v>306.62469173453093</v>
      </c>
      <c r="J77" s="11">
        <f>I77*21</f>
        <v>6439.1185264251499</v>
      </c>
      <c r="K77" s="33"/>
      <c r="L77" s="33"/>
      <c r="M77" s="12">
        <f t="shared" ref="M77:M82" si="122">H77+J77+L77</f>
        <v>6439.1185264251499</v>
      </c>
      <c r="N77" s="57"/>
      <c r="O77" s="125">
        <v>249.01804743696803</v>
      </c>
      <c r="P77" s="13">
        <f>O77*21</f>
        <v>5229.3789961763287</v>
      </c>
      <c r="Q77" s="33"/>
      <c r="R77" s="33"/>
      <c r="S77" s="12">
        <f t="shared" si="112"/>
        <v>5229.3789961763287</v>
      </c>
      <c r="T77" s="93"/>
      <c r="U77" s="11">
        <v>244.10474185825638</v>
      </c>
      <c r="V77" s="11">
        <f>U77*21</f>
        <v>5126.1995790233841</v>
      </c>
      <c r="W77" s="92"/>
      <c r="X77" s="92"/>
      <c r="Y77" s="12">
        <f t="shared" si="121"/>
        <v>5126.1995790233841</v>
      </c>
      <c r="Z77" s="93"/>
      <c r="AA77" s="11">
        <v>192.73702809272552</v>
      </c>
      <c r="AB77" s="11">
        <f>AA77*21</f>
        <v>4047.4775899472361</v>
      </c>
      <c r="AC77" s="92"/>
      <c r="AD77" s="92"/>
      <c r="AE77" s="12">
        <f t="shared" ref="AE77:AE81" si="123">Z77+AB77+AD77</f>
        <v>4047.4775899472361</v>
      </c>
      <c r="AF77" s="93"/>
      <c r="AG77" s="11">
        <v>189.20410675657982</v>
      </c>
      <c r="AH77" s="11">
        <f>AG77*21</f>
        <v>3973.2862418881764</v>
      </c>
      <c r="AI77" s="92"/>
      <c r="AJ77" s="92"/>
      <c r="AK77" s="12">
        <f t="shared" ref="AK77:AK81" si="124">AF77+AH77+AJ77</f>
        <v>3973.2862418881764</v>
      </c>
    </row>
    <row r="78" spans="2:37" ht="12" customHeight="1" x14ac:dyDescent="0.2">
      <c r="B78" s="28"/>
      <c r="C78" s="29" t="s">
        <v>13</v>
      </c>
      <c r="D78" s="29"/>
      <c r="E78" s="29"/>
      <c r="F78" s="29"/>
      <c r="G78" s="71" t="s">
        <v>12</v>
      </c>
      <c r="H78" s="57"/>
      <c r="I78" s="11">
        <f>I79+I80</f>
        <v>126.34608815680113</v>
      </c>
      <c r="J78" s="11">
        <f t="shared" ref="J78:L78" si="125">J79+J80</f>
        <v>2653.2678512928237</v>
      </c>
      <c r="K78" s="11">
        <f t="shared" si="125"/>
        <v>1.8946667761999996</v>
      </c>
      <c r="L78" s="11">
        <f t="shared" si="125"/>
        <v>587.34670062199984</v>
      </c>
      <c r="M78" s="12">
        <f t="shared" si="122"/>
        <v>3240.6145519148236</v>
      </c>
      <c r="N78" s="57"/>
      <c r="O78" s="11">
        <f>O79+O80</f>
        <v>80.024122595764879</v>
      </c>
      <c r="P78" s="11">
        <f t="shared" ref="P78:R78" si="126">P79+P80</f>
        <v>1680.5065745110624</v>
      </c>
      <c r="Q78" s="11">
        <f t="shared" si="126"/>
        <v>1.8529602409999999</v>
      </c>
      <c r="R78" s="11">
        <f t="shared" si="126"/>
        <v>574.41767470999991</v>
      </c>
      <c r="S78" s="12">
        <f>N78+P78+R78</f>
        <v>2254.9242492210624</v>
      </c>
      <c r="T78" s="93"/>
      <c r="U78" s="11">
        <f>U79+U80</f>
        <v>58.793035954869779</v>
      </c>
      <c r="V78" s="11">
        <f t="shared" ref="V78:X78" si="127">V79+V80</f>
        <v>1234.6537550522653</v>
      </c>
      <c r="W78" s="11">
        <f t="shared" si="127"/>
        <v>1.8115216655234283</v>
      </c>
      <c r="X78" s="11">
        <f t="shared" si="127"/>
        <v>561.57171631226277</v>
      </c>
      <c r="Y78" s="12">
        <f t="shared" si="121"/>
        <v>1796.2254713645279</v>
      </c>
      <c r="Z78" s="93"/>
      <c r="AA78" s="11">
        <f>AA79+AA80</f>
        <v>85.318273893482811</v>
      </c>
      <c r="AB78" s="11">
        <f t="shared" ref="AB78:AD78" si="128">AB79+AB80</f>
        <v>1791.6837517631393</v>
      </c>
      <c r="AC78" s="11">
        <f t="shared" si="128"/>
        <v>1.7099827000457142</v>
      </c>
      <c r="AD78" s="11">
        <f t="shared" si="128"/>
        <v>530.09463701417144</v>
      </c>
      <c r="AE78" s="12">
        <f t="shared" si="123"/>
        <v>2321.7783887773107</v>
      </c>
      <c r="AF78" s="93"/>
      <c r="AG78" s="11">
        <f>AG79+AG80</f>
        <v>70.184409069006549</v>
      </c>
      <c r="AH78" s="11">
        <f t="shared" ref="AH78:AJ78" si="129">AH79+AH80</f>
        <v>1473.8725904491375</v>
      </c>
      <c r="AI78" s="11">
        <f t="shared" si="129"/>
        <v>1.6</v>
      </c>
      <c r="AJ78" s="11">
        <f t="shared" si="129"/>
        <v>496</v>
      </c>
      <c r="AK78" s="12">
        <f t="shared" si="124"/>
        <v>1969.8725904491375</v>
      </c>
    </row>
    <row r="79" spans="2:37" ht="12" customHeight="1" x14ac:dyDescent="0.2">
      <c r="B79" s="28"/>
      <c r="C79" s="29"/>
      <c r="D79" s="29" t="s">
        <v>11</v>
      </c>
      <c r="E79" s="29"/>
      <c r="F79" s="29"/>
      <c r="G79" s="71" t="s">
        <v>10</v>
      </c>
      <c r="H79" s="57"/>
      <c r="I79" s="154">
        <v>39.237586621690447</v>
      </c>
      <c r="J79" s="11">
        <f>I79*21</f>
        <v>823.98931905549944</v>
      </c>
      <c r="K79" s="33"/>
      <c r="L79" s="33"/>
      <c r="M79" s="12">
        <f t="shared" si="122"/>
        <v>823.98931905549944</v>
      </c>
      <c r="N79" s="57"/>
      <c r="O79" s="125">
        <v>36.810292305447746</v>
      </c>
      <c r="P79" s="13">
        <f>O79*21</f>
        <v>773.01613841440269</v>
      </c>
      <c r="Q79" s="33"/>
      <c r="R79" s="33"/>
      <c r="S79" s="12">
        <f t="shared" si="112"/>
        <v>773.01613841440269</v>
      </c>
      <c r="T79" s="93"/>
      <c r="U79" s="11">
        <v>17.787778184110302</v>
      </c>
      <c r="V79" s="11">
        <f>U79*21</f>
        <v>373.54334186631633</v>
      </c>
      <c r="W79" s="92"/>
      <c r="X79" s="92"/>
      <c r="Y79" s="12">
        <f t="shared" si="121"/>
        <v>373.54334186631633</v>
      </c>
      <c r="Z79" s="93"/>
      <c r="AA79" s="11">
        <v>14.525505959320347</v>
      </c>
      <c r="AB79" s="11">
        <f>AA79*21</f>
        <v>305.03562514572729</v>
      </c>
      <c r="AC79" s="92"/>
      <c r="AD79" s="92"/>
      <c r="AE79" s="12">
        <f t="shared" si="123"/>
        <v>305.03562514572729</v>
      </c>
      <c r="AF79" s="93"/>
      <c r="AG79" s="11">
        <v>15.897651845068125</v>
      </c>
      <c r="AH79" s="11">
        <f>AG79*21</f>
        <v>333.85068874643065</v>
      </c>
      <c r="AI79" s="92"/>
      <c r="AJ79" s="92"/>
      <c r="AK79" s="12">
        <f t="shared" si="124"/>
        <v>333.85068874643065</v>
      </c>
    </row>
    <row r="80" spans="2:37" ht="12" customHeight="1" x14ac:dyDescent="0.2">
      <c r="B80" s="28"/>
      <c r="C80" s="29"/>
      <c r="D80" s="29" t="s">
        <v>9</v>
      </c>
      <c r="E80" s="29"/>
      <c r="F80" s="29"/>
      <c r="G80" s="71" t="s">
        <v>8</v>
      </c>
      <c r="H80" s="57"/>
      <c r="I80" s="11">
        <f>I81+I82</f>
        <v>87.108501535110676</v>
      </c>
      <c r="J80" s="11">
        <f t="shared" ref="J80:L80" si="130">J81+J82</f>
        <v>1829.2785322373243</v>
      </c>
      <c r="K80" s="11">
        <f t="shared" si="130"/>
        <v>1.8946667761999996</v>
      </c>
      <c r="L80" s="11">
        <f t="shared" si="130"/>
        <v>587.34670062199984</v>
      </c>
      <c r="M80" s="12">
        <f t="shared" si="122"/>
        <v>2416.6252328593241</v>
      </c>
      <c r="N80" s="57"/>
      <c r="O80" s="11">
        <f>O81+O82</f>
        <v>43.213830290317134</v>
      </c>
      <c r="P80" s="11">
        <f t="shared" ref="P80:R80" si="131">P81+P82</f>
        <v>907.49043609665978</v>
      </c>
      <c r="Q80" s="11">
        <f t="shared" si="131"/>
        <v>1.8529602409999999</v>
      </c>
      <c r="R80" s="11">
        <f t="shared" si="131"/>
        <v>574.41767470999991</v>
      </c>
      <c r="S80" s="12">
        <f>N80+P80+R80</f>
        <v>1481.9081108066598</v>
      </c>
      <c r="T80" s="93"/>
      <c r="U80" s="11">
        <f>U81+U82</f>
        <v>41.005257770759478</v>
      </c>
      <c r="V80" s="11">
        <f t="shared" ref="V80:X80" si="132">V81+V82</f>
        <v>861.11041318594903</v>
      </c>
      <c r="W80" s="11">
        <f t="shared" si="132"/>
        <v>1.8115216655234283</v>
      </c>
      <c r="X80" s="11">
        <f t="shared" si="132"/>
        <v>561.57171631226277</v>
      </c>
      <c r="Y80" s="12">
        <f>T80+V80+X80</f>
        <v>1422.6821294982119</v>
      </c>
      <c r="Z80" s="93"/>
      <c r="AA80" s="11">
        <f>AA81+AA82</f>
        <v>70.79276793416247</v>
      </c>
      <c r="AB80" s="11">
        <f t="shared" ref="AB80:AD80" si="133">AB81+AB82</f>
        <v>1486.6481266174119</v>
      </c>
      <c r="AC80" s="11">
        <f t="shared" si="133"/>
        <v>1.7099827000457142</v>
      </c>
      <c r="AD80" s="11">
        <f t="shared" si="133"/>
        <v>530.09463701417144</v>
      </c>
      <c r="AE80" s="12">
        <f t="shared" si="123"/>
        <v>2016.7427636315833</v>
      </c>
      <c r="AF80" s="93"/>
      <c r="AG80" s="11">
        <f>AG81+AG82</f>
        <v>54.286757223938423</v>
      </c>
      <c r="AH80" s="11">
        <f t="shared" ref="AH80:AJ80" si="134">AH81+AH82</f>
        <v>1140.0219017027068</v>
      </c>
      <c r="AI80" s="11">
        <v>1.6</v>
      </c>
      <c r="AJ80" s="11">
        <f t="shared" si="134"/>
        <v>496</v>
      </c>
      <c r="AK80" s="12">
        <f>AK81+AK82</f>
        <v>1636.0219017027068</v>
      </c>
    </row>
    <row r="81" spans="2:37" ht="12" customHeight="1" x14ac:dyDescent="0.2">
      <c r="B81" s="28"/>
      <c r="C81" s="29"/>
      <c r="D81" s="29"/>
      <c r="E81" s="29" t="s">
        <v>7</v>
      </c>
      <c r="F81" s="29"/>
      <c r="G81" s="71" t="s">
        <v>6</v>
      </c>
      <c r="H81" s="57"/>
      <c r="I81" s="154">
        <v>87.108501535110676</v>
      </c>
      <c r="J81" s="11">
        <f>I81*21</f>
        <v>1829.2785322373243</v>
      </c>
      <c r="K81" s="33"/>
      <c r="L81" s="33"/>
      <c r="M81" s="12">
        <f t="shared" si="122"/>
        <v>1829.2785322373243</v>
      </c>
      <c r="N81" s="57"/>
      <c r="O81" s="125">
        <v>43.213830290317134</v>
      </c>
      <c r="P81" s="13">
        <f>O81*21</f>
        <v>907.49043609665978</v>
      </c>
      <c r="Q81" s="33"/>
      <c r="R81" s="33"/>
      <c r="S81" s="12">
        <f t="shared" ref="S81:S82" si="135">N81+P81+R81</f>
        <v>907.49043609665978</v>
      </c>
      <c r="T81" s="93"/>
      <c r="U81" s="11">
        <v>41.005257770759478</v>
      </c>
      <c r="V81" s="11">
        <f>U81*21</f>
        <v>861.11041318594903</v>
      </c>
      <c r="W81" s="92"/>
      <c r="X81" s="92"/>
      <c r="Y81" s="12">
        <f>T81+V81+X81</f>
        <v>861.11041318594903</v>
      </c>
      <c r="Z81" s="93"/>
      <c r="AA81" s="11">
        <v>70.79276793416247</v>
      </c>
      <c r="AB81" s="11">
        <f>AA81*21</f>
        <v>1486.6481266174119</v>
      </c>
      <c r="AC81" s="92"/>
      <c r="AD81" s="92"/>
      <c r="AE81" s="12">
        <f t="shared" si="123"/>
        <v>1486.6481266174119</v>
      </c>
      <c r="AF81" s="93"/>
      <c r="AG81" s="11">
        <v>54.286757223938423</v>
      </c>
      <c r="AH81" s="11">
        <f>AG81*21</f>
        <v>1140.0219017027068</v>
      </c>
      <c r="AI81" s="92"/>
      <c r="AJ81" s="92"/>
      <c r="AK81" s="12">
        <f t="shared" si="124"/>
        <v>1140.0219017027068</v>
      </c>
    </row>
    <row r="82" spans="2:37" ht="12" customHeight="1" thickBot="1" x14ac:dyDescent="0.25">
      <c r="B82" s="30"/>
      <c r="C82" s="31"/>
      <c r="D82" s="31"/>
      <c r="E82" s="31" t="s">
        <v>5</v>
      </c>
      <c r="F82" s="31"/>
      <c r="G82" s="72" t="s">
        <v>112</v>
      </c>
      <c r="H82" s="58"/>
      <c r="I82" s="38"/>
      <c r="J82" s="38"/>
      <c r="K82" s="39">
        <v>1.8946667761999996</v>
      </c>
      <c r="L82" s="39">
        <f>K82*310</f>
        <v>587.34670062199984</v>
      </c>
      <c r="M82" s="40">
        <f t="shared" si="122"/>
        <v>587.34670062199984</v>
      </c>
      <c r="N82" s="58"/>
      <c r="O82" s="38"/>
      <c r="P82" s="38"/>
      <c r="Q82" s="155">
        <v>1.8529602409999999</v>
      </c>
      <c r="R82" s="49">
        <f>Q82*310</f>
        <v>574.41767470999991</v>
      </c>
      <c r="S82" s="40">
        <f t="shared" si="135"/>
        <v>574.41767470999991</v>
      </c>
      <c r="T82" s="103"/>
      <c r="U82" s="95"/>
      <c r="V82" s="95"/>
      <c r="W82" s="39">
        <v>1.8115216655234283</v>
      </c>
      <c r="X82" s="39">
        <f>W82*310</f>
        <v>561.57171631226277</v>
      </c>
      <c r="Y82" s="40">
        <f>T82+V82+X82</f>
        <v>561.57171631226277</v>
      </c>
      <c r="Z82" s="103"/>
      <c r="AA82" s="95"/>
      <c r="AB82" s="95"/>
      <c r="AC82" s="39">
        <v>1.7099827000457142</v>
      </c>
      <c r="AD82" s="39">
        <f>AC82*310</f>
        <v>530.09463701417144</v>
      </c>
      <c r="AE82" s="40">
        <f>Z824+AB82+AD82</f>
        <v>530.09463701417144</v>
      </c>
      <c r="AF82" s="103"/>
      <c r="AG82" s="95"/>
      <c r="AH82" s="95"/>
      <c r="AI82" s="39">
        <v>1.6</v>
      </c>
      <c r="AJ82" s="39">
        <f>AI82*310</f>
        <v>496</v>
      </c>
      <c r="AK82" s="40">
        <f>AF82+AH82+AJ82</f>
        <v>496</v>
      </c>
    </row>
    <row r="83" spans="2:37" s="3" customFormat="1" ht="15.75" customHeight="1" thickBot="1" x14ac:dyDescent="0.25">
      <c r="B83" s="160" t="s">
        <v>4</v>
      </c>
      <c r="C83" s="161"/>
      <c r="D83" s="161"/>
      <c r="E83" s="161"/>
      <c r="F83" s="161"/>
      <c r="G83" s="161"/>
      <c r="H83" s="52">
        <f t="shared" ref="H83:AK83" si="136">H11+H39+H54+H61+H75</f>
        <v>126083.14610410886</v>
      </c>
      <c r="I83" s="52">
        <f t="shared" si="136"/>
        <v>1207.2608663930978</v>
      </c>
      <c r="J83" s="52">
        <f t="shared" si="136"/>
        <v>25352.478194255054</v>
      </c>
      <c r="K83" s="52">
        <f t="shared" si="136"/>
        <v>52.240952770488931</v>
      </c>
      <c r="L83" s="52">
        <f t="shared" si="136"/>
        <v>16194.695358851568</v>
      </c>
      <c r="M83" s="53">
        <f t="shared" si="136"/>
        <v>167630.31965721547</v>
      </c>
      <c r="N83" s="52">
        <f t="shared" si="136"/>
        <v>113773.7222422362</v>
      </c>
      <c r="O83" s="52">
        <f t="shared" si="136"/>
        <v>1093.0877073475863</v>
      </c>
      <c r="P83" s="52">
        <f t="shared" si="136"/>
        <v>22954.841854299313</v>
      </c>
      <c r="Q83" s="52">
        <f t="shared" si="136"/>
        <v>50.359034038570044</v>
      </c>
      <c r="R83" s="52">
        <f t="shared" si="136"/>
        <v>15611.300551956712</v>
      </c>
      <c r="S83" s="53">
        <f t="shared" si="136"/>
        <v>152339.86464849225</v>
      </c>
      <c r="T83" s="52">
        <f t="shared" si="136"/>
        <v>44477.976357218475</v>
      </c>
      <c r="U83" s="52">
        <f t="shared" si="136"/>
        <v>1024.0882926868137</v>
      </c>
      <c r="V83" s="52">
        <f t="shared" si="136"/>
        <v>21505.854146423088</v>
      </c>
      <c r="W83" s="52">
        <f t="shared" si="136"/>
        <v>49.427106762896216</v>
      </c>
      <c r="X83" s="52">
        <f t="shared" si="136"/>
        <v>15322.403096497826</v>
      </c>
      <c r="Y83" s="53">
        <f t="shared" si="136"/>
        <v>81306.2336001394</v>
      </c>
      <c r="Z83" s="112">
        <f t="shared" si="136"/>
        <v>30481.800330592752</v>
      </c>
      <c r="AA83" s="113">
        <f t="shared" si="136"/>
        <v>977.29521779659194</v>
      </c>
      <c r="AB83" s="113">
        <f t="shared" si="136"/>
        <v>20523.199573728434</v>
      </c>
      <c r="AC83" s="113">
        <f t="shared" si="136"/>
        <v>44.19691043872939</v>
      </c>
      <c r="AD83" s="113">
        <f t="shared" si="136"/>
        <v>13701.042236006111</v>
      </c>
      <c r="AE83" s="114">
        <f t="shared" si="136"/>
        <v>64706.042140327299</v>
      </c>
      <c r="AF83" s="112">
        <f t="shared" si="136"/>
        <v>28889.430844968014</v>
      </c>
      <c r="AG83" s="113">
        <f t="shared" si="136"/>
        <v>959.32866682021313</v>
      </c>
      <c r="AH83" s="113">
        <f t="shared" si="136"/>
        <v>20145.902003224477</v>
      </c>
      <c r="AI83" s="113">
        <f t="shared" si="136"/>
        <v>43.184758566917083</v>
      </c>
      <c r="AJ83" s="113">
        <f t="shared" si="136"/>
        <v>13387.275155744295</v>
      </c>
      <c r="AK83" s="114">
        <f t="shared" si="136"/>
        <v>62422.608003936781</v>
      </c>
    </row>
    <row r="84" spans="2:37" ht="8.25" customHeight="1" x14ac:dyDescent="0.2"/>
  </sheetData>
  <mergeCells count="27">
    <mergeCell ref="B2:M2"/>
    <mergeCell ref="B4:D4"/>
    <mergeCell ref="E4:S4"/>
    <mergeCell ref="Z6:AE6"/>
    <mergeCell ref="Z7:AE7"/>
    <mergeCell ref="N6:S6"/>
    <mergeCell ref="N7:S7"/>
    <mergeCell ref="AA9:AB9"/>
    <mergeCell ref="AC9:AD9"/>
    <mergeCell ref="AF6:AK6"/>
    <mergeCell ref="AF7:AK7"/>
    <mergeCell ref="AG9:AH9"/>
    <mergeCell ref="AI9:AJ9"/>
    <mergeCell ref="O9:P9"/>
    <mergeCell ref="Q9:R9"/>
    <mergeCell ref="T6:Y6"/>
    <mergeCell ref="T7:Y7"/>
    <mergeCell ref="U9:V9"/>
    <mergeCell ref="W9:X9"/>
    <mergeCell ref="I9:J9"/>
    <mergeCell ref="K9:L9"/>
    <mergeCell ref="B83:G83"/>
    <mergeCell ref="H6:M6"/>
    <mergeCell ref="H7:M7"/>
    <mergeCell ref="B6:G7"/>
    <mergeCell ref="B9:F10"/>
    <mergeCell ref="G9:G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 Resumen INGEI 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Milagros Escobar Trujillo</dc:creator>
  <cp:lastModifiedBy>minam</cp:lastModifiedBy>
  <dcterms:created xsi:type="dcterms:W3CDTF">2015-06-05T18:19:34Z</dcterms:created>
  <dcterms:modified xsi:type="dcterms:W3CDTF">2020-04-01T03:45:25Z</dcterms:modified>
</cp:coreProperties>
</file>