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3.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4.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5.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ersons/person.xml" ContentType="application/vnd.ms-excel.person+xml"/>
  <Override PartName="/xl/threadedComments/threadedComment1.xml" ContentType="application/vnd.ms-excel.threadedcomment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style16.xml" ContentType="application/vnd.ms-office.chartstyle+xml"/>
  <Override PartName="/xl/charts/colors16.xml" ContentType="application/vnd.ms-office.chartcolorstyle+xml"/>
  <Override PartName="/xl/charts/style17.xml" ContentType="application/vnd.ms-office.chartstyle+xml"/>
  <Override PartName="/xl/charts/colors17.xml" ContentType="application/vnd.ms-office.chartcolorstyle+xml"/>
  <Override PartName="/xl/charts/style18.xml" ContentType="application/vnd.ms-office.chartstyle+xml"/>
  <Override PartName="/xl/charts/colors18.xml" ContentType="application/vnd.ms-office.chartcolorstyle+xml"/>
  <Override PartName="/xl/charts/style19.xml" ContentType="application/vnd.ms-office.chartstyle+xml"/>
  <Override PartName="/xl/charts/colors19.xml" ContentType="application/vnd.ms-office.chartcolorstyle+xml"/>
  <Override PartName="/xl/charts/style20.xml" ContentType="application/vnd.ms-office.chartstyle+xml"/>
  <Override PartName="/xl/charts/colors20.xml" ContentType="application/vnd.ms-office.chartcolorstyle+xml"/>
  <Override PartName="/xl/charts/style21.xml" ContentType="application/vnd.ms-office.chartstyle+xml"/>
  <Override PartName="/xl/charts/colors21.xml" ContentType="application/vnd.ms-office.chartcolorstyle+xml"/>
  <Override PartName="/xl/charts/style22.xml" ContentType="application/vnd.ms-office.chartstyle+xml"/>
  <Override PartName="/xl/charts/colors22.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131"/>
  <workbookPr/>
  <bookViews>
    <workbookView xWindow="20370" yWindow="65416" windowWidth="29040" windowHeight="15840" tabRatio="880" firstSheet="27" activeTab="32"/>
  </bookViews>
  <sheets>
    <sheet name="Instrucciones" sheetId="46" r:id="rId1"/>
    <sheet name="Características datos" sheetId="49" r:id="rId2"/>
    <sheet name="3A1_3A2_3C6 INFO BASE" sheetId="12" r:id="rId3"/>
    <sheet name="3C1 INFO BASE" sheetId="11" r:id="rId4"/>
    <sheet name="3C2 INFO BASE" sheetId="10" r:id="rId5"/>
    <sheet name="3C3 INFO BASE" sheetId="9" r:id="rId6"/>
    <sheet name="3C4_3C5 INFO BASE" sheetId="8" r:id="rId7"/>
    <sheet name="3C7 INFO BASE" sheetId="39" r:id="rId8"/>
    <sheet name="3A1_3A2_3C6 INFO PROC" sheetId="20" r:id="rId9"/>
    <sheet name="3C1 INFO PROC" sheetId="19" r:id="rId10"/>
    <sheet name="3C2 INFO PROC" sheetId="18" r:id="rId11"/>
    <sheet name="3C3 INFO PROC" sheetId="17" r:id="rId12"/>
    <sheet name="3C4_3C5 INFO PROC" sheetId="16" r:id="rId13"/>
    <sheet name="3C7 INFO PROC" sheetId="40" r:id="rId14"/>
    <sheet name="FACTORES DE CONVERSIÓN" sheetId="3" r:id="rId15"/>
    <sheet name="3A1_3A2 FACTORES DE EMISIÓN" sheetId="27" r:id="rId16"/>
    <sheet name="3C1 FACTORES DE EMISIÓN" sheetId="26" r:id="rId17"/>
    <sheet name="3C2 FACTORES DE EMISIÓN" sheetId="25" r:id="rId18"/>
    <sheet name="3C3 FACTORES DE EMISIÓN" sheetId="24" r:id="rId19"/>
    <sheet name="3C4 FACTORES DE EMISIÓN" sheetId="23" r:id="rId20"/>
    <sheet name="3C5 FACTORES DE EMISIÓN" sheetId="22" r:id="rId21"/>
    <sheet name="3C6 FACTORES DE EMISIÓN" sheetId="21" r:id="rId22"/>
    <sheet name="3C7 FACTORES DE EMISIÓN" sheetId="41" r:id="rId23"/>
    <sheet name="3A1 EMISIONES T1_3A2 " sheetId="38" r:id="rId24"/>
    <sheet name="3A1 EMISIONES T2" sheetId="43" r:id="rId25"/>
    <sheet name="3C1 EMISIONES" sheetId="33" r:id="rId26"/>
    <sheet name="3C2 EMISIONES" sheetId="32" r:id="rId27"/>
    <sheet name="3C3 EMISIONES" sheetId="31" r:id="rId28"/>
    <sheet name="3C4 EMISIONES" sheetId="30" r:id="rId29"/>
    <sheet name="3C5 EMISIONES" sheetId="29" r:id="rId30"/>
    <sheet name="3C6 EMISIONES" sheetId="28" r:id="rId31"/>
    <sheet name="3C7 EMISIONES" sheetId="42" r:id="rId32"/>
    <sheet name="RESULTADOS RAGEI 2016" sheetId="44" r:id="rId33"/>
    <sheet name="Recálculos RAGEI anteriores" sheetId="45" r:id="rId34"/>
    <sheet name="Serie Temporal" sheetId="52" r:id="rId35"/>
    <sheet name="Comparación GL1996 vs GL2006" sheetId="48" r:id="rId36"/>
    <sheet name="Incertidumbre" sheetId="51" r:id="rId37"/>
    <sheet name="Valores de incertidumbre" sheetId="50" r:id="rId38"/>
  </sheets>
  <externalReferences>
    <externalReference r:id="rId41"/>
    <externalReference r:id="rId42"/>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comments13.xml><?xml version="1.0" encoding="utf-8"?>
<comments xmlns="http://schemas.openxmlformats.org/spreadsheetml/2006/main">
  <authors>
    <author>Angelica Busso</author>
  </authors>
  <commentList>
    <comment ref="E51" authorId="0">
      <text>
        <r>
          <rPr>
            <sz val="9"/>
            <rFont val="Tahoma"/>
            <family val="2"/>
          </rPr>
          <t>No se tienen valores para construcción</t>
        </r>
      </text>
    </comment>
    <comment ref="D172" authorId="0">
      <text>
        <r>
          <rPr>
            <sz val="9"/>
            <rFont val="Tahoma"/>
            <family val="2"/>
          </rPr>
          <t>= Superf. Suelos orgánicos (ha/año) * Rep. de fertilidad (%)</t>
        </r>
      </text>
    </comment>
  </commentList>
</comments>
</file>

<file path=xl/comments15.xml><?xml version="1.0" encoding="utf-8"?>
<comments xmlns="http://schemas.openxmlformats.org/spreadsheetml/2006/main">
  <authors>
    <author>Angelica Busso</author>
    <author>PC</author>
    <author>tc={10662C36-5E89-4141-BE85-D25F022B9EBA}</author>
  </authors>
  <commentList>
    <comment ref="C34" authorId="0">
      <text>
        <r>
          <rPr>
            <sz val="9"/>
            <rFont val="Tahoma"/>
            <family val="2"/>
          </rPr>
          <t>MINAGRI no cuantifica la población de codornices en sus estadísticas.</t>
        </r>
      </text>
    </comment>
    <comment ref="B54" authorId="1">
      <text>
        <r>
          <rPr>
            <sz val="9"/>
            <rFont val="Tahoma"/>
            <family val="2"/>
          </rPr>
          <t>El valor varia de 1.0296 a 1.034</t>
        </r>
      </text>
    </comment>
    <comment ref="A64" authorId="1">
      <text>
        <r>
          <rPr>
            <sz val="9"/>
            <rFont val="Tahoma"/>
            <family val="2"/>
          </rPr>
          <t xml:space="preserve"> (edad media entre nacimiento y destete)</t>
        </r>
      </text>
    </comment>
    <comment ref="A74" authorId="1">
      <text>
        <r>
          <rPr>
            <sz val="9"/>
            <rFont val="Tahoma"/>
            <family val="2"/>
          </rPr>
          <t>(edad media entre nacimiento y destete)</t>
        </r>
      </text>
    </comment>
    <comment ref="A84" authorId="1">
      <text>
        <r>
          <rPr>
            <sz val="9"/>
            <rFont val="Tahoma"/>
            <family val="2"/>
          </rPr>
          <t xml:space="preserve"> (edad media entre nacimiento y destete)</t>
        </r>
      </text>
    </comment>
    <comment ref="A99" authorId="1">
      <text>
        <r>
          <rPr>
            <sz val="9"/>
            <rFont val="Tahoma"/>
            <family val="2"/>
          </rPr>
          <t xml:space="preserve"> (edad media entre nacimiento y destete)</t>
        </r>
      </text>
    </comment>
    <comment ref="C117" authorId="0">
      <text>
        <r>
          <rPr>
            <sz val="9"/>
            <rFont val="Tahoma"/>
            <family val="2"/>
          </rPr>
          <t>De acuerdo a lo sugerido, debido a que no es razonable usar el mismo YM para vacas lecheras en producción comercial y otro ganado vacuno, por ello se utiliza
Tier 2 para vacas lecheras y Tier 1 para otro ganado vacuno
OM: A pesar de aplicar Tier 2 para fermentación entérica del ganado vacuno, se se han utilizado algunos valores por defecto. Tener en cuenta que en realidad Ym de otro ganado vacuno debería ser mayor, por lo que es recomendable a un futuro obtener un valor país específico (Estudio a nivel de laboratorio)</t>
        </r>
      </text>
    </comment>
    <comment ref="B118" authorId="0">
      <text>
        <r>
          <rPr>
            <sz val="9"/>
            <rFont val="Tahoma"/>
            <family val="2"/>
          </rPr>
          <t>Se ha promediado lo siguiente:
Pastura Cultivada Época Lluviosa 7.7
Pastura Cultivada Época Seca 8.4
Pastura Natural Época Lluviosa 7.4
Pastura Natural Época Seca 8.0</t>
        </r>
      </text>
    </comment>
    <comment ref="C119" authorId="0">
      <text>
        <r>
          <rPr>
            <sz val="9"/>
            <rFont val="Tahoma"/>
            <family val="2"/>
          </rPr>
          <t>Se utilizan las GL 2019, debido a que es un valor mas actual y se adapta mejor a las circunstancias nacionales</t>
        </r>
      </text>
    </comment>
    <comment ref="B146" authorId="0">
      <text>
        <r>
          <rPr>
            <sz val="9"/>
            <rFont val="Tahoma"/>
            <family val="2"/>
          </rPr>
          <t xml:space="preserve">Por Dictamen de Expertos se obtiene lo siguiente:
Pollo 2.85
Gallina 2.95
Pato 3.35
Pavo 10.50
El peso de las aves se obtiene con la representatividad de cada especie de ave, obtenida también por dictamen de expertos
</t>
        </r>
      </text>
    </comment>
    <comment ref="E160" authorId="0">
      <text>
        <r>
          <rPr>
            <sz val="9"/>
            <rFont val="Tahoma"/>
            <family val="2"/>
          </rPr>
          <t>De acuerdo a lo sugerido, se explica la estimación</t>
        </r>
      </text>
    </comment>
    <comment ref="A174" authorId="0">
      <text>
        <r>
          <rPr>
            <sz val="9"/>
            <rFont val="Tahoma"/>
            <family val="2"/>
          </rPr>
          <t>Parte del estiércol que se dispone en praderas y pastizales se utiliza para quema como combustible, una vez que está seco.</t>
        </r>
      </text>
    </comment>
    <comment ref="B174" authorId="0">
      <text>
        <r>
          <rPr>
            <sz val="9"/>
            <rFont val="Tahoma"/>
            <family val="2"/>
          </rPr>
          <t>FRESCO</t>
        </r>
      </text>
    </comment>
    <comment ref="D174" authorId="0">
      <text>
        <r>
          <rPr>
            <sz val="9"/>
            <rFont val="Tahoma"/>
            <family val="2"/>
          </rPr>
          <t>FRESCO
Para abono de cultivos</t>
        </r>
      </text>
    </comment>
    <comment ref="E174" authorId="0">
      <text>
        <r>
          <rPr>
            <sz val="9"/>
            <rFont val="Tahoma"/>
            <family val="2"/>
          </rPr>
          <t>SECO</t>
        </r>
      </text>
    </comment>
    <comment ref="A175" authorId="0">
      <text>
        <r>
          <rPr>
            <sz val="9"/>
            <rFont val="Tahoma"/>
            <family val="2"/>
          </rPr>
          <t>Parte del estiércol que se dispone en praderas y pastizales se utiliza para quema como combustible, una vez que está seco.</t>
        </r>
      </text>
    </comment>
    <comment ref="B175" authorId="0">
      <text>
        <r>
          <rPr>
            <sz val="9"/>
            <rFont val="Tahoma"/>
            <family val="2"/>
          </rPr>
          <t>FRESCO</t>
        </r>
      </text>
    </comment>
    <comment ref="D175" authorId="0">
      <text>
        <r>
          <rPr>
            <sz val="9"/>
            <rFont val="Tahoma"/>
            <family val="2"/>
          </rPr>
          <t>FRESCO
Para abono de cultivos</t>
        </r>
      </text>
    </comment>
    <comment ref="E175" authorId="0">
      <text>
        <r>
          <rPr>
            <sz val="9"/>
            <rFont val="Tahoma"/>
            <family val="2"/>
          </rPr>
          <t>SECO</t>
        </r>
      </text>
    </comment>
    <comment ref="A176" authorId="0">
      <text>
        <r>
          <rPr>
            <sz val="9"/>
            <rFont val="Tahoma"/>
            <family val="2"/>
          </rPr>
          <t>Oportunidad de Mejora:
Identificar si se cría en jaulas, el SME correspondiente sería distribución diaria</t>
        </r>
      </text>
    </comment>
    <comment ref="C203" authorId="0">
      <text>
        <r>
          <rPr>
            <sz val="9"/>
            <rFont val="Tahoma"/>
            <family val="2"/>
          </rPr>
          <t>AGR (T) se refiere a la cantidad total anual de residuos de cultivos sobre el suelo para el cultivo T, kg d.m. año-1
FracBrunt (T) se refiere a la proporción del área de cultivos donde se quema biomasa, líneas arriba</t>
        </r>
      </text>
    </comment>
    <comment ref="C260" authorId="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 curioso que traduzcan slope como declive y no como "pendiente". Se ve que el traductor no sabe estadística!!!</t>
        </r>
      </text>
    </comment>
    <comment ref="A261" authorId="0">
      <text>
        <r>
          <rPr>
            <sz val="9"/>
            <rFont val="Tahoma"/>
            <family val="2"/>
          </rPr>
          <t>valores forrajes no fijadores de N</t>
        </r>
      </text>
    </comment>
    <comment ref="A262" authorId="0">
      <text>
        <r>
          <rPr>
            <sz val="9"/>
            <rFont val="Tahoma"/>
            <family val="2"/>
          </rPr>
          <t>valores arroz y granos</t>
        </r>
      </text>
    </comment>
    <comment ref="A263" authorId="0">
      <text>
        <r>
          <rPr>
            <sz val="9"/>
            <rFont val="Tahoma"/>
            <family val="2"/>
          </rPr>
          <t>valores otros</t>
        </r>
      </text>
    </comment>
    <comment ref="A264" authorId="0">
      <text>
        <r>
          <rPr>
            <sz val="9"/>
            <rFont val="Tahoma"/>
            <family val="2"/>
          </rPr>
          <t>valores maíz</t>
        </r>
      </text>
    </comment>
    <comment ref="A265" authorId="0">
      <text>
        <r>
          <rPr>
            <sz val="9"/>
            <rFont val="Tahoma"/>
            <family val="2"/>
          </rPr>
          <t>valores otros</t>
        </r>
      </text>
    </comment>
    <comment ref="A266" authorId="0">
      <text>
        <r>
          <rPr>
            <sz val="9"/>
            <rFont val="Tahoma"/>
            <family val="2"/>
          </rPr>
          <t>valores granos</t>
        </r>
      </text>
    </comment>
    <comment ref="A267" authorId="0">
      <text>
        <r>
          <rPr>
            <sz val="9"/>
            <rFont val="Tahoma"/>
            <family val="2"/>
          </rPr>
          <t>valores otros</t>
        </r>
      </text>
    </comment>
    <comment ref="A268" authorId="0">
      <text>
        <r>
          <rPr>
            <sz val="9"/>
            <rFont val="Tahoma"/>
            <family val="2"/>
          </rPr>
          <t xml:space="preserve"> valores otros</t>
        </r>
      </text>
    </comment>
    <comment ref="A269" authorId="0">
      <text>
        <r>
          <rPr>
            <sz val="9"/>
            <rFont val="Tahoma"/>
            <family val="2"/>
          </rPr>
          <t>valores otros</t>
        </r>
      </text>
    </comment>
    <comment ref="A270" authorId="0">
      <text>
        <r>
          <rPr>
            <sz val="9"/>
            <rFont val="Tahoma"/>
            <family val="2"/>
          </rPr>
          <t>valores maíz</t>
        </r>
      </text>
    </comment>
    <comment ref="A271" authorId="0">
      <text>
        <r>
          <rPr>
            <sz val="9"/>
            <rFont val="Tahoma"/>
            <family val="2"/>
          </rPr>
          <t>valores otros</t>
        </r>
      </text>
    </comment>
    <comment ref="A272" authorId="0">
      <text>
        <r>
          <rPr>
            <sz val="9"/>
            <rFont val="Tahoma"/>
            <family val="2"/>
          </rPr>
          <t>valores maíz</t>
        </r>
      </text>
    </comment>
    <comment ref="A273" authorId="0">
      <text>
        <r>
          <rPr>
            <sz val="9"/>
            <rFont val="Tahoma"/>
            <family val="2"/>
          </rPr>
          <t>valores otros</t>
        </r>
      </text>
    </comment>
    <comment ref="A274" authorId="0">
      <text>
        <r>
          <rPr>
            <sz val="9"/>
            <rFont val="Tahoma"/>
            <family val="2"/>
          </rPr>
          <t>valores trigo</t>
        </r>
      </text>
    </comment>
    <comment ref="A275" authorId="0">
      <text>
        <r>
          <rPr>
            <sz val="9"/>
            <rFont val="Tahoma"/>
            <family val="2"/>
          </rPr>
          <t>valores cebada</t>
        </r>
      </text>
    </comment>
    <comment ref="A276" authorId="0">
      <text>
        <r>
          <rPr>
            <sz val="9"/>
            <rFont val="Tahoma"/>
            <family val="2"/>
          </rPr>
          <t>valores otros</t>
        </r>
      </text>
    </comment>
    <comment ref="A277" authorId="0">
      <text>
        <r>
          <rPr>
            <sz val="9"/>
            <rFont val="Tahoma"/>
            <family val="2"/>
          </rPr>
          <t>valores granos</t>
        </r>
      </text>
    </comment>
    <comment ref="A278" authorId="0">
      <text>
        <r>
          <rPr>
            <sz val="9"/>
            <rFont val="Tahoma"/>
            <family val="2"/>
          </rPr>
          <t>valores granos</t>
        </r>
      </text>
    </comment>
    <comment ref="A279" authorId="0">
      <text>
        <r>
          <rPr>
            <sz val="9"/>
            <rFont val="Tahoma"/>
            <family val="2"/>
          </rPr>
          <t>valores alubias y alubias y legumbres</t>
        </r>
      </text>
    </comment>
    <comment ref="A280" authorId="0">
      <text>
        <r>
          <rPr>
            <sz val="9"/>
            <rFont val="Tahoma"/>
            <family val="2"/>
          </rPr>
          <t>valores alubias y alubias y legumbres</t>
        </r>
      </text>
    </comment>
    <comment ref="A281" authorId="0">
      <text>
        <r>
          <rPr>
            <sz val="9"/>
            <rFont val="Tahoma"/>
            <family val="2"/>
          </rPr>
          <t>valores alubias y alubias y legumbres</t>
        </r>
      </text>
    </comment>
    <comment ref="A282" authorId="0">
      <text>
        <r>
          <rPr>
            <sz val="9"/>
            <rFont val="Tahoma"/>
            <family val="2"/>
          </rPr>
          <t>valores alubias y alubias y legumbres</t>
        </r>
      </text>
    </comment>
    <comment ref="A283" authorId="0">
      <text>
        <r>
          <rPr>
            <sz val="9"/>
            <rFont val="Tahoma"/>
            <family val="2"/>
          </rPr>
          <t>valores alubias y alubias y legumbres</t>
        </r>
      </text>
    </comment>
    <comment ref="A284" authorId="0">
      <text>
        <r>
          <rPr>
            <sz val="9"/>
            <rFont val="Tahoma"/>
            <family val="2"/>
          </rPr>
          <t>valores alubias y alubias y legumbres</t>
        </r>
      </text>
    </comment>
    <comment ref="A285" authorId="0">
      <text>
        <r>
          <rPr>
            <sz val="9"/>
            <rFont val="Tahoma"/>
            <family val="2"/>
          </rPr>
          <t>valores alubias y alubias y legumbres</t>
        </r>
      </text>
    </comment>
    <comment ref="A286" authorId="0">
      <text>
        <r>
          <rPr>
            <sz val="9"/>
            <rFont val="Tahoma"/>
            <family val="2"/>
          </rPr>
          <t>valores alubias y alubias y legumbres</t>
        </r>
      </text>
    </comment>
    <comment ref="A287" authorId="0">
      <text>
        <r>
          <rPr>
            <sz val="9"/>
            <rFont val="Tahoma"/>
            <family val="2"/>
          </rPr>
          <t>valores alubias y alubias y legumbres</t>
        </r>
      </text>
    </comment>
    <comment ref="A288" authorId="0">
      <text>
        <r>
          <rPr>
            <sz val="9"/>
            <rFont val="Tahoma"/>
            <family val="2"/>
          </rPr>
          <t>valores patatas</t>
        </r>
      </text>
    </comment>
    <comment ref="A289" authorId="0">
      <text>
        <r>
          <rPr>
            <sz val="9"/>
            <rFont val="Tahoma"/>
            <family val="2"/>
          </rPr>
          <t>valores tubérculos</t>
        </r>
      </text>
    </comment>
    <comment ref="A290" authorId="0">
      <text>
        <r>
          <rPr>
            <sz val="9"/>
            <rFont val="Tahoma"/>
            <family val="2"/>
          </rPr>
          <t>valores tubérculos</t>
        </r>
      </text>
    </comment>
    <comment ref="A291" authorId="0">
      <text>
        <r>
          <rPr>
            <sz val="9"/>
            <rFont val="Tahoma"/>
            <family val="2"/>
          </rPr>
          <t>valores alfalfa</t>
        </r>
      </text>
    </comment>
    <comment ref="A292" authorId="0">
      <text>
        <r>
          <rPr>
            <sz val="9"/>
            <rFont val="Tahoma"/>
            <family val="2"/>
          </rPr>
          <t>valores otros</t>
        </r>
      </text>
    </comment>
    <comment ref="A293" authorId="0">
      <text>
        <r>
          <rPr>
            <sz val="9"/>
            <rFont val="Tahoma"/>
            <family val="2"/>
          </rPr>
          <t>valores otros</t>
        </r>
      </text>
    </comment>
    <comment ref="E299" authorId="0">
      <text>
        <r>
          <rPr>
            <sz val="9"/>
            <rFont val="Tahoma"/>
            <family val="2"/>
          </rPr>
          <t>Se colocaron valores del dictamen de expertos, según lo sugerido</t>
        </r>
      </text>
    </comment>
    <comment ref="D368" authorId="0">
      <text>
        <r>
          <rPr>
            <sz val="9"/>
            <rFont val="Tahoma"/>
            <family val="2"/>
          </rPr>
          <t>Referido a barriales (siembra a orillas de los ríos)</t>
        </r>
      </text>
    </comment>
    <comment ref="B372" authorId="0">
      <text>
        <r>
          <rPr>
            <sz val="9"/>
            <rFont val="Tahoma"/>
            <family val="2"/>
          </rPr>
          <t>Se ha calculado el promedio nacional, del dictamen de expertos</t>
        </r>
      </text>
    </comment>
    <comment ref="C372" authorId="0">
      <text>
        <r>
          <rPr>
            <sz val="9"/>
            <rFont val="Tahoma"/>
            <family val="2"/>
          </rPr>
          <t>Se ha calculado el promedio nacional, del dictamen de expertos</t>
        </r>
      </text>
    </comment>
  </commentList>
</comments>
</file>

<file path=xl/comments16.xml><?xml version="1.0" encoding="utf-8"?>
<comments xmlns="http://schemas.openxmlformats.org/spreadsheetml/2006/main">
  <authors>
    <author>Angelica Busso</author>
    <author>PC</author>
  </authors>
  <commentList>
    <comment ref="C3" authorId="0">
      <text>
        <r>
          <rPr>
            <sz val="9"/>
            <rFont val="Tahoma"/>
            <family val="2"/>
          </rPr>
          <t>Se utiliza Nivel 1 para fines de comparación</t>
        </r>
      </text>
    </comment>
    <comment ref="C4" authorId="0">
      <text>
        <r>
          <rPr>
            <sz val="9"/>
            <rFont val="Tahoma"/>
            <family val="2"/>
          </rPr>
          <t>Se utiliza Nivel 1 para fines de comparación</t>
        </r>
      </text>
    </comment>
    <comment ref="C17" authorId="1">
      <text>
        <r>
          <rPr>
            <sz val="9"/>
            <rFont val="Tahoma"/>
            <family val="2"/>
          </rPr>
          <t>Peso corporal vivo y maduro de una hembra adulta en condición corporal moderada, kg</t>
        </r>
      </text>
    </comment>
  </commentList>
</comments>
</file>

<file path=xl/comments24.xml><?xml version="1.0" encoding="utf-8"?>
<comments xmlns="http://schemas.openxmlformats.org/spreadsheetml/2006/main">
  <authors>
    <author>Angelica Busso</author>
  </authors>
  <commentList>
    <comment ref="A10" authorId="0">
      <text>
        <r>
          <rPr>
            <sz val="9"/>
            <rFont val="Tahoma"/>
            <family val="2"/>
          </rPr>
          <t>Tier 1 para fines de comparación</t>
        </r>
      </text>
    </comment>
    <comment ref="A11" authorId="0">
      <text>
        <r>
          <rPr>
            <sz val="9"/>
            <rFont val="Tahoma"/>
            <family val="2"/>
          </rPr>
          <t>Tier 1 para fines de comparación</t>
        </r>
      </text>
    </comment>
    <comment ref="E21" authorId="0">
      <text>
        <r>
          <rPr>
            <sz val="9"/>
            <rFont val="Tahoma"/>
            <family val="2"/>
          </rPr>
          <t>Se excluye de la sumatoria vacunos, para no duplicar la cuantificación, los que son cuantificados con Tier 2 en la siguiente hoja</t>
        </r>
      </text>
    </comment>
    <comment ref="E22" authorId="0">
      <text>
        <r>
          <rPr>
            <sz val="9"/>
            <rFont val="Tahoma"/>
            <family val="2"/>
          </rPr>
          <t>Se coloca valor de sumatoria total para fines de comparación con resultados obtenidos para vacunos conTier 2</t>
        </r>
      </text>
    </comment>
  </commentList>
</comments>
</file>

<file path=xl/comments25.xml><?xml version="1.0" encoding="utf-8"?>
<comments xmlns="http://schemas.openxmlformats.org/spreadsheetml/2006/main">
  <authors>
    <author>PC</author>
    <author>Angelica Busso</author>
  </authors>
  <commentList>
    <comment ref="A14" authorId="0">
      <text>
        <r>
          <rPr>
            <sz val="9"/>
            <rFont val="Tahoma"/>
            <family val="2"/>
          </rPr>
          <t>(edad media entre nacimiento y destete)</t>
        </r>
      </text>
    </comment>
    <comment ref="E15" authorId="1">
      <text>
        <r>
          <rPr>
            <sz val="9"/>
            <rFont val="Tahoma"/>
            <family val="2"/>
          </rPr>
          <t>FE promedio ponderado</t>
        </r>
      </text>
    </comment>
  </commentList>
</comments>
</file>

<file path=xl/comments26.xml><?xml version="1.0" encoding="utf-8"?>
<comments xmlns="http://schemas.openxmlformats.org/spreadsheetml/2006/main">
  <authors>
    <author>Angelica Busso</author>
  </authors>
  <commentList>
    <comment ref="D51" authorId="0">
      <text>
        <r>
          <rPr>
            <sz val="9"/>
            <rFont val="Tahoma"/>
            <family val="2"/>
          </rPr>
          <t>NE</t>
        </r>
      </text>
    </comment>
  </commentList>
</comments>
</file>

<file path=xl/comments27.xml><?xml version="1.0" encoding="utf-8"?>
<comments xmlns="http://schemas.openxmlformats.org/spreadsheetml/2006/main">
  <authors>
    <author>Angelica Busso</author>
  </authors>
  <commentList>
    <comment ref="B10" authorId="0">
      <text>
        <r>
          <rPr>
            <sz val="9"/>
            <rFont val="Tahoma"/>
            <family val="2"/>
          </rPr>
          <t>NE</t>
        </r>
      </text>
    </comment>
    <comment ref="D11" authorId="0">
      <text>
        <r>
          <rPr>
            <sz val="9"/>
            <rFont val="Tahoma"/>
            <family val="2"/>
          </rPr>
          <t>NE</t>
        </r>
      </text>
    </comment>
  </commentList>
</comments>
</file>

<file path=xl/comments29.xml><?xml version="1.0" encoding="utf-8"?>
<comments xmlns="http://schemas.openxmlformats.org/spreadsheetml/2006/main">
  <authors>
    <author>Angelica Busso</author>
  </authors>
  <commentList>
    <comment ref="A10" authorId="0">
      <text>
        <r>
          <rPr>
            <sz val="9"/>
            <rFont val="Tahoma"/>
            <family val="2"/>
          </rPr>
          <t>No se cuenta con información diferenciada de suelos manejados y arroz inundado, por lo que toda la información se ha colocado en suelos manejados
¿cómo se debe proceder?
¿se debe borrar esta celda?</t>
        </r>
      </text>
    </comment>
    <comment ref="D10" authorId="0">
      <text>
        <r>
          <rPr>
            <sz val="9"/>
            <rFont val="Tahoma"/>
            <family val="2"/>
          </rPr>
          <t>Se modificó, excluyendo cultivos de arroz</t>
        </r>
      </text>
    </comment>
    <comment ref="D15" authorId="0">
      <text>
        <r>
          <rPr>
            <sz val="9"/>
            <rFont val="Tahoma"/>
            <family val="2"/>
          </rPr>
          <t>No se calcula porque no es significativo</t>
        </r>
      </text>
    </comment>
    <comment ref="D17" authorId="0">
      <text>
        <r>
          <rPr>
            <sz val="9"/>
            <rFont val="Tahoma"/>
            <family val="2"/>
          </rPr>
          <t>NO
En tierras bajo arroz no hay cambio de uso de suelo ni cambio de gestión</t>
        </r>
      </text>
    </comment>
    <comment ref="C31" authorId="0">
      <text>
        <r>
          <rPr>
            <sz val="9"/>
            <rFont val="Tahoma"/>
            <family val="2"/>
          </rPr>
          <t>NE</t>
        </r>
      </text>
    </comment>
    <comment ref="C32" authorId="0">
      <text>
        <r>
          <rPr>
            <sz val="9"/>
            <rFont val="Tahoma"/>
            <family val="2"/>
          </rPr>
          <t>NE</t>
        </r>
      </text>
    </comment>
    <comment ref="C33" authorId="0">
      <text>
        <r>
          <rPr>
            <sz val="9"/>
            <rFont val="Tahoma"/>
            <family val="2"/>
          </rPr>
          <t>NE</t>
        </r>
      </text>
    </comment>
    <comment ref="C34" authorId="0">
      <text>
        <r>
          <rPr>
            <sz val="9"/>
            <rFont val="Tahoma"/>
            <family val="2"/>
          </rPr>
          <t>NE</t>
        </r>
      </text>
    </comment>
    <comment ref="C35" authorId="0">
      <text>
        <r>
          <rPr>
            <sz val="9"/>
            <rFont val="Tahoma"/>
            <family val="2"/>
          </rPr>
          <t>NE</t>
        </r>
      </text>
    </comment>
  </commentList>
</comments>
</file>

<file path=xl/comments6.xml><?xml version="1.0" encoding="utf-8"?>
<comments xmlns="http://schemas.openxmlformats.org/spreadsheetml/2006/main">
  <authors>
    <author>Angelica Busso</author>
  </authors>
  <commentList>
    <comment ref="B8" authorId="0">
      <text>
        <r>
          <rPr>
            <sz val="9"/>
            <rFont val="Tahoma"/>
            <family val="2"/>
          </rPr>
          <t>No se produce úrea, solo se importa</t>
        </r>
      </text>
    </comment>
  </commentList>
</comments>
</file>

<file path=xl/comments7.xml><?xml version="1.0" encoding="utf-8"?>
<comments xmlns="http://schemas.openxmlformats.org/spreadsheetml/2006/main">
  <authors>
    <author>Angelica Busso</author>
  </authors>
  <commentList>
    <comment ref="B152" authorId="0">
      <text>
        <r>
          <rPr>
            <sz val="9"/>
            <rFont val="Tahoma"/>
            <family val="2"/>
          </rPr>
          <t>OM: Luego se podrán asignar factores de emision por region ya que se conoce productividad y luego ponderar de acuerdo a cantidad de vacas
Para el reporte, es una buena práctica comparar estos valores con los del censo</t>
        </r>
      </text>
    </comment>
  </commentList>
</comments>
</file>

<file path=xl/sharedStrings.xml><?xml version="1.0" encoding="utf-8"?>
<sst xmlns="http://schemas.openxmlformats.org/spreadsheetml/2006/main" count="4897" uniqueCount="1648">
  <si>
    <t>Sector</t>
  </si>
  <si>
    <t>Equation</t>
  </si>
  <si>
    <t>Eq. 10.19 and 10.20</t>
  </si>
  <si>
    <t>T</t>
  </si>
  <si>
    <t>Total</t>
  </si>
  <si>
    <t>3A2</t>
  </si>
  <si>
    <t>[kg N</t>
  </si>
  <si>
    <t>(kg)</t>
  </si>
  <si>
    <t>(-)</t>
  </si>
  <si>
    <t>S</t>
  </si>
  <si>
    <t>TAM</t>
  </si>
  <si>
    <t>1 of 2</t>
  </si>
  <si>
    <t>Equation 2.2</t>
  </si>
  <si>
    <t>(ha)</t>
  </si>
  <si>
    <t>A</t>
  </si>
  <si>
    <t>(a)</t>
  </si>
  <si>
    <t>CO</t>
  </si>
  <si>
    <t>3C1b</t>
  </si>
  <si>
    <t>3C1c</t>
  </si>
  <si>
    <t>Subtotal</t>
  </si>
  <si>
    <t>3C2</t>
  </si>
  <si>
    <t>3C3</t>
  </si>
  <si>
    <t>M</t>
  </si>
  <si>
    <t>EF</t>
  </si>
  <si>
    <t>3C4</t>
  </si>
  <si>
    <t>F</t>
  </si>
  <si>
    <t>CG, Temp</t>
  </si>
  <si>
    <t>CG, Trop</t>
  </si>
  <si>
    <t>F, Temp, NR</t>
  </si>
  <si>
    <t>F, Temp, NP</t>
  </si>
  <si>
    <t>F, Trop</t>
  </si>
  <si>
    <t>CPP</t>
  </si>
  <si>
    <t>SO</t>
  </si>
  <si>
    <t>3C5</t>
  </si>
  <si>
    <t>3C6</t>
  </si>
  <si>
    <t xml:space="preserve">T </t>
  </si>
  <si>
    <t>3C7</t>
  </si>
  <si>
    <t>Equation 5.1</t>
  </si>
  <si>
    <t>Equation 5.2</t>
  </si>
  <si>
    <t>t</t>
  </si>
  <si>
    <t>Sub-total</t>
  </si>
  <si>
    <t>Región</t>
  </si>
  <si>
    <t>Ave</t>
  </si>
  <si>
    <t>Alpaca</t>
  </si>
  <si>
    <t>Llama</t>
  </si>
  <si>
    <t>Caprino</t>
  </si>
  <si>
    <t>Ovino</t>
  </si>
  <si>
    <t>Porcino</t>
  </si>
  <si>
    <t>Vacuno</t>
  </si>
  <si>
    <t>Amazonas</t>
  </si>
  <si>
    <t>Apurímac</t>
  </si>
  <si>
    <t>Arequipa</t>
  </si>
  <si>
    <t>Ayacucho</t>
  </si>
  <si>
    <t>Cajamarca</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</si>
  <si>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</si>
  <si>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</si>
  <si>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</si>
  <si>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</si>
  <si>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</si>
  <si>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</si>
  <si>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</si>
  <si>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</si>
  <si>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</si>
  <si>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</si>
  <si>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</si>
  <si>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</si>
  <si>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</si>
  <si>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</si>
  <si>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</si>
  <si>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</si>
  <si>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</si>
  <si>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</si>
  <si>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Caballos</t>
  </si>
  <si>
    <t>Asnos/mulas</t>
  </si>
  <si>
    <t>Cuyes</t>
  </si>
  <si>
    <t>Vacas en ordeño</t>
  </si>
  <si>
    <t>TOTAL NACIONAL</t>
  </si>
  <si>
    <t>Departamento</t>
  </si>
  <si>
    <t>Áncash</t>
  </si>
  <si>
    <t>Nro.</t>
  </si>
  <si>
    <t>Dato Nacional</t>
  </si>
  <si>
    <t>Fuente</t>
  </si>
  <si>
    <t>vínculo de acceso</t>
  </si>
  <si>
    <t>Fecha de acceso</t>
  </si>
  <si>
    <t>Comentario</t>
  </si>
  <si>
    <t>AMAZONAS</t>
  </si>
  <si>
    <t>ANCASH</t>
  </si>
  <si>
    <t>APURIMAC</t>
  </si>
  <si>
    <t>AREQUIPA</t>
  </si>
  <si>
    <t>AYACUCHO</t>
  </si>
  <si>
    <t>CAJAMARCA</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</si>
  <si>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</si>
  <si>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</si>
  <si>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</si>
  <si>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</si>
  <si>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</si>
  <si>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</si>
  <si>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</si>
  <si>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</si>
  <si>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</si>
  <si>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</si>
  <si>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</si>
  <si>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</si>
  <si>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</si>
  <si>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</si>
  <si>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</si>
  <si>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</si>
  <si>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</si>
  <si>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</si>
  <si>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t/año</t>
  </si>
  <si>
    <t>kg/año</t>
  </si>
  <si>
    <t>kg/día</t>
  </si>
  <si>
    <t>kg/vaca/día</t>
  </si>
  <si>
    <t>l/vaca/día</t>
  </si>
  <si>
    <t>Conversión de unidades</t>
  </si>
  <si>
    <t>Área</t>
  </si>
  <si>
    <t>1 hectárea</t>
  </si>
  <si>
    <t>Masa</t>
  </si>
  <si>
    <t>1 tonelada</t>
  </si>
  <si>
    <t>kg</t>
  </si>
  <si>
    <t>1 kilogramo</t>
  </si>
  <si>
    <t>g</t>
  </si>
  <si>
    <t>Volumen</t>
  </si>
  <si>
    <t>1 centimetro cúbico</t>
  </si>
  <si>
    <t>l</t>
  </si>
  <si>
    <t>Prefijo</t>
  </si>
  <si>
    <t>Simbolo</t>
  </si>
  <si>
    <t xml:space="preserve">Factor </t>
  </si>
  <si>
    <t>deca</t>
  </si>
  <si>
    <t>da</t>
  </si>
  <si>
    <t>hecto</t>
  </si>
  <si>
    <t>h</t>
  </si>
  <si>
    <t>kilo</t>
  </si>
  <si>
    <t>k</t>
  </si>
  <si>
    <t>mega</t>
  </si>
  <si>
    <t>giga</t>
  </si>
  <si>
    <t>G</t>
  </si>
  <si>
    <t>tera</t>
  </si>
  <si>
    <t xml:space="preserve">Densidad de la leche de vaca </t>
  </si>
  <si>
    <t xml:space="preserve">ítem </t>
  </si>
  <si>
    <t xml:space="preserve">Valor </t>
  </si>
  <si>
    <t>Unidad</t>
  </si>
  <si>
    <t>Densidad de la leche</t>
  </si>
  <si>
    <t>g/cm3</t>
  </si>
  <si>
    <t>http://sitiodea.com/siscipa/index.html</t>
  </si>
  <si>
    <t>Serie de Estadísticas de Producción Ganadera y Avícola (SEPGA). Dirección de estadística Agraria. MINAGRI</t>
  </si>
  <si>
    <t>PROPUESTA DE CÁLCULO PARA LA POBLACIÓN DE EQUINOS Y BURROS, BURRAS, MULAS Y CUYES Y LA SUPERFICIE DE PASTOS NATURALES. ORDEN DE SERVICIO N° 2016- 1187. Dirección General de Asuntos Ambientales Agrarios. MINAGRI.</t>
  </si>
  <si>
    <t>Proyeccion calculada en base a datos de los censos de 1994 y 2012.</t>
  </si>
  <si>
    <t>Vacuno Lechero</t>
  </si>
  <si>
    <t>Vacuno No Lechero</t>
  </si>
  <si>
    <t>Asnos/Mulas</t>
  </si>
  <si>
    <t>ºC</t>
  </si>
  <si>
    <t>Región Climática</t>
  </si>
  <si>
    <t>Región Climática (*)</t>
  </si>
  <si>
    <t>(*) Fuente: GL 2006 - Volumen 4 - Capitulo 10 - Cuadros 10.14 - 10.16</t>
  </si>
  <si>
    <t>Frío
(&lt; 15°C)</t>
  </si>
  <si>
    <t>Frío (&lt; 15°C)</t>
  </si>
  <si>
    <t>Cálido (&gt; 25°C)</t>
  </si>
  <si>
    <t>Templado (15 a 25°C)</t>
  </si>
  <si>
    <t>Tipo de ganado</t>
  </si>
  <si>
    <t>Población</t>
  </si>
  <si>
    <t>Vacuno lechero</t>
  </si>
  <si>
    <t>Vacuno no lechero</t>
  </si>
  <si>
    <t>Población del ganado según región climática</t>
  </si>
  <si>
    <t>Fría
(˂ 15°C)</t>
  </si>
  <si>
    <t>Templada
(15°C - 25°C)</t>
  </si>
  <si>
    <t>Cálida
(˃25°C)</t>
  </si>
  <si>
    <t>TOTAL</t>
  </si>
  <si>
    <t>Participación de la población del ganado por tipo según región climática</t>
  </si>
  <si>
    <t>Ganado</t>
  </si>
  <si>
    <t>Factor de emisión
(kg CH4/cabeza/año)</t>
  </si>
  <si>
    <t>Templado 
(15 a 25°C)</t>
  </si>
  <si>
    <t>Cálido 
(&gt; 25°C)</t>
  </si>
  <si>
    <t>Conejos</t>
  </si>
  <si>
    <t>Fuente: GL 2006 - Volumen 4 - Capitulo 10 - Cuadros 10.14 - 10.16</t>
  </si>
  <si>
    <t>GL 2006 - Volumen 4 - Capitulo 10 - Anexo 10A.2 - Tabla 10A-7</t>
  </si>
  <si>
    <t>GL 2006 - Volumen 4 - Capitulo 10 - Anexo 10A.2 - Tabla 10A-9</t>
  </si>
  <si>
    <t>Acta N° 03-2017 (Grupo Técnico de Trabajo INFOCARBONO)</t>
  </si>
  <si>
    <t>FAO-Produccion de Cuyes (Zaldivar,  1997)-Cuadro 48, Pag 54. (promedio de 5 estudios de peso de cuyes).</t>
  </si>
  <si>
    <t>Sistema de Manejo de Estiércol 
(SME)</t>
  </si>
  <si>
    <t>Referencia</t>
  </si>
  <si>
    <t>Praderas y pastizales</t>
  </si>
  <si>
    <t>Las emisiones directas e indirectas de N2O relacionadas con el estiércol depositado en suelos agrícolas y en sistemas de pasturas, prados y praderas se tratan en el Capítulo 11, Sección 11.2, Emisiones de N2O de suelos gestionados.</t>
  </si>
  <si>
    <t>Distribución diaria</t>
  </si>
  <si>
    <t>Almacenaje de sólidos</t>
  </si>
  <si>
    <t>Quema como combustible</t>
  </si>
  <si>
    <t>Las emisiones relacionadas con la quema del estiércol se deben declarar bajo la categoría «Quema de combustible» del IPCC si el estiércol se emplea como combustible y bajo la categoría «Incineración de desechos» del IPCC si el estiércol se quema sin recuperación de energía.
Las emisiones directas e indirectas de N2O relacionadas con la orina depositada en suelos agrícolas y en sistemas de pasturas, prados y praderas se tratan en el Capítulo 11, Sección 11.2, Emisiones de N2O de suelos gestionados.</t>
  </si>
  <si>
    <t>Parcelas secas</t>
  </si>
  <si>
    <t>Estiércol de aves de corral con cama</t>
  </si>
  <si>
    <t>Estiércol de aves de corral sin cama</t>
  </si>
  <si>
    <t>Factores de emisión de metano por gestión del estiércol por temperatura</t>
  </si>
  <si>
    <t>Factor de Emisión
(kg de N2O-N/kg de Nex)</t>
  </si>
  <si>
    <t>Factores de emisión de N2O para un sistema de manejo del estiércol</t>
  </si>
  <si>
    <t>Fermentación entérica
(Kg de CH4/cabeza/año)</t>
  </si>
  <si>
    <t>Nacional</t>
  </si>
  <si>
    <t>-</t>
  </si>
  <si>
    <t>Níndice(T)</t>
  </si>
  <si>
    <t>GL 2006 - Volumen 4 - Capitulo 10 - Cuadro 10.19</t>
  </si>
  <si>
    <t>Valor estimado según fórmula para la Caracterización del ganado sin métodos de estimación de emisiones específicas de la GL 2006 - página 10.25.</t>
  </si>
  <si>
    <t>GL 2006 - Volumen 4 - Capitulo 10 - Cuadro 10.20</t>
  </si>
  <si>
    <t>GL 2006 - Volumen 4 - Capitulo 10 - Cuadro 10.21</t>
  </si>
  <si>
    <t>GL 2006 - Volumen 4 - Capitulo 10 - Cuadro 10.22</t>
  </si>
  <si>
    <t>GL 2006 - Volumen 4 - Capitulo 10 - Cuadro 10.23</t>
  </si>
  <si>
    <t>GL 2006 - Volumen 4 - Capitulo 10 - Cuadro 10.24</t>
  </si>
  <si>
    <t>GL 2006 - Volumen 4 - Capitulo 10 - Cuadro 10.25</t>
  </si>
  <si>
    <t>GL 2006 - Volumen 4 - Capitulo 10 - Cuadro 10.26</t>
  </si>
  <si>
    <t>Tasa de Excreción de Nitrógeno por defecto [(1000 kg animal)-1 día-1]</t>
  </si>
  <si>
    <t>Porcentaje de participacion de SME por tipo de ganado</t>
  </si>
  <si>
    <t>Total
(%)</t>
  </si>
  <si>
    <t>Vacuno lechero*</t>
  </si>
  <si>
    <t>Ovino**</t>
  </si>
  <si>
    <t>Caprino**</t>
  </si>
  <si>
    <t>Caballos**</t>
  </si>
  <si>
    <t>Asnos/Mulas**</t>
  </si>
  <si>
    <t>Porcino**</t>
  </si>
  <si>
    <t>Cuyes**</t>
  </si>
  <si>
    <t>Almacenaje de Sólidos</t>
  </si>
  <si>
    <t>GL 2006: Factores de emisión para distribución diaria de valor cero</t>
  </si>
  <si>
    <t>Factores de emisión de metano procedente de la fermentación entérica del ganado (kg CH4/cabeza/año)</t>
  </si>
  <si>
    <t>CaCO3</t>
  </si>
  <si>
    <t>Consumo Anual de Caliza (CaCO3)</t>
  </si>
  <si>
    <t>CaMg(CO3)2</t>
  </si>
  <si>
    <t>Consumo Anual de Dolomita (CaMg(CO3)2)</t>
  </si>
  <si>
    <t>Consumo Agrícola</t>
  </si>
  <si>
    <t>Consumos para Encalado (t)</t>
  </si>
  <si>
    <t>Factores de emisión del encalado</t>
  </si>
  <si>
    <t>Tipo de insumo</t>
  </si>
  <si>
    <t>Dolomita - CaCO3</t>
  </si>
  <si>
    <t>Caliza - CaMg(CO3)2</t>
  </si>
  <si>
    <t>Encalado
t de C (t de insumo)-1</t>
  </si>
  <si>
    <t>Importación</t>
  </si>
  <si>
    <t>Urea</t>
  </si>
  <si>
    <t>Consumos para aplicación de urea (t)</t>
  </si>
  <si>
    <t>Factores de emisión del aplicación de urea</t>
  </si>
  <si>
    <t>Aplicación de Urea
t de C (t de insumo)-1</t>
  </si>
  <si>
    <t>Factores de emisión directa de N2O de suelos manejados</t>
  </si>
  <si>
    <t>Tipo de fertilizante</t>
  </si>
  <si>
    <t>Emisión directa de N2O de suelos manejados [kg N2O–N (kg N)-1]</t>
  </si>
  <si>
    <t>Factor de Emisión</t>
  </si>
  <si>
    <t>EF1FR para arrozales inundado</t>
  </si>
  <si>
    <t>EF1 para aportes de N de fertilizantes minerales, abonos orgánicos y residuos agrícolas, y N mineralizado de suelos minerales a causa de pérdida de carbono del suelo</t>
  </si>
  <si>
    <t xml:space="preserve">EF2 CG, Temp para suelos orgánicos templados de cultivo y con pastizales (kg N2O–N há-1) </t>
  </si>
  <si>
    <t xml:space="preserve">EF2 CG, Trop para suelos orgánicos tropicales de cultivo y pastizales (kg N2O–N há-1) </t>
  </si>
  <si>
    <t xml:space="preserve">EF2F, Temp, Org, R para suelos forestales templados y boreales ricos en nutrientes orgánicos (kg N2O–N há-1) </t>
  </si>
  <si>
    <t xml:space="preserve">EF2F, Temp, Org, P para suelos forestales templados y boreales pobres en nutrientes orgánicos (kg N2O–N há-1) </t>
  </si>
  <si>
    <t xml:space="preserve">EF2F, Trop para suelos forestales orgánicos tropicales (kg N2O– N há-1) </t>
  </si>
  <si>
    <t xml:space="preserve">EF3PRP, CPP para vacunos (lecheros y no lecheros, y búfalos), aves de corral y porcinos [kg N2O–N (kg N)-1] </t>
  </si>
  <si>
    <t xml:space="preserve">EF3PRP, SO para ovinos y «otros animales» [kg N2O–N (kg N)-1] </t>
  </si>
  <si>
    <t>Tipo de Fertilizantes Nitrogenado</t>
  </si>
  <si>
    <t>Fertilizantes Nitrogenados</t>
  </si>
  <si>
    <t>Fertilizante</t>
  </si>
  <si>
    <t>Concentración de Nitrógeno por tipo de fertilizante</t>
  </si>
  <si>
    <t>Tipo de Fertilizante</t>
  </si>
  <si>
    <t>N en el fertilizante</t>
  </si>
  <si>
    <t>Fosfato diamónico</t>
  </si>
  <si>
    <t>Sulfato amónico</t>
  </si>
  <si>
    <t>Nitrato amónico</t>
  </si>
  <si>
    <t>Los fertilizantes y su uso - FAO. Página 38 y 39 (http://www.fao.org/3/a-x4781s.pdf)</t>
  </si>
  <si>
    <t>Contenido de N en Kg en los fertilizantes sintéticos</t>
  </si>
  <si>
    <t>FSEW = cantidad anual de N total de barros cloacales (coordinar con el Sector Desechos para asegurarse de que no haya cómputo doble de N) que se aplica a los suelos, kg N año-1</t>
  </si>
  <si>
    <t>FCOMP = cantidad anual del total de N de compost aplicada a los suelos (asegurarse de que no haya cómputo doble del N de estiércol del compost), kg N año-1</t>
  </si>
  <si>
    <t>FON = cantidad total anual de fertilizante de N orgánico aplicada a los suelos, excepto el de animales en pastoreo, kg N año-1</t>
  </si>
  <si>
    <t xml:space="preserve">FAM = cantidad anual de N de estiércol animal aplicada a los suelos, kg N año-1 </t>
  </si>
  <si>
    <t>FOOA = cantidad anual de otros abonos orgánicos utilizados como fertilizantes (p. ej., desechos, guano, residuos de la fabricación de cerveza, etc.), kg N año-1</t>
  </si>
  <si>
    <t xml:space="preserve">FON </t>
  </si>
  <si>
    <t>FAM</t>
  </si>
  <si>
    <t>FSEW</t>
  </si>
  <si>
    <t>FCOMP</t>
  </si>
  <si>
    <t>FOOA</t>
  </si>
  <si>
    <t>Año</t>
  </si>
  <si>
    <t>FAM = cantidad anual de N de estiércol animal aplicada a los suelos, kg N año-1</t>
  </si>
  <si>
    <t xml:space="preserve">FracALIM = fracción del estiércol gestionado utilizada para alimento </t>
  </si>
  <si>
    <t xml:space="preserve">FracCOMBUST = fracción del estiércol gestionado utilizada para combustible </t>
  </si>
  <si>
    <t xml:space="preserve">FracCNST = fracción del estiércol gestionado utilizada para la construcción </t>
  </si>
  <si>
    <t xml:space="preserve">NMMS_Avb = cantidad de N del estiércol gestionado disponible para aplicación al suelo y para uso como alimento, combustible o en la construcción, kg N año-1 (véase la Ecuación 10.34 del Capítulo 10) </t>
  </si>
  <si>
    <t>NMMS_Avb</t>
  </si>
  <si>
    <t>FracALIM</t>
  </si>
  <si>
    <t>FracCOMBUST</t>
  </si>
  <si>
    <t>FracCNST</t>
  </si>
  <si>
    <t>SME</t>
  </si>
  <si>
    <t>N(T)</t>
  </si>
  <si>
    <t>Nex(T)</t>
  </si>
  <si>
    <t xml:space="preserve">INGEI 2000 (Dictamen de expertos: Gladys Carrión, José Calle y Víctor Hidalgo) </t>
  </si>
  <si>
    <t>Fracción del total de N de SME</t>
  </si>
  <si>
    <t>Quemado como combustible</t>
  </si>
  <si>
    <t>Excretado durante el pastoreo</t>
  </si>
  <si>
    <t>kg N/kg del nitrógeno excretado</t>
  </si>
  <si>
    <t>Cantidad anual de N de estiércol animal aplicada a los suelos</t>
  </si>
  <si>
    <t>Cantidad total anual de fertilizante de N orgánico aplicada a los suelos, excepto el de animales en pastoreo</t>
  </si>
  <si>
    <t>Cantidad anual de N en los residuos agrícolas (aéreos y subterráneos), incluyendo los cultivos fijadores de N y de la renovación de forraje/pastura, devueltos a los suelos</t>
  </si>
  <si>
    <t>FCR = cantidad anual de N en los residuos agrícolas (aéreos y subterráneos), incluyendo los cultivos fijadores de N y de la renovación de forraje/pastura, devueltos a los suelos, kg N año-1</t>
  </si>
  <si>
    <t>Superf quemada (T) = superficie anual del cultivo T quemada, há año-1</t>
  </si>
  <si>
    <t xml:space="preserve">Cf = factor de combustión (sin dimensión) (véase el Capítulo 2, Cuadro 2.6) </t>
  </si>
  <si>
    <t>RAG(T) = relación entre la materia seca de los residuos aéreos (AGDM(T)) y el rendimiento de cosecha del cultivo T (Cultivo(T)) , kg d.m. (kg d.m.)-1,</t>
  </si>
  <si>
    <t>RAG (T) = AGDM(T) ● 1000 / Cultivo(T) (calculando AGDM(T) a partir de la información del Cuadro 11.2)</t>
  </si>
  <si>
    <t xml:space="preserve">NAG (T) = contenido de N de los residuos aéreos del cultivo T, kg N (kg d.m.) -1, (Cuadro 11.2) </t>
  </si>
  <si>
    <t xml:space="preserve">FracRemoc (T) = fracción de los residuos aéreos del cultivo T que se extraen anualmente, como los destinados a alimentos, camas y construcción, kg N (kg cultivo-N)-1. Se requiere un sondeo a cargo de expertos del país para obtener los datos. Si no se dispone de datos respecto a FracRemoc, se supone que no hay remoción. </t>
  </si>
  <si>
    <t>Superf (T) = total de superficie anual de cosecha del cultivo T, há año-1</t>
  </si>
  <si>
    <t>RBG(T) = relación entre residuos subterráneos y rendimiento de cosecha del cultivo T, kg d.m. (kg d.m.)-1. Si no se dispone de datos alternativos, RBG(T) puede calcularse multiplicando RBG-BIO del Cuadro 11.2 por la relación entre el total de biomasa aérea y el rendimiento del cultivo ( = [(AGDM(T) ● 1000 + Cultivo(T)) / Cultivo(T)],(también calculando AGDM(T) a partir de la información del Cuadro 11.2).</t>
  </si>
  <si>
    <t xml:space="preserve">NBG(T) = contenido de N de los residuos subterráneos del cultivo T, kg N (kg d.m.)-1, (Cuadro 11.2) </t>
  </si>
  <si>
    <t xml:space="preserve">T = tipo de cultivo o forraje </t>
  </si>
  <si>
    <t>Caña para azucar</t>
  </si>
  <si>
    <t>Papa</t>
  </si>
  <si>
    <t>Arroz cáscara</t>
  </si>
  <si>
    <t>Maíz a. duro</t>
  </si>
  <si>
    <t>Yuca</t>
  </si>
  <si>
    <t>Cebolla de cabeza</t>
  </si>
  <si>
    <t>Camote</t>
  </si>
  <si>
    <t>Quinua</t>
  </si>
  <si>
    <t>Alcachofa</t>
  </si>
  <si>
    <t>Algodón</t>
  </si>
  <si>
    <t>Piña</t>
  </si>
  <si>
    <t>Maíz choclo</t>
  </si>
  <si>
    <t>Espárrago</t>
  </si>
  <si>
    <t>Maíz amiláceo</t>
  </si>
  <si>
    <t>Tomate</t>
  </si>
  <si>
    <t>Trigo</t>
  </si>
  <si>
    <t>Cebada grano</t>
  </si>
  <si>
    <t>Palma aceitera</t>
  </si>
  <si>
    <t>Café pergamino</t>
  </si>
  <si>
    <t>Cacao</t>
  </si>
  <si>
    <t>Ancash</t>
  </si>
  <si>
    <t>Alfalfa</t>
  </si>
  <si>
    <t>Arveja gr. Verde</t>
  </si>
  <si>
    <t>Arveja grano seco</t>
  </si>
  <si>
    <t>Frijol grano seco</t>
  </si>
  <si>
    <t>Haba grano seco</t>
  </si>
  <si>
    <t>Pallar grano seco</t>
  </si>
  <si>
    <t>frijol castilla /caupi</t>
  </si>
  <si>
    <t>tarwi</t>
  </si>
  <si>
    <t>Haba grano verde</t>
  </si>
  <si>
    <t>Soya</t>
  </si>
  <si>
    <t>Banana / plátano</t>
  </si>
  <si>
    <t>1. Cultivos no fijadores</t>
  </si>
  <si>
    <t>2. Granos y legumbres fijadores de N</t>
  </si>
  <si>
    <t>3. Raíces y Tubérculos</t>
  </si>
  <si>
    <t>4. Forrajes fijadores de N</t>
  </si>
  <si>
    <t>Región (ha)</t>
  </si>
  <si>
    <t>Superf (T)</t>
  </si>
  <si>
    <t>Superf quemada (T)</t>
  </si>
  <si>
    <t>Cf</t>
  </si>
  <si>
    <t>FracRenov (T)</t>
  </si>
  <si>
    <t>RAG(T)</t>
  </si>
  <si>
    <t>AGDM(T)</t>
  </si>
  <si>
    <t>NAG (T)</t>
  </si>
  <si>
    <t>FracRemoc (T)</t>
  </si>
  <si>
    <t>RBG(T)</t>
  </si>
  <si>
    <t>FCR</t>
  </si>
  <si>
    <t>Superficie cosechada anual por región (arroz cáscara)</t>
  </si>
  <si>
    <t>Total (ha)</t>
  </si>
  <si>
    <t>Factores de emisión indirecta de N2O de suelos manejados</t>
  </si>
  <si>
    <t>GL 2019 - Volumen 4 - Capitulo 11 - Cuadro 11.3</t>
  </si>
  <si>
    <t>Sulfato de amonio</t>
  </si>
  <si>
    <t>Nitrato de amonio</t>
  </si>
  <si>
    <t>No se cuenta con información para estimar esta categoría.
Se incluirá propuesta de generación de información en el plan de mejora</t>
  </si>
  <si>
    <t>GL2006,  - Volumen 4 - Capitulo 10 - Cuadro 10A-9</t>
  </si>
  <si>
    <t>Valor estimado según fórmula para la Caracterización del ganado sin métodos de estimación de emisiones específicas de la GL 2006 - página 10.25</t>
  </si>
  <si>
    <t>NOx</t>
  </si>
  <si>
    <t>Residuos de Agricultura
(kg dm burnt)-1</t>
  </si>
  <si>
    <t>Sabana y pastizales
(kg dm burnt)-1</t>
  </si>
  <si>
    <t xml:space="preserve">Cultivos    </t>
  </si>
  <si>
    <t xml:space="preserve">Residuos agrícolas
(quema de campo postcosecha) </t>
  </si>
  <si>
    <t>Residuos de trigo</t>
  </si>
  <si>
    <t>Residuos de arroz</t>
  </si>
  <si>
    <t>Residuos de maiz</t>
  </si>
  <si>
    <t>Caña de azúcar</t>
  </si>
  <si>
    <t>Tipo de vegetación</t>
  </si>
  <si>
    <t>Subcategoría</t>
  </si>
  <si>
    <t>GL 2006 - Volumen 4 - Capitulo 2 - Cuadro 2.6</t>
  </si>
  <si>
    <t>Factor de combustión (proporción de la biomasa combustible previa al incendio consumida)</t>
  </si>
  <si>
    <t xml:space="preserve">FracRenov (T) = fracción de la superficie total dedicada al cultivo T que se renueva anualmente. Para países en los que las pasturas se renuevan, en promedio, cada X años, FracRenov = 1/X. Para cultivos anuales, FracRenov = 1 </t>
  </si>
  <si>
    <t>Superficie y producción total de principales cultivos</t>
  </si>
  <si>
    <t>Región (t)</t>
  </si>
  <si>
    <t>Declive (T)</t>
  </si>
  <si>
    <t>Intercepción (T)</t>
  </si>
  <si>
    <t>Otros cultivos</t>
  </si>
  <si>
    <t>Cultivos</t>
  </si>
  <si>
    <t>Especies</t>
  </si>
  <si>
    <t>NBG(T)</t>
  </si>
  <si>
    <t>RBG-BIO</t>
  </si>
  <si>
    <t>FSOM</t>
  </si>
  <si>
    <t>FOS</t>
  </si>
  <si>
    <t>FPRP</t>
  </si>
  <si>
    <t>Intercepción</t>
  </si>
  <si>
    <t>NAG</t>
  </si>
  <si>
    <t>NBG</t>
  </si>
  <si>
    <t>GL 2006 - Volumen 4 - Capitulo 11 - Cuadro 11.2</t>
  </si>
  <si>
    <t>SECO</t>
  </si>
  <si>
    <t>Superf (T) - ha</t>
  </si>
  <si>
    <t>SECO = fracción de materia seca del cultivo cosechado T, kg d.m. (kg peso fresco)-1</t>
  </si>
  <si>
    <t>Periodos vegetativos (años)</t>
  </si>
  <si>
    <t>Años</t>
  </si>
  <si>
    <t>Meses</t>
  </si>
  <si>
    <t>Días</t>
  </si>
  <si>
    <t>LU = tipo de uso de la tierra y/o sistema de gestión.</t>
  </si>
  <si>
    <t>LU</t>
  </si>
  <si>
    <t>FSOM = cantidad neta anual de N mineralizado en suelos minerales debido a la pérdida de carbono del suelo por cambios en el uso o la gestión de la tierra, Kg N</t>
  </si>
  <si>
    <t>Cantidad neta anual de N mineralizado en suelos minerales debido a la pérdida de carbono del suelo por cambios en el uso o la gestión de la tierra, Kg N</t>
  </si>
  <si>
    <t>Asentamientos</t>
  </si>
  <si>
    <t>Otras Tierras</t>
  </si>
  <si>
    <t>Tierras Forestales que permanecen como Tierras Forestales</t>
  </si>
  <si>
    <t>Tierras de Cultivo que permanecen como Tierras de Cultivo</t>
  </si>
  <si>
    <t>Pastizales que permanecen como pastizales</t>
  </si>
  <si>
    <t>Tierras convertidas a Tierras Forestales</t>
  </si>
  <si>
    <t>Tierras que se convierten a Tierras de Cultivo</t>
  </si>
  <si>
    <t xml:space="preserve">Tierras que se convierten a Pastizales  </t>
  </si>
  <si>
    <t>Cropland and Grassland (CG), Forest (F), Temperate (Temp), Tropical (Trop), Nutrient Rich (NR), and Nutrient Poor (NP)</t>
  </si>
  <si>
    <t>Representación de Fertilidad (%)</t>
  </si>
  <si>
    <t xml:space="preserve">Superf. suelos orgánicos
(ha/año) </t>
  </si>
  <si>
    <t>Tipo de Fertilidad</t>
  </si>
  <si>
    <t>FPRP = cantidad anual de N de la orina y el estiércol depositada en pasturas, prados y praderas por animales en pastoreo, kg N año-1</t>
  </si>
  <si>
    <t>N(T) = cantidad de cabezas de ganado de la especie/categoría T del país (véase el Capítulo 10, Sección 10.2)</t>
  </si>
  <si>
    <t>Nex(T) = promedio anual de excreción de N por cabeza de la especie/categoría T en el país, kg N animal-1 año-1 (véase el Capítulo 10, Sección 10.5).</t>
  </si>
  <si>
    <t>Cantidad anual de N de la orina y el estiércol depositada en pasturas, prados y praderas por animales en pastoreo</t>
  </si>
  <si>
    <t>MS(T,PRP)</t>
  </si>
  <si>
    <t>MS(T,PRP) = fracción del total de la excreción anual de N de cada especie/categoría de ganado T que se deposita en pasturas, prados y praderas fn (véase el Capítulo 10, Sección 10.5)</t>
  </si>
  <si>
    <t>Participación de superficie cosechada por tipo de sistema de riego</t>
  </si>
  <si>
    <t>ha</t>
  </si>
  <si>
    <t>Tipos de sistemas de riego para el cultivo de arroz</t>
  </si>
  <si>
    <t>Tierras altas</t>
  </si>
  <si>
    <t>Irrigadas</t>
  </si>
  <si>
    <t xml:space="preserve">Inundados permanentemente </t>
  </si>
  <si>
    <t xml:space="preserve">Periodo de drenaje simple </t>
  </si>
  <si>
    <t>Periodo de drenaje multiple</t>
  </si>
  <si>
    <t>Alimentadas a lluvia y aguas profundas</t>
  </si>
  <si>
    <t>Anegadizos</t>
  </si>
  <si>
    <t>Expuesto a la sequía</t>
  </si>
  <si>
    <t>Aguas profundas</t>
  </si>
  <si>
    <t>Factor de emisión por defecto para campos continuamente inundados sin enmiendas orgánicas</t>
  </si>
  <si>
    <t>Region</t>
  </si>
  <si>
    <t>Referencias</t>
  </si>
  <si>
    <t>Sudamerica</t>
  </si>
  <si>
    <t xml:space="preserve">Periodo de cultivo de arroz por defecto </t>
  </si>
  <si>
    <t>Periodo de cultivo (dias)</t>
  </si>
  <si>
    <t>Régimen de gestión del agua</t>
  </si>
  <si>
    <t>Alimentaion regular por lluvia</t>
  </si>
  <si>
    <t>Con tendencia a la sequia</t>
  </si>
  <si>
    <t xml:space="preserve">Régimen de agua antes del cultivo de arroz </t>
  </si>
  <si>
    <t>Factor de Escala (SFp)</t>
  </si>
  <si>
    <t>Agregado</t>
  </si>
  <si>
    <t>Desagregado</t>
  </si>
  <si>
    <t>Pretemporada no inundada &lt;180 d</t>
  </si>
  <si>
    <t>Pretemporada no inundada&gt; 365 d</t>
  </si>
  <si>
    <t>Factor de conversión para enmiendas orgánicas</t>
  </si>
  <si>
    <t>Enmienda orgánica</t>
  </si>
  <si>
    <t>Factor de conversión
(CFOA)</t>
  </si>
  <si>
    <t xml:space="preserve">Paja incorporada poco antes del cultivo (&lt;30 días) </t>
  </si>
  <si>
    <t>Paja incorporada mucho antes del cultivo (&gt; 30 días)</t>
  </si>
  <si>
    <t>Compost</t>
  </si>
  <si>
    <t>Estiércol de corral</t>
  </si>
  <si>
    <t xml:space="preserve">Estiercol verde </t>
  </si>
  <si>
    <t xml:space="preserve">Tipo de riego 
</t>
  </si>
  <si>
    <t xml:space="preserve">Tierras altas </t>
  </si>
  <si>
    <t>De regadío</t>
  </si>
  <si>
    <t>Anegados continuamente</t>
  </si>
  <si>
    <t>Anegados intermitentemente</t>
  </si>
  <si>
    <t>Aeración sencilla</t>
  </si>
  <si>
    <t>Aeración múltiple</t>
  </si>
  <si>
    <t>De secano</t>
  </si>
  <si>
    <t>Profundidad del agua 50-100 cm</t>
  </si>
  <si>
    <t>Profundidad del agua &gt; 100 cm</t>
  </si>
  <si>
    <t>Valores por defecto del total de pérdida de nitrógeno producida por la gestión del estiércol</t>
  </si>
  <si>
    <t>Valores por defecto para la pérdida de nitrógeno debida a volatilización de NH3 y NOX de la gestión del estiércol</t>
  </si>
  <si>
    <t>Pastos Naturales (ha)</t>
  </si>
  <si>
    <t>GL 2006 - Volumen 4 - Capitulo 2 - Cuadro 2.4</t>
  </si>
  <si>
    <t>Media</t>
  </si>
  <si>
    <t>Masa de combustible disponible para combustión (t/ha)</t>
  </si>
  <si>
    <t>Todos los pastizales de la sabana (quemas tempranas de la estación seca)</t>
  </si>
  <si>
    <t>MB = AGR(T) x FracBrunt(T)</t>
  </si>
  <si>
    <t>Pastos quemados</t>
  </si>
  <si>
    <t>%</t>
  </si>
  <si>
    <t xml:space="preserve">Porcentaje de quema de pastos </t>
  </si>
  <si>
    <t>Área quemada de Cultivos</t>
  </si>
  <si>
    <t>Porcentaje de quema</t>
  </si>
  <si>
    <t>Tierras de Pastizales que permanecen como tales</t>
  </si>
  <si>
    <t>Tierras convertidas a Pastizales</t>
  </si>
  <si>
    <t>Factores de emisión indirecta de N2O de manejo de estiércol</t>
  </si>
  <si>
    <t>GL 2006 - Volumen 4 - Capitulo 10 - Cuadro 10.11
Se considera una productividad media</t>
  </si>
  <si>
    <t>GL 2006 - Volumen 4 - Capitulo 10 - Cuadro 10.10
Se considera una productividad baja</t>
  </si>
  <si>
    <t>GL 2006 - Volumen 4 - Capitulo 10 - Cuadro 10.10</t>
  </si>
  <si>
    <t>FACTORES DE EMISIÓN (g kg-1 DE MATERIA SECA QUEMADA) PARA DISTINTOS TIPOS DE QUEMADO.</t>
  </si>
  <si>
    <t>GL 2006 - Volumen 4 - Capitulo 2 - Cuadro 2.5</t>
  </si>
  <si>
    <t>GL 2006 - Volumen 4 - Capitulo 11 - Sección 11.3.2</t>
  </si>
  <si>
    <t>GL 2006 - Volumen 4 - Capitulo 11 - Sección 11.4.2</t>
  </si>
  <si>
    <t>GL 2006 - Volumen 4 - Capitulo 11 - Cuadro 11.1</t>
  </si>
  <si>
    <t>GL 2006 - Volumen 4 - Capitulo 11 - Cuadro 11.3</t>
  </si>
  <si>
    <t>Temperatura promedio anual según departamento, 1995 -2016</t>
  </si>
  <si>
    <t>Instituto Nacional de Estadistica e Informatica (sf) - Perú: Anuario de Estadísticas Ambientales 2017.</t>
  </si>
  <si>
    <t>https://www.inei.gob.pe/media/MenuRecursivo/publicaciones_digitales/Est/Lib1469/index.html</t>
  </si>
  <si>
    <t>Ir a Aire buscar la información correspondiente a Temperatura promedio anual según departamento y descargar</t>
  </si>
  <si>
    <t>Población Anual de animales vivos por región</t>
  </si>
  <si>
    <t>Población Anual de vacas en ordeño por región</t>
  </si>
  <si>
    <t>Producción de leche cruda de vaca por región</t>
  </si>
  <si>
    <t>Ministerio de Agricultura y Riego. Anuarios Estadísticos de Insumos y Servicios Agropecuarios.</t>
  </si>
  <si>
    <t>http://siea.minagri.gob.pe/siea/?q=publicaciones/anuario-estadistico-de-insumos-y-servicios-agrarios</t>
  </si>
  <si>
    <t>Descargar archivo excel y buscar la página que de valores de importación de fertilizantes químicos o abonos.</t>
  </si>
  <si>
    <t>R = relación C:N de la materia orgánica del suelo. Puede usarse un valor por defecto de 15 (rango de incertidumbre entre 10 y 30) para la relación C:N (R) para situaciones que impliquen cambios en el uso de la tierra de tierras forestales o pastizales a tierras de cultivo, en ausencia de datos más específicos de la zona. Puede usarse un valor por defecto de 10 (rango entre 8 y 15) para situaciones que impliquen cambios en la gestión en tierras de cultivo que permanecen como tales. La relación C:N puede cambiar a través del tiempo, con los usos de la tierra o las prácticas de gestión. Si los países pueden documentar los cambios en la relación C:N, entonces, pueden utilizarse diferentes valores según la serie temporal, el uso de la tierra y la práctica de gestión.</t>
  </si>
  <si>
    <t>Perú</t>
  </si>
  <si>
    <t xml:space="preserve">Factores por defecto para la estimación del N agregado a los suelos a partir de Residuos Agrícolas </t>
  </si>
  <si>
    <t>Participación (%) Selva Alta</t>
  </si>
  <si>
    <t>Participación (%) Selva Baja</t>
  </si>
  <si>
    <t>Participación (%) Costa Norte</t>
  </si>
  <si>
    <t>Participación (%) Costa Sur</t>
  </si>
  <si>
    <t>Representatividad %</t>
  </si>
  <si>
    <t>Selva Alta</t>
  </si>
  <si>
    <t>Selva Baja</t>
  </si>
  <si>
    <t>Costa Norte</t>
  </si>
  <si>
    <t>Costa Sur</t>
  </si>
  <si>
    <t>Fuentes</t>
  </si>
  <si>
    <t>Estadísticas</t>
  </si>
  <si>
    <t>Juicio experto</t>
  </si>
  <si>
    <t>Tabla 10.4</t>
  </si>
  <si>
    <t>Ecuación 10.3</t>
  </si>
  <si>
    <t>Ecuación 10.4</t>
  </si>
  <si>
    <t>Ecuación 10.6</t>
  </si>
  <si>
    <t>Ecuación 10.8</t>
  </si>
  <si>
    <t>Ecuación 10.11</t>
  </si>
  <si>
    <t>Ecuación 10.13</t>
  </si>
  <si>
    <t>Ecuación 10.14</t>
  </si>
  <si>
    <t>Ecuación 10.15</t>
  </si>
  <si>
    <t>Ecuación 10.16</t>
  </si>
  <si>
    <t>Categoría</t>
  </si>
  <si>
    <t>PV kg</t>
  </si>
  <si>
    <t>Peso madurez kg</t>
  </si>
  <si>
    <t>Ganancia peso (kg día)</t>
  </si>
  <si>
    <t>% Digestibil.</t>
  </si>
  <si>
    <t>EN mant</t>
  </si>
  <si>
    <t>EN act</t>
  </si>
  <si>
    <t>EN crecim</t>
  </si>
  <si>
    <t>Kg de leche por dia</t>
  </si>
  <si>
    <t>EN lactancia</t>
  </si>
  <si>
    <t>EN trabajo</t>
  </si>
  <si>
    <t>Cp</t>
  </si>
  <si>
    <t>EN gestación</t>
  </si>
  <si>
    <t xml:space="preserve">REM </t>
  </si>
  <si>
    <t>REG</t>
  </si>
  <si>
    <t>EB (Mj)</t>
  </si>
  <si>
    <t>EN alim</t>
  </si>
  <si>
    <t>consumo MS (kg/día)</t>
  </si>
  <si>
    <t>EF (kg CH4/An/mes)</t>
  </si>
  <si>
    <t>Emisiones kg / categoría</t>
  </si>
  <si>
    <t>Vacas Lecheras en Producción</t>
  </si>
  <si>
    <t xml:space="preserve">Vacas adultas para producción de carne </t>
  </si>
  <si>
    <t>Toros y bueyes</t>
  </si>
  <si>
    <t>Machos jovenes en crecimiento</t>
  </si>
  <si>
    <t xml:space="preserve">Clases de interes </t>
  </si>
  <si>
    <t>Vacas adultas lecheras en producción</t>
  </si>
  <si>
    <t>Representatividad de Población de Vacunos por categoría sexo, edad, sector</t>
  </si>
  <si>
    <t>Peso Vivo Medio Nacional</t>
  </si>
  <si>
    <t>Peso Vivo Medio de Vacunos por categoría sexo, edad, sector</t>
  </si>
  <si>
    <t>Ganancia de Peso Medio de Vacunos por categoría sexo, edad, sector</t>
  </si>
  <si>
    <t>Otros Vacunos</t>
  </si>
  <si>
    <t>Porcentaje de Grasa en la Leche</t>
  </si>
  <si>
    <t>MJ d kg</t>
  </si>
  <si>
    <t>Table 10.4</t>
  </si>
  <si>
    <t>Table 10.5</t>
  </si>
  <si>
    <t>NRC, 1996</t>
  </si>
  <si>
    <t>Table 10.7</t>
  </si>
  <si>
    <t>Enteric methane emissions from lacting dairy cows grazing cultivated and native pastures in the high Andes of Perú. Sometido a Revista Livestock Science. Actualmente en segunda revisión.</t>
  </si>
  <si>
    <t>Contenido de grasa en la leche</t>
  </si>
  <si>
    <t xml:space="preserve">Prod. Leche (kg/día) </t>
  </si>
  <si>
    <t>Ganancia de Peso Medio Nacional (Kg)</t>
  </si>
  <si>
    <t>Preñez</t>
  </si>
  <si>
    <t xml:space="preserve">Ym Energia Bruta convertida en metano </t>
  </si>
  <si>
    <t>Otro ganado vacuno</t>
  </si>
  <si>
    <t>Otro ganado vacuno*</t>
  </si>
  <si>
    <t>Coeficientes para el cálculo de emisiones de la Fermentación Entérica de Vacunos (TIER 2)</t>
  </si>
  <si>
    <t>http://frenteweb.minagri.gob.pe/sisca/</t>
  </si>
  <si>
    <t>Serie de Estadísticas de Producción Agrícola (SEPA) - MINAGRI</t>
  </si>
  <si>
    <t>NE: NO ESTIMADO POR FALTA DE DATOS DE ACTIVIDAD</t>
  </si>
  <si>
    <t>NE</t>
  </si>
  <si>
    <t>Reporte Anual de Gases de Efecto Invernadero - 2016</t>
  </si>
  <si>
    <t>Categorías de fuentes y sumideros</t>
  </si>
  <si>
    <t>NMVOC</t>
  </si>
  <si>
    <t>Agricultura</t>
  </si>
  <si>
    <t>Fermentación entérica</t>
  </si>
  <si>
    <t>Bufalos</t>
  </si>
  <si>
    <t>Llama y alpaca</t>
  </si>
  <si>
    <t>Mulas y asnos</t>
  </si>
  <si>
    <t>Porcinos</t>
  </si>
  <si>
    <t>Aves</t>
  </si>
  <si>
    <t>Otros: cuyes</t>
  </si>
  <si>
    <t>Manejo de estiércol</t>
  </si>
  <si>
    <t xml:space="preserve">Ganaderia </t>
  </si>
  <si>
    <t>3.A.1.a</t>
  </si>
  <si>
    <t>3.A</t>
  </si>
  <si>
    <t>3.A.1</t>
  </si>
  <si>
    <t xml:space="preserve">Ganado vacuno </t>
  </si>
  <si>
    <t>3.A.1.a.i</t>
  </si>
  <si>
    <t xml:space="preserve">Ganado vacuno lechero </t>
  </si>
  <si>
    <t>3.A.1.a.ii</t>
  </si>
  <si>
    <t>3.A.1.b</t>
  </si>
  <si>
    <t>3.A.1.c</t>
  </si>
  <si>
    <t>3.A.1.d</t>
  </si>
  <si>
    <t>3.A.1.e</t>
  </si>
  <si>
    <t>3.A.1.f</t>
  </si>
  <si>
    <t>3.A.1.g</t>
  </si>
  <si>
    <t>3.A.1.h</t>
  </si>
  <si>
    <t>3.A.1.i</t>
  </si>
  <si>
    <t>3.A.1.j</t>
  </si>
  <si>
    <t>3.A.2</t>
  </si>
  <si>
    <t>3.A.2.a</t>
  </si>
  <si>
    <t>3.A.2.a.i</t>
  </si>
  <si>
    <t>3.A.2.a.ii</t>
  </si>
  <si>
    <t>3.A.2.b</t>
  </si>
  <si>
    <t>3.A.2.c</t>
  </si>
  <si>
    <t>Ganado vacuno</t>
  </si>
  <si>
    <t>3C</t>
  </si>
  <si>
    <t>3.C.1</t>
  </si>
  <si>
    <t xml:space="preserve">Emisiones por quema de biomasa </t>
  </si>
  <si>
    <t>Quema de biomasa en tierras de cultivo</t>
  </si>
  <si>
    <t xml:space="preserve">Quela de biomasa en Pastizales </t>
  </si>
  <si>
    <t>3.C.1.b</t>
  </si>
  <si>
    <t>3.C.1.c</t>
  </si>
  <si>
    <t>3.C.2.</t>
  </si>
  <si>
    <t xml:space="preserve">Encalado </t>
  </si>
  <si>
    <t>3.C.3.</t>
  </si>
  <si>
    <t>Aplicación de urea</t>
  </si>
  <si>
    <t>3.C.4.</t>
  </si>
  <si>
    <t>3.C.5.</t>
  </si>
  <si>
    <t>3.C.6.</t>
  </si>
  <si>
    <t>3.C.7.</t>
  </si>
  <si>
    <t>Arroz</t>
  </si>
  <si>
    <t xml:space="preserve">TOTAL </t>
  </si>
  <si>
    <t>(Gg CO)</t>
  </si>
  <si>
    <t>Código de categorías de fuentes 2006</t>
  </si>
  <si>
    <t>SERIE TEMPORAL ACTUALIZADA</t>
  </si>
  <si>
    <t>Producción anual (T) - t</t>
  </si>
  <si>
    <t>Área quemada</t>
  </si>
  <si>
    <t xml:space="preserve">Quema de biomasa en Pastizales </t>
  </si>
  <si>
    <t>Rendim_Fresco (T) - kg/ha</t>
  </si>
  <si>
    <t>Proporción del área total de cada cultivo donde se quema biomasa</t>
  </si>
  <si>
    <t>Vacas lecheras</t>
  </si>
  <si>
    <t>Otro ganado</t>
  </si>
  <si>
    <t>Representación de población de Aves por especie (%)</t>
  </si>
  <si>
    <t>Especies de Aves</t>
  </si>
  <si>
    <t>Pollos</t>
  </si>
  <si>
    <t>Gallinas</t>
  </si>
  <si>
    <t>Codornices</t>
  </si>
  <si>
    <t>% Población Total</t>
  </si>
  <si>
    <t>% Población sin codornices</t>
  </si>
  <si>
    <t>Periodo de vida de especies ganaderas que viven menos de 1 año</t>
  </si>
  <si>
    <t>Patos</t>
  </si>
  <si>
    <t>Pavos</t>
  </si>
  <si>
    <t>Pavos de granja</t>
  </si>
  <si>
    <t>Días Vivo</t>
  </si>
  <si>
    <t>Meses Vivo</t>
  </si>
  <si>
    <t>Correo Electrónico 31 de Agosto del 2020. Dirección Estadística Agraria - MINAGRI.</t>
  </si>
  <si>
    <t>Correo Electrónico 10 de Septiembre del 2020. Dirección Estadística Agraria - MINAGRI.</t>
  </si>
  <si>
    <t>Pavos de traspatio</t>
  </si>
  <si>
    <t>Correo Electrónico 14 de Agosto del 2020. Dirección Estadística Agraria - MINAGRI.</t>
  </si>
  <si>
    <t>Población media anual nacional del ganado</t>
  </si>
  <si>
    <t>Reglamento de la Leche y Productos Lácteos, aprobado por el MINAGRI (2017)</t>
  </si>
  <si>
    <t>Los factores de emisión de Nivel 1 se pueden clasificar según los sistemas digestivos de la siguiente manera:
• Rumiantes: vacunos, búfalos, ovinos, caprinos, camélidos
• Herbívoros no rumiantes: caballos, mulas/asnos
• Aves de corral: pollos, patos, pavos, gansos
• Monogástricos no avícolas: porcinos
Por ejemplo, se podría estimar un factor aproximado de emisión de metano por fermentación entérica para
alpacas a partir del factor de emisión de los ovinos (también animales rumiantes) de la siguiente manera:
Factor de emisión aproximado = [(peso de la alpaca) / (peso ovino)]^0,75 • factor de emisión de ovinos</t>
  </si>
  <si>
    <t>Observaciones</t>
  </si>
  <si>
    <t>Pendiente</t>
  </si>
  <si>
    <t xml:space="preserve">
IV Censo Nacional Agropecuario 2012. CENAGRO</t>
  </si>
  <si>
    <t>GL 2006</t>
  </si>
  <si>
    <t>Ternero/a previo al destete (edad media entre nacimiento y destete)</t>
  </si>
  <si>
    <t>GL 2006 refinadas 2019. Tabla 10.12</t>
  </si>
  <si>
    <t>Arroz (ha/año)</t>
  </si>
  <si>
    <t>Fertilización (KgN/ha/año)</t>
  </si>
  <si>
    <t>Nitrógeno aplicado (KgN/año)</t>
  </si>
  <si>
    <t>Contenido de N en Kg en los fertilizantes sintéticos de los cultivos de arroz</t>
  </si>
  <si>
    <t>Fertilización por región de los cultivos de arroz</t>
  </si>
  <si>
    <t>C coeficiente valor macho castrado</t>
  </si>
  <si>
    <t>Superficie total anual (ha) de suelos orgánicos drenados/gestionados</t>
  </si>
  <si>
    <t>Suelos Manejados</t>
  </si>
  <si>
    <t>Emisiones de Metano de la Fermentación Entérica de VACUNOS LECHEROS EN PRODUCCIÓN</t>
  </si>
  <si>
    <t>Emisiones de Metano de la Fermentación Entérica de OTRO GANADO VACUNO</t>
  </si>
  <si>
    <t>Proporción del área de cultivos donde se quema biomasa</t>
  </si>
  <si>
    <t>Dice el IPCC: "Respecto a la combustión de biomasa no boscosa en pastizales y tierras de cultivo, no es necesario estimar ni declarar las emisiones de CO2 porque se supone que las absorciones anuales de CO2 (a través del crecimiento) y las emisiones anuales de CO2 (ya sea por descomposición o fuego) por parte de la biomasa están en equilibrio (véase lo analizado precedentemente sobre sincronía en la Sección 2.4)".</t>
  </si>
  <si>
    <t>GL 2006 refinadas 2019.  - Volumen 4 - Capitulo 2 - Cuadro 2.4</t>
  </si>
  <si>
    <t>GL 2006 refinadas 2019.  - Volumen 4 - Capitulo 2 - Cuadro 2.6</t>
  </si>
  <si>
    <t>GL 2006 refinadas 2019. Cuadro 5.14</t>
  </si>
  <si>
    <t>GL 2006 refinadas 2019 - Volumen 4 - Capitulo 10 - Cuadro 10.11
Se considera una productividad media</t>
  </si>
  <si>
    <t>GL 2006 refinadas 2019 - Volumen 4 - Capitulo 10 - Cuadro 10.10</t>
  </si>
  <si>
    <t>GL 2006 refinadas 2019 - Volumen 4 - Capitulo 10 - Cuadros 10.21</t>
  </si>
  <si>
    <t>GL 2006 refinadas 2019. Cuadro 5.11</t>
  </si>
  <si>
    <t>GL 2006 refinadas 2019. Cuadro 5.12</t>
  </si>
  <si>
    <t>GL 2006 refinadas 2019. Cuadro 5.13</t>
  </si>
  <si>
    <t xml:space="preserve">Vaquilla lechera joven de reemplazo </t>
  </si>
  <si>
    <t xml:space="preserve">Vaquilla joven de reemplazo para carne </t>
  </si>
  <si>
    <t>Sistema Internacional - Guide for the Use of the International System of Units (SI) (http://physics.nist.gov/cuu/pdf/sp811.pdf)</t>
  </si>
  <si>
    <t>http://www.metric-conversions.org/es/volumen/tabla-de-conversion-de-centimetros-cubicos-a-litros.htm</t>
  </si>
  <si>
    <t>: no ocurre</t>
  </si>
  <si>
    <t>NO</t>
  </si>
  <si>
    <t>: no aplicable</t>
  </si>
  <si>
    <t>NA</t>
  </si>
  <si>
    <t>: información confidencial</t>
  </si>
  <si>
    <t>C</t>
  </si>
  <si>
    <t>: incluido en otro lugar</t>
  </si>
  <si>
    <t>IE</t>
  </si>
  <si>
    <t>: no estimado</t>
  </si>
  <si>
    <t>: factor de emisión del N lixiviado</t>
  </si>
  <si>
    <r>
      <rPr>
        <sz val="10"/>
        <color rgb="FF000000"/>
        <rFont val="Calibri"/>
        <family val="2"/>
      </rPr>
      <t>FE</t>
    </r>
    <r>
      <rPr>
        <vertAlign val="subscript"/>
        <sz val="10"/>
        <color rgb="FF000000"/>
        <rFont val="Calibri"/>
        <family val="2"/>
      </rPr>
      <t>5</t>
    </r>
  </si>
  <si>
    <t>: fracción del nitrógeno del fertilizante o estiércol</t>
  </si>
  <si>
    <r>
      <rPr>
        <sz val="10"/>
        <color rgb="FF000000"/>
        <rFont val="Calibri"/>
        <family val="2"/>
      </rPr>
      <t>Frac</t>
    </r>
    <r>
      <rPr>
        <vertAlign val="subscript"/>
        <sz val="10"/>
        <color rgb="FF000000"/>
        <rFont val="Calibri"/>
        <family val="2"/>
      </rPr>
      <t>LIX</t>
    </r>
  </si>
  <si>
    <t>: factor de emisión del nitrógeno depositado</t>
  </si>
  <si>
    <r>
      <rPr>
        <sz val="10"/>
        <color rgb="FF000000"/>
        <rFont val="Calibri"/>
        <family val="2"/>
      </rPr>
      <t>FE</t>
    </r>
    <r>
      <rPr>
        <vertAlign val="subscript"/>
        <sz val="10"/>
        <color rgb="FF000000"/>
        <rFont val="Calibri"/>
        <family val="2"/>
      </rPr>
      <t>4</t>
    </r>
  </si>
  <si>
    <t>: fracción del total de N del fertilizante sintético que se emite como NH3 + NOx</t>
  </si>
  <si>
    <r>
      <rPr>
        <sz val="10"/>
        <color rgb="FF000000"/>
        <rFont val="Calibri"/>
        <family val="2"/>
      </rPr>
      <t>Frac</t>
    </r>
    <r>
      <rPr>
        <vertAlign val="subscript"/>
        <sz val="10"/>
        <color rgb="FF000000"/>
        <rFont val="Calibri"/>
        <family val="2"/>
      </rPr>
      <t>GASF</t>
    </r>
  </si>
  <si>
    <t>: factor de emisión correspondiente a praderas y pastizales</t>
  </si>
  <si>
    <r>
      <rPr>
        <sz val="10"/>
        <color rgb="FF000000"/>
        <rFont val="Calibri"/>
        <family val="2"/>
      </rPr>
      <t>FE</t>
    </r>
    <r>
      <rPr>
        <vertAlign val="subscript"/>
        <sz val="10"/>
        <color rgb="FF000000"/>
        <rFont val="Calibri"/>
        <family val="2"/>
      </rPr>
      <t>3</t>
    </r>
  </si>
  <si>
    <t>: fracción de los residuos de las cosechas que se retiran del campo</t>
  </si>
  <si>
    <r>
      <rPr>
        <sz val="10"/>
        <color rgb="FF000000"/>
        <rFont val="Calibri"/>
        <family val="2"/>
      </rPr>
      <t>Frac</t>
    </r>
    <r>
      <rPr>
        <vertAlign val="subscript"/>
        <sz val="10"/>
        <color rgb="FF000000"/>
        <rFont val="Calibri"/>
        <family val="2"/>
      </rPr>
      <t>R</t>
    </r>
  </si>
  <si>
    <t>: fracción del nitrógeno en cultivos fijadores del N</t>
  </si>
  <si>
    <r>
      <rPr>
        <sz val="10"/>
        <color rgb="FF000000"/>
        <rFont val="Calibri"/>
        <family val="2"/>
      </rPr>
      <t>Frac</t>
    </r>
    <r>
      <rPr>
        <vertAlign val="subscript"/>
        <sz val="10"/>
        <color rgb="FF000000"/>
        <rFont val="Calibri"/>
        <family val="2"/>
      </rPr>
      <t>NCBRF</t>
    </r>
  </si>
  <si>
    <t>: fracción del nitrógeno en cultivos no fijadores del N</t>
  </si>
  <si>
    <r>
      <rPr>
        <sz val="10"/>
        <color rgb="FF000000"/>
        <rFont val="Calibri"/>
        <family val="2"/>
      </rPr>
      <t>Frac</t>
    </r>
    <r>
      <rPr>
        <vertAlign val="subscript"/>
        <sz val="10"/>
        <color rgb="FF000000"/>
        <rFont val="Calibri"/>
        <family val="2"/>
      </rPr>
      <t>NCR0</t>
    </r>
  </si>
  <si>
    <t>: fracción del total de N excretado que se volatiliza como NH3 y NOx</t>
  </si>
  <si>
    <r>
      <rPr>
        <sz val="10"/>
        <color rgb="FF000000"/>
        <rFont val="Calibri"/>
        <family val="2"/>
      </rPr>
      <t>Frac</t>
    </r>
    <r>
      <rPr>
        <vertAlign val="subscript"/>
        <sz val="10"/>
        <color rgb="FF000000"/>
        <rFont val="Calibri"/>
        <family val="2"/>
      </rPr>
      <t>Gasm</t>
    </r>
  </si>
  <si>
    <t>: factor de emisión correspondiente a las emisiones procedentes del cultivo de suelos orgánicos</t>
  </si>
  <si>
    <r>
      <rPr>
        <sz val="10"/>
        <color rgb="FF000000"/>
        <rFont val="Calibri"/>
        <family val="2"/>
      </rPr>
      <t>FE</t>
    </r>
    <r>
      <rPr>
        <vertAlign val="subscript"/>
        <sz val="10"/>
        <color rgb="FF000000"/>
        <rFont val="Calibri"/>
        <family val="2"/>
      </rPr>
      <t>2</t>
    </r>
  </si>
  <si>
    <t xml:space="preserve">: factor de emisión correspondiente a las emisiones procedentes de aportes de N </t>
  </si>
  <si>
    <r>
      <rPr>
        <sz val="10"/>
        <color rgb="FF000000"/>
        <rFont val="Calibri"/>
        <family val="2"/>
      </rPr>
      <t>FE</t>
    </r>
    <r>
      <rPr>
        <vertAlign val="subscript"/>
        <sz val="10"/>
        <color rgb="FF000000"/>
        <rFont val="Calibri"/>
        <family val="2"/>
      </rPr>
      <t>1</t>
    </r>
  </si>
  <si>
    <t>: Carbono</t>
  </si>
  <si>
    <t>: grados centigrados</t>
  </si>
  <si>
    <t>°C</t>
  </si>
  <si>
    <t xml:space="preserve">: Organización de las Naciones Unidas para la Alimentación y la Agricultura </t>
  </si>
  <si>
    <t>FAO</t>
  </si>
  <si>
    <t>: megajoules</t>
  </si>
  <si>
    <t>MJ</t>
  </si>
  <si>
    <t>: metros cuadrados</t>
  </si>
  <si>
    <r>
      <rPr>
        <sz val="10"/>
        <color rgb="FF000000"/>
        <rFont val="Calibri"/>
        <family val="2"/>
      </rPr>
      <t>m</t>
    </r>
    <r>
      <rPr>
        <vertAlign val="superscript"/>
        <sz val="10"/>
        <color rgb="FF000000"/>
        <rFont val="Calibri"/>
        <family val="2"/>
      </rPr>
      <t>2</t>
    </r>
  </si>
  <si>
    <t>: Nitrógeno</t>
  </si>
  <si>
    <t>N</t>
  </si>
  <si>
    <t>: hectárea</t>
  </si>
  <si>
    <t>: dry matter (materia seca)</t>
  </si>
  <si>
    <t>dm</t>
  </si>
  <si>
    <t>: kg</t>
  </si>
  <si>
    <t>: litros</t>
  </si>
  <si>
    <t>lts</t>
  </si>
  <si>
    <t>: toneladas</t>
  </si>
  <si>
    <t>ton</t>
  </si>
  <si>
    <t>: Dióxido de carbono equivalente</t>
  </si>
  <si>
    <r>
      <rPr>
        <sz val="10"/>
        <color rgb="FF000000"/>
        <rFont val="Calibri"/>
        <family val="2"/>
      </rPr>
      <t>CO</t>
    </r>
    <r>
      <rPr>
        <vertAlign val="subscript"/>
        <sz val="10"/>
        <color rgb="FF000000"/>
        <rFont val="Calibri"/>
        <family val="2"/>
      </rPr>
      <t>2</t>
    </r>
    <r>
      <rPr>
        <sz val="10"/>
        <color rgb="FF000000"/>
        <rFont val="Calibri"/>
        <family val="2"/>
      </rPr>
      <t>e</t>
    </r>
  </si>
  <si>
    <t>: Oxido Nitroso</t>
  </si>
  <si>
    <r>
      <rPr>
        <sz val="10"/>
        <color rgb="FF000000"/>
        <rFont val="Calibri"/>
        <family val="2"/>
      </rPr>
      <t>N</t>
    </r>
    <r>
      <rPr>
        <vertAlign val="subscript"/>
        <sz val="10"/>
        <color rgb="FF000000"/>
        <rFont val="Calibri"/>
        <family val="2"/>
      </rPr>
      <t>2</t>
    </r>
    <r>
      <rPr>
        <sz val="10"/>
        <color rgb="FF000000"/>
        <rFont val="Calibri"/>
        <family val="2"/>
      </rPr>
      <t>O</t>
    </r>
  </si>
  <si>
    <t>: Metano</t>
  </si>
  <si>
    <r>
      <rPr>
        <sz val="10"/>
        <color rgb="FF000000"/>
        <rFont val="Calibri"/>
        <family val="2"/>
      </rPr>
      <t>CH</t>
    </r>
    <r>
      <rPr>
        <vertAlign val="subscript"/>
        <sz val="10"/>
        <color rgb="FF000000"/>
        <rFont val="Calibri"/>
        <family val="2"/>
      </rPr>
      <t>4</t>
    </r>
  </si>
  <si>
    <t xml:space="preserve">: Dióxido de carbono </t>
  </si>
  <si>
    <r>
      <rPr>
        <sz val="10"/>
        <color rgb="FF000000"/>
        <rFont val="Calibri"/>
        <family val="2"/>
      </rPr>
      <t>CO</t>
    </r>
    <r>
      <rPr>
        <vertAlign val="subscript"/>
        <sz val="10"/>
        <color rgb="FF000000"/>
        <rFont val="Calibri"/>
        <family val="2"/>
      </rPr>
      <t>2</t>
    </r>
  </si>
  <si>
    <t xml:space="preserve">: Reporte Anual de Gases de Efecto Invernadero </t>
  </si>
  <si>
    <t>RAGEI</t>
  </si>
  <si>
    <t>: Inventario Nacional de Gases de Efecto Invernadero</t>
  </si>
  <si>
    <t>INGEI</t>
  </si>
  <si>
    <t>: Panel Intergubernamental sobre cambio climático</t>
  </si>
  <si>
    <t>IPCC</t>
  </si>
  <si>
    <t>: Sistema de Manejo de Estiércol</t>
  </si>
  <si>
    <t xml:space="preserve">: Información de Base </t>
  </si>
  <si>
    <t>INFOBASE</t>
  </si>
  <si>
    <t>: Factor de Emisión</t>
  </si>
  <si>
    <t>FE</t>
  </si>
  <si>
    <t>: Gases de Efecto Invernadero</t>
  </si>
  <si>
    <t>GEI</t>
  </si>
  <si>
    <t xml:space="preserve">ABREVIATURAS </t>
  </si>
  <si>
    <t>Las hojas se relacionan como se muestra en el diagrama:</t>
  </si>
  <si>
    <t xml:space="preserve"> </t>
  </si>
  <si>
    <t>Resultados GEI de Agricultura</t>
  </si>
  <si>
    <t xml:space="preserve">Hojas de estimaciones de emisiones GEI </t>
  </si>
  <si>
    <t>Factores de emisión y de conversión</t>
  </si>
  <si>
    <t>Información procesada de nivel de actividad</t>
  </si>
  <si>
    <t>Información base de nivel de actividad</t>
  </si>
  <si>
    <t>Caracterización de datos</t>
  </si>
  <si>
    <t>Descripción</t>
  </si>
  <si>
    <t>Color de hoja</t>
  </si>
  <si>
    <t>Las hojas de cálculo están agrupadas por los siguientes colores:</t>
  </si>
  <si>
    <t xml:space="preserve">ESTRUCTURA DE LA HOJA DE CALCULO </t>
  </si>
  <si>
    <t>Nivel 3: El método mas exigente en términos de complejidad y requerimientos de datos, usualmente implica el uso de modelos y ecuaciones complejas.</t>
  </si>
  <si>
    <t>Nivel 2: Método intermedio de cálculo en términos de esfuerzo y sofisticación, en la mayoría de casos se basa en el uso de niveles de actividad disponible y factores de emisión mas detallados o específicos.</t>
  </si>
  <si>
    <t>Nivel 1: El método mas básico que es aplicado cuando se utiliza niveles de actividad disponibles y factores de emisión por defecto de las guías del IPCC.</t>
  </si>
  <si>
    <t>Para el cálculo de Emisiones GEI:</t>
  </si>
  <si>
    <t xml:space="preserve">Guía Nº 7: Elaboración del Reporte Anual de Gases de Efecto Invernadero - Sector Agricultura. Categorías: Fermentación Entérica, Manejo del Estiércol, Cultivos de Arroz, Suelos Agrícolas, Quema de Sabanas (pastos) y Quema de Residuos Agrícolas </t>
  </si>
  <si>
    <t>METODOLOGÍA DE CALCULO</t>
  </si>
  <si>
    <r>
      <rPr>
        <sz val="10"/>
        <rFont val="Calibri"/>
        <family val="2"/>
      </rPr>
      <t xml:space="preserve">El </t>
    </r>
    <r>
      <rPr>
        <b/>
        <sz val="10"/>
        <color rgb="FF0582FF"/>
        <rFont val="Calibri"/>
        <family val="2"/>
      </rPr>
      <t>Sector Agricultura</t>
    </r>
    <r>
      <rPr>
        <sz val="10"/>
        <rFont val="Calibri"/>
        <family val="2"/>
      </rPr>
      <t xml:space="preserve"> incluye las emisiones de gases de efecto invernadero (GEI) que se generan por el desarrollo de actividades tanto agrícolas como pecuarias. Estas actividades implican transformaciones de carbono y nitrógeno, dirigidas por procesos biológicos (actividad de microorganismos, plantas y animales) y físicos (combustión, lixiviación, etc).   </t>
    </r>
  </si>
  <si>
    <t>ALCANCE</t>
  </si>
  <si>
    <t xml:space="preserve">INSTRUCCIONES </t>
  </si>
  <si>
    <t>SECTOR AGRICULTURA</t>
  </si>
  <si>
    <t>REPORTE ANUAL DE GASES DE EFECTO INVERNADERO - AÑO BASE 2016</t>
  </si>
  <si>
    <t>D</t>
  </si>
  <si>
    <t>Las cabezas de ganado sirven para que, una vez multiplicados por su respectivo factor de emisión, se determinen las emisiones de GEI por cada tipo de ganado.</t>
  </si>
  <si>
    <t>Hojas relacionada</t>
  </si>
  <si>
    <t>Fuente de información</t>
  </si>
  <si>
    <t>TIER/Nivel</t>
  </si>
  <si>
    <t>calculado (C)/
por defecto (D)</t>
  </si>
  <si>
    <t>Factor de emisión</t>
  </si>
  <si>
    <t>Fuente de emisión / captura</t>
  </si>
  <si>
    <t>Comentarios</t>
  </si>
  <si>
    <t>Gases de GEI generados por el nivel de actividad</t>
  </si>
  <si>
    <t>Uso de la información</t>
  </si>
  <si>
    <t>Definición IPCC</t>
  </si>
  <si>
    <t>Clasificación</t>
  </si>
  <si>
    <t>Caracterización de Datos - Sector Agricultura</t>
  </si>
  <si>
    <r>
      <t xml:space="preserve">Superficie cosechada
</t>
    </r>
    <r>
      <rPr>
        <sz val="10"/>
        <rFont val="Calibri"/>
        <family val="2"/>
        <scheme val="minor"/>
      </rPr>
      <t>(m2 x10-9)</t>
    </r>
  </si>
  <si>
    <r>
      <t>m</t>
    </r>
    <r>
      <rPr>
        <vertAlign val="superscript"/>
        <sz val="10"/>
        <rFont val="Calibri"/>
        <family val="2"/>
        <scheme val="minor"/>
      </rPr>
      <t>2</t>
    </r>
  </si>
  <si>
    <r>
      <rPr>
        <i/>
        <sz val="10"/>
        <color theme="1"/>
        <rFont val="Calibri"/>
        <family val="2"/>
        <scheme val="minor"/>
      </rPr>
      <t>Cf</t>
    </r>
    <r>
      <rPr>
        <sz val="10"/>
        <color theme="1"/>
        <rFont val="Calibri"/>
        <family val="2"/>
        <scheme val="minor"/>
      </rPr>
      <t xml:space="preserve"> Coef. para calcular energia neta mantenimiento animales no lactando</t>
    </r>
  </si>
  <si>
    <r>
      <rPr>
        <i/>
        <sz val="10"/>
        <color theme="1"/>
        <rFont val="Calibri"/>
        <family val="2"/>
        <scheme val="minor"/>
      </rPr>
      <t>Cf</t>
    </r>
    <r>
      <rPr>
        <sz val="10"/>
        <color theme="1"/>
        <rFont val="Calibri"/>
        <family val="2"/>
        <scheme val="minor"/>
      </rPr>
      <t xml:space="preserve"> Coef. Para calcular energia neta mantenimiento  vacas lactando</t>
    </r>
  </si>
  <si>
    <r>
      <rPr>
        <i/>
        <sz val="10"/>
        <color theme="1"/>
        <rFont val="Calibri"/>
        <family val="2"/>
        <scheme val="minor"/>
      </rPr>
      <t>Ca</t>
    </r>
    <r>
      <rPr>
        <sz val="10"/>
        <color theme="1"/>
        <rFont val="Calibri"/>
        <family val="2"/>
        <scheme val="minor"/>
      </rPr>
      <t xml:space="preserve"> coeficiente de actividad pastoreo de grandes áreas</t>
    </r>
  </si>
  <si>
    <r>
      <rPr>
        <i/>
        <sz val="10"/>
        <color theme="1"/>
        <rFont val="Calibri"/>
        <family val="2"/>
        <scheme val="minor"/>
      </rPr>
      <t>Ca</t>
    </r>
    <r>
      <rPr>
        <sz val="10"/>
        <color theme="1"/>
        <rFont val="Calibri"/>
        <family val="2"/>
        <scheme val="minor"/>
      </rPr>
      <t xml:space="preserve"> coeficiente de actividad pastoreo de pequeñas áreas</t>
    </r>
  </si>
  <si>
    <r>
      <rPr>
        <i/>
        <sz val="10"/>
        <color theme="1"/>
        <rFont val="Calibri"/>
        <family val="2"/>
        <scheme val="minor"/>
      </rPr>
      <t>Ca</t>
    </r>
    <r>
      <rPr>
        <sz val="10"/>
        <color theme="1"/>
        <rFont val="Calibri"/>
        <family val="2"/>
        <scheme val="minor"/>
      </rPr>
      <t xml:space="preserve"> coeficiente de actividad animales estabulados</t>
    </r>
  </si>
  <si>
    <r>
      <rPr>
        <i/>
        <sz val="10"/>
        <color theme="1"/>
        <rFont val="Calibri"/>
        <family val="2"/>
        <scheme val="minor"/>
      </rPr>
      <t>C</t>
    </r>
    <r>
      <rPr>
        <sz val="10"/>
        <color theme="1"/>
        <rFont val="Calibri"/>
        <family val="2"/>
        <scheme val="minor"/>
      </rPr>
      <t xml:space="preserve"> Coeficiente valor toro</t>
    </r>
  </si>
  <si>
    <r>
      <rPr>
        <i/>
        <sz val="10"/>
        <color theme="1"/>
        <rFont val="Calibri"/>
        <family val="2"/>
        <scheme val="minor"/>
      </rPr>
      <t>C</t>
    </r>
    <r>
      <rPr>
        <sz val="10"/>
        <color theme="1"/>
        <rFont val="Calibri"/>
        <family val="2"/>
        <scheme val="minor"/>
      </rPr>
      <t xml:space="preserve"> coeficiente valor macho castrado</t>
    </r>
  </si>
  <si>
    <r>
      <rPr>
        <i/>
        <sz val="10"/>
        <color theme="1"/>
        <rFont val="Calibri"/>
        <family val="2"/>
        <scheme val="minor"/>
      </rPr>
      <t>C</t>
    </r>
    <r>
      <rPr>
        <sz val="10"/>
        <color theme="1"/>
        <rFont val="Calibri"/>
        <family val="2"/>
        <scheme val="minor"/>
      </rPr>
      <t xml:space="preserve"> Coeficiente valor hembra</t>
    </r>
  </si>
  <si>
    <r>
      <rPr>
        <i/>
        <sz val="10"/>
        <color theme="1"/>
        <rFont val="Calibri"/>
        <family val="2"/>
        <scheme val="minor"/>
      </rPr>
      <t>Cp</t>
    </r>
    <r>
      <rPr>
        <sz val="10"/>
        <color theme="1"/>
        <rFont val="Calibri"/>
        <family val="2"/>
        <scheme val="minor"/>
      </rPr>
      <t xml:space="preserve"> Coeficiente de preñez</t>
    </r>
  </si>
  <si>
    <r>
      <t>EF4 (volatilización y re-deposición de N], kg N2O–N (kg NH3–N + NOX–N volatilizado)</t>
    </r>
    <r>
      <rPr>
        <vertAlign val="superscript"/>
        <sz val="10"/>
        <rFont val="Calibri"/>
        <family val="2"/>
        <scheme val="minor"/>
      </rPr>
      <t>-1</t>
    </r>
  </si>
  <si>
    <r>
      <t>EF5 [lixiviación/escurrimiento], kg N2O–N (kg N lixiviación/escurrimiento)</t>
    </r>
    <r>
      <rPr>
        <vertAlign val="superscript"/>
        <sz val="10"/>
        <rFont val="Calibri"/>
        <family val="2"/>
        <scheme val="minor"/>
      </rPr>
      <t>-1</t>
    </r>
  </si>
  <si>
    <r>
      <t>FracGASF [Volatilización de fertilizante sintético] , (kg NH3–N + NOx–N) (kg N aplicado)</t>
    </r>
    <r>
      <rPr>
        <vertAlign val="superscript"/>
        <sz val="10"/>
        <rFont val="Calibri"/>
        <family val="2"/>
        <scheme val="minor"/>
      </rPr>
      <t>–1</t>
    </r>
  </si>
  <si>
    <r>
      <t>FracGASM [Volatilización de todos los fertilizantes de N orgánicos aplicados, y de estiércol y orina depositados por animales en pastoreo], (kg NH3–N + NOx–N) (kg N aplicado o depositado)</t>
    </r>
    <r>
      <rPr>
        <vertAlign val="superscript"/>
        <sz val="10"/>
        <rFont val="Calibri"/>
        <family val="2"/>
        <scheme val="minor"/>
      </rPr>
      <t>–1</t>
    </r>
  </si>
  <si>
    <r>
      <t>FracLEACH-(H) [N losses by
leaching/runoff in wet climates]
, kg N (kg N additions or deposition by
grazing animals)</t>
    </r>
    <r>
      <rPr>
        <vertAlign val="superscript"/>
        <sz val="10"/>
        <rFont val="Calibri"/>
        <family val="2"/>
        <scheme val="minor"/>
      </rPr>
      <t>-1</t>
    </r>
  </si>
  <si>
    <r>
      <t>Factor de emisión (kg CH</t>
    </r>
    <r>
      <rPr>
        <b/>
        <vertAlign val="subscript"/>
        <sz val="10"/>
        <rFont val="Calibri"/>
        <family val="2"/>
        <scheme val="minor"/>
      </rPr>
      <t>4</t>
    </r>
    <r>
      <rPr>
        <b/>
        <sz val="10"/>
        <rFont val="Calibri"/>
        <family val="2"/>
        <scheme val="minor"/>
      </rPr>
      <t xml:space="preserve"> ha</t>
    </r>
    <r>
      <rPr>
        <b/>
        <vertAlign val="superscript"/>
        <sz val="10"/>
        <rFont val="Calibri"/>
        <family val="2"/>
        <scheme val="minor"/>
      </rPr>
      <t>-1</t>
    </r>
    <r>
      <rPr>
        <b/>
        <sz val="10"/>
        <rFont val="Calibri"/>
        <family val="2"/>
        <scheme val="minor"/>
      </rPr>
      <t xml:space="preserve"> d</t>
    </r>
    <r>
      <rPr>
        <b/>
        <vertAlign val="superscript"/>
        <sz val="10"/>
        <rFont val="Calibri"/>
        <family val="2"/>
        <scheme val="minor"/>
      </rPr>
      <t>-1</t>
    </r>
    <r>
      <rPr>
        <b/>
        <sz val="10"/>
        <rFont val="Calibri"/>
        <family val="2"/>
        <scheme val="minor"/>
      </rPr>
      <t>)</t>
    </r>
  </si>
  <si>
    <r>
      <t>Fcator de escala (SF</t>
    </r>
    <r>
      <rPr>
        <b/>
        <vertAlign val="subscript"/>
        <sz val="10"/>
        <rFont val="Calibri"/>
        <family val="2"/>
        <scheme val="minor"/>
      </rPr>
      <t>W</t>
    </r>
    <r>
      <rPr>
        <b/>
        <sz val="10"/>
        <rFont val="Calibri"/>
        <family val="2"/>
        <scheme val="minor"/>
      </rPr>
      <t>)</t>
    </r>
  </si>
  <si>
    <r>
      <t xml:space="preserve">N </t>
    </r>
    <r>
      <rPr>
        <b/>
        <vertAlign val="subscript"/>
        <sz val="10"/>
        <rFont val="Calibri"/>
        <family val="2"/>
        <scheme val="minor"/>
      </rPr>
      <t>(T)</t>
    </r>
  </si>
  <si>
    <r>
      <t>EF</t>
    </r>
    <r>
      <rPr>
        <b/>
        <vertAlign val="subscript"/>
        <sz val="10"/>
        <rFont val="Calibri"/>
        <family val="2"/>
        <scheme val="minor"/>
      </rPr>
      <t>(T)</t>
    </r>
  </si>
  <si>
    <r>
      <t>CH</t>
    </r>
    <r>
      <rPr>
        <b/>
        <vertAlign val="subscript"/>
        <sz val="10"/>
        <rFont val="Calibri"/>
        <family val="2"/>
        <scheme val="minor"/>
      </rPr>
      <t>4</t>
    </r>
    <r>
      <rPr>
        <b/>
        <sz val="10"/>
        <rFont val="Calibri"/>
        <family val="2"/>
        <scheme val="minor"/>
      </rPr>
      <t xml:space="preserve"> </t>
    </r>
    <r>
      <rPr>
        <b/>
        <vertAlign val="subscript"/>
        <sz val="10"/>
        <rFont val="Calibri"/>
        <family val="2"/>
        <scheme val="minor"/>
      </rPr>
      <t>Enteric</t>
    </r>
  </si>
  <si>
    <r>
      <t>CH</t>
    </r>
    <r>
      <rPr>
        <b/>
        <vertAlign val="subscript"/>
        <sz val="10"/>
        <rFont val="Calibri"/>
        <family val="2"/>
        <scheme val="minor"/>
      </rPr>
      <t>4</t>
    </r>
    <r>
      <rPr>
        <b/>
        <sz val="10"/>
        <rFont val="Calibri"/>
        <family val="2"/>
        <scheme val="minor"/>
      </rPr>
      <t xml:space="preserve"> </t>
    </r>
    <r>
      <rPr>
        <b/>
        <vertAlign val="subscript"/>
        <sz val="10"/>
        <rFont val="Calibri"/>
        <family val="2"/>
        <scheme val="minor"/>
      </rPr>
      <t>Manure</t>
    </r>
  </si>
  <si>
    <r>
      <t>(kg N animal</t>
    </r>
    <r>
      <rPr>
        <vertAlign val="superscript"/>
        <sz val="10"/>
        <rFont val="Calibri"/>
        <family val="2"/>
        <scheme val="minor"/>
      </rPr>
      <t>-1</t>
    </r>
    <r>
      <rPr>
        <sz val="10"/>
        <rFont val="Calibri"/>
        <family val="2"/>
        <scheme val="minor"/>
      </rPr>
      <t xml:space="preserve"> </t>
    </r>
  </si>
  <si>
    <r>
      <t>[kg N</t>
    </r>
    <r>
      <rPr>
        <vertAlign val="subscript"/>
        <sz val="10"/>
        <rFont val="Calibri"/>
        <family val="2"/>
        <scheme val="minor"/>
      </rPr>
      <t>2</t>
    </r>
    <r>
      <rPr>
        <sz val="10"/>
        <rFont val="Calibri"/>
        <family val="2"/>
        <scheme val="minor"/>
      </rPr>
      <t>O-N</t>
    </r>
  </si>
  <si>
    <r>
      <t>Nex</t>
    </r>
    <r>
      <rPr>
        <vertAlign val="subscript"/>
        <sz val="10"/>
        <rFont val="Calibri"/>
        <family val="2"/>
        <scheme val="minor"/>
      </rPr>
      <t>(T)</t>
    </r>
    <r>
      <rPr>
        <sz val="10"/>
        <rFont val="Calibri"/>
        <family val="2"/>
        <scheme val="minor"/>
      </rPr>
      <t xml:space="preserve"> = N</t>
    </r>
    <r>
      <rPr>
        <vertAlign val="subscript"/>
        <sz val="10"/>
        <rFont val="Calibri"/>
        <family val="2"/>
        <scheme val="minor"/>
      </rPr>
      <t>rate(T)</t>
    </r>
    <r>
      <rPr>
        <sz val="10"/>
        <rFont val="Calibri"/>
        <family val="2"/>
        <scheme val="minor"/>
      </rPr>
      <t xml:space="preserve"> * TAM * 10</t>
    </r>
    <r>
      <rPr>
        <vertAlign val="superscript"/>
        <sz val="10"/>
        <rFont val="Calibri"/>
        <family val="2"/>
        <scheme val="minor"/>
      </rPr>
      <t>-3</t>
    </r>
    <r>
      <rPr>
        <sz val="10"/>
        <rFont val="Calibri"/>
        <family val="2"/>
        <scheme val="minor"/>
      </rPr>
      <t xml:space="preserve"> * 365</t>
    </r>
  </si>
  <si>
    <r>
      <t>NE</t>
    </r>
    <r>
      <rPr>
        <vertAlign val="subscript"/>
        <sz val="10"/>
        <rFont val="Calibri"/>
        <family val="2"/>
        <scheme val="minor"/>
      </rPr>
      <t>MMS</t>
    </r>
    <r>
      <rPr>
        <sz val="10"/>
        <rFont val="Calibri"/>
        <family val="2"/>
        <scheme val="minor"/>
      </rPr>
      <t xml:space="preserve"> =</t>
    </r>
  </si>
  <si>
    <r>
      <t>N</t>
    </r>
    <r>
      <rPr>
        <vertAlign val="subscript"/>
        <sz val="10"/>
        <rFont val="Calibri"/>
        <family val="2"/>
        <scheme val="minor"/>
      </rPr>
      <t>2</t>
    </r>
    <r>
      <rPr>
        <sz val="10"/>
        <rFont val="Calibri"/>
        <family val="2"/>
        <scheme val="minor"/>
      </rPr>
      <t>O</t>
    </r>
    <r>
      <rPr>
        <vertAlign val="subscript"/>
        <sz val="10"/>
        <rFont val="Calibri"/>
        <family val="2"/>
        <scheme val="minor"/>
      </rPr>
      <t>(mm)</t>
    </r>
    <r>
      <rPr>
        <sz val="10"/>
        <rFont val="Calibri"/>
        <family val="2"/>
        <scheme val="minor"/>
      </rPr>
      <t xml:space="preserve"> =</t>
    </r>
  </si>
  <si>
    <r>
      <t>N</t>
    </r>
    <r>
      <rPr>
        <vertAlign val="subscript"/>
        <sz val="10"/>
        <rFont val="Calibri"/>
        <family val="2"/>
        <scheme val="minor"/>
      </rPr>
      <t>(T)</t>
    </r>
    <r>
      <rPr>
        <sz val="10"/>
        <rFont val="Calibri"/>
        <family val="2"/>
        <scheme val="minor"/>
      </rPr>
      <t xml:space="preserve"> * Nex</t>
    </r>
    <r>
      <rPr>
        <vertAlign val="subscript"/>
        <sz val="10"/>
        <rFont val="Calibri"/>
        <family val="2"/>
        <scheme val="minor"/>
      </rPr>
      <t>(T)</t>
    </r>
    <r>
      <rPr>
        <sz val="10"/>
        <rFont val="Calibri"/>
        <family val="2"/>
        <scheme val="minor"/>
      </rPr>
      <t xml:space="preserve"> * MS</t>
    </r>
    <r>
      <rPr>
        <vertAlign val="subscript"/>
        <sz val="10"/>
        <rFont val="Calibri"/>
        <family val="2"/>
        <scheme val="minor"/>
      </rPr>
      <t>(T,S)</t>
    </r>
  </si>
  <si>
    <r>
      <t>NE</t>
    </r>
    <r>
      <rPr>
        <vertAlign val="subscript"/>
        <sz val="10"/>
        <rFont val="Calibri"/>
        <family val="2"/>
        <scheme val="minor"/>
      </rPr>
      <t>MMS</t>
    </r>
    <r>
      <rPr>
        <sz val="10"/>
        <rFont val="Calibri"/>
        <family val="2"/>
        <scheme val="minor"/>
      </rPr>
      <t xml:space="preserve"> * EF</t>
    </r>
    <r>
      <rPr>
        <vertAlign val="subscript"/>
        <sz val="10"/>
        <rFont val="Calibri"/>
        <family val="2"/>
        <scheme val="minor"/>
      </rPr>
      <t>3(S)</t>
    </r>
    <r>
      <rPr>
        <sz val="10"/>
        <rFont val="Calibri"/>
        <family val="2"/>
        <scheme val="minor"/>
      </rPr>
      <t xml:space="preserve"> * 44/28</t>
    </r>
  </si>
  <si>
    <r>
      <t>N</t>
    </r>
    <r>
      <rPr>
        <b/>
        <vertAlign val="subscript"/>
        <sz val="10"/>
        <rFont val="Calibri"/>
        <family val="2"/>
        <scheme val="minor"/>
      </rPr>
      <t>(T)</t>
    </r>
  </si>
  <si>
    <r>
      <t>N</t>
    </r>
    <r>
      <rPr>
        <b/>
        <vertAlign val="subscript"/>
        <sz val="10"/>
        <rFont val="Calibri"/>
        <family val="2"/>
        <scheme val="minor"/>
      </rPr>
      <t>rate(T)</t>
    </r>
  </si>
  <si>
    <r>
      <t>Nex</t>
    </r>
    <r>
      <rPr>
        <b/>
        <vertAlign val="subscript"/>
        <sz val="10"/>
        <rFont val="Calibri"/>
        <family val="2"/>
        <scheme val="minor"/>
      </rPr>
      <t>(T)</t>
    </r>
  </si>
  <si>
    <r>
      <t>MS</t>
    </r>
    <r>
      <rPr>
        <b/>
        <vertAlign val="subscript"/>
        <sz val="10"/>
        <rFont val="Calibri"/>
        <family val="2"/>
        <scheme val="minor"/>
      </rPr>
      <t>(T,S)</t>
    </r>
  </si>
  <si>
    <r>
      <t>NE</t>
    </r>
    <r>
      <rPr>
        <b/>
        <vertAlign val="subscript"/>
        <sz val="10"/>
        <rFont val="Calibri"/>
        <family val="2"/>
        <scheme val="minor"/>
      </rPr>
      <t>MMS</t>
    </r>
  </si>
  <si>
    <r>
      <t>EF</t>
    </r>
    <r>
      <rPr>
        <b/>
        <vertAlign val="subscript"/>
        <sz val="10"/>
        <rFont val="Calibri"/>
        <family val="2"/>
        <scheme val="minor"/>
      </rPr>
      <t>3(S)</t>
    </r>
  </si>
  <si>
    <r>
      <t>N</t>
    </r>
    <r>
      <rPr>
        <b/>
        <vertAlign val="subscript"/>
        <sz val="10"/>
        <rFont val="Calibri"/>
        <family val="2"/>
        <scheme val="minor"/>
      </rPr>
      <t>2</t>
    </r>
    <r>
      <rPr>
        <b/>
        <sz val="10"/>
        <rFont val="Calibri"/>
        <family val="2"/>
        <scheme val="minor"/>
      </rPr>
      <t>O</t>
    </r>
    <r>
      <rPr>
        <b/>
        <vertAlign val="subscript"/>
        <sz val="10"/>
        <rFont val="Calibri"/>
        <family val="2"/>
        <scheme val="minor"/>
      </rPr>
      <t xml:space="preserve">D(mm) </t>
    </r>
  </si>
  <si>
    <r>
      <t>(Gg CH</t>
    </r>
    <r>
      <rPr>
        <vertAlign val="subscript"/>
        <sz val="10"/>
        <rFont val="Calibri"/>
        <family val="2"/>
        <scheme val="minor"/>
      </rPr>
      <t>4</t>
    </r>
    <r>
      <rPr>
        <sz val="10"/>
        <rFont val="Calibri"/>
        <family val="2"/>
        <scheme val="minor"/>
      </rPr>
      <t>)</t>
    </r>
  </si>
  <si>
    <r>
      <t>(Gg N</t>
    </r>
    <r>
      <rPr>
        <vertAlign val="subscript"/>
        <sz val="10"/>
        <rFont val="Calibri"/>
        <family val="2"/>
        <scheme val="minor"/>
      </rPr>
      <t>2</t>
    </r>
    <r>
      <rPr>
        <sz val="10"/>
        <rFont val="Calibri"/>
        <family val="2"/>
        <scheme val="minor"/>
      </rPr>
      <t>O)</t>
    </r>
  </si>
  <si>
    <r>
      <t>(Gg NO</t>
    </r>
    <r>
      <rPr>
        <vertAlign val="subscript"/>
        <sz val="10"/>
        <rFont val="Calibri"/>
        <family val="2"/>
        <scheme val="minor"/>
      </rPr>
      <t>x</t>
    </r>
    <r>
      <rPr>
        <sz val="10"/>
        <rFont val="Calibri"/>
        <family val="2"/>
        <scheme val="minor"/>
      </rPr>
      <t>)</t>
    </r>
  </si>
  <si>
    <r>
      <t>A * M</t>
    </r>
    <r>
      <rPr>
        <vertAlign val="subscript"/>
        <sz val="10"/>
        <rFont val="Calibri"/>
        <family val="2"/>
        <scheme val="minor"/>
      </rPr>
      <t>B</t>
    </r>
    <r>
      <rPr>
        <sz val="10"/>
        <rFont val="Calibri"/>
        <family val="2"/>
        <scheme val="minor"/>
      </rPr>
      <t xml:space="preserve"> * C</t>
    </r>
    <r>
      <rPr>
        <vertAlign val="subscript"/>
        <sz val="10"/>
        <rFont val="Calibri"/>
        <family val="2"/>
        <scheme val="minor"/>
      </rPr>
      <t>f</t>
    </r>
    <r>
      <rPr>
        <sz val="10"/>
        <rFont val="Calibri"/>
        <family val="2"/>
        <scheme val="minor"/>
      </rPr>
      <t xml:space="preserve"> * G</t>
    </r>
    <r>
      <rPr>
        <vertAlign val="subscript"/>
        <sz val="10"/>
        <rFont val="Calibri"/>
        <family val="2"/>
        <scheme val="minor"/>
      </rPr>
      <t>ef</t>
    </r>
    <r>
      <rPr>
        <sz val="10"/>
        <rFont val="Calibri"/>
        <family val="2"/>
        <scheme val="minor"/>
      </rPr>
      <t xml:space="preserve"> * 10</t>
    </r>
    <r>
      <rPr>
        <vertAlign val="superscript"/>
        <sz val="10"/>
        <rFont val="Calibri"/>
        <family val="2"/>
        <scheme val="minor"/>
      </rPr>
      <t>-3</t>
    </r>
  </si>
  <si>
    <r>
      <t>M</t>
    </r>
    <r>
      <rPr>
        <b/>
        <vertAlign val="subscript"/>
        <sz val="10"/>
        <rFont val="Calibri"/>
        <family val="2"/>
        <scheme val="minor"/>
      </rPr>
      <t>B</t>
    </r>
  </si>
  <si>
    <r>
      <t>C</t>
    </r>
    <r>
      <rPr>
        <b/>
        <vertAlign val="subscript"/>
        <sz val="10"/>
        <rFont val="Calibri"/>
        <family val="2"/>
        <scheme val="minor"/>
      </rPr>
      <t>f</t>
    </r>
  </si>
  <si>
    <r>
      <t>G</t>
    </r>
    <r>
      <rPr>
        <b/>
        <vertAlign val="subscript"/>
        <sz val="10"/>
        <rFont val="Calibri"/>
        <family val="2"/>
        <scheme val="minor"/>
      </rPr>
      <t>ef</t>
    </r>
  </si>
  <si>
    <r>
      <t>CH</t>
    </r>
    <r>
      <rPr>
        <vertAlign val="subscript"/>
        <sz val="10"/>
        <rFont val="Calibri"/>
        <family val="2"/>
        <scheme val="minor"/>
      </rPr>
      <t>4</t>
    </r>
  </si>
  <si>
    <r>
      <t>N</t>
    </r>
    <r>
      <rPr>
        <vertAlign val="subscript"/>
        <sz val="10"/>
        <rFont val="Calibri"/>
        <family val="2"/>
        <scheme val="minor"/>
      </rPr>
      <t>2</t>
    </r>
    <r>
      <rPr>
        <sz val="10"/>
        <rFont val="Calibri"/>
        <family val="2"/>
        <scheme val="minor"/>
      </rPr>
      <t>O</t>
    </r>
  </si>
  <si>
    <r>
      <t>NO</t>
    </r>
    <r>
      <rPr>
        <vertAlign val="subscript"/>
        <sz val="10"/>
        <rFont val="Calibri"/>
        <family val="2"/>
        <scheme val="minor"/>
      </rPr>
      <t>x</t>
    </r>
  </si>
  <si>
    <r>
      <t>(Gg N</t>
    </r>
    <r>
      <rPr>
        <b/>
        <vertAlign val="subscript"/>
        <sz val="10"/>
        <rFont val="Calibri"/>
        <family val="2"/>
        <scheme val="minor"/>
      </rPr>
      <t>2</t>
    </r>
    <r>
      <rPr>
        <b/>
        <sz val="10"/>
        <rFont val="Calibri"/>
        <family val="2"/>
        <scheme val="minor"/>
      </rPr>
      <t>O)</t>
    </r>
  </si>
  <si>
    <r>
      <t>(Gg CO</t>
    </r>
    <r>
      <rPr>
        <b/>
        <vertAlign val="subscript"/>
        <sz val="10"/>
        <rFont val="Calibri"/>
        <family val="2"/>
        <scheme val="minor"/>
      </rPr>
      <t>2</t>
    </r>
    <r>
      <rPr>
        <sz val="10"/>
        <rFont val="Calibri"/>
        <family val="2"/>
        <scheme val="minor"/>
      </rPr>
      <t>)</t>
    </r>
  </si>
  <si>
    <r>
      <t>EF</t>
    </r>
    <r>
      <rPr>
        <vertAlign val="subscript"/>
        <sz val="10"/>
        <rFont val="Calibri"/>
        <family val="2"/>
        <scheme val="minor"/>
      </rPr>
      <t>1</t>
    </r>
  </si>
  <si>
    <r>
      <t>F</t>
    </r>
    <r>
      <rPr>
        <vertAlign val="subscript"/>
        <sz val="10"/>
        <rFont val="Calibri"/>
        <family val="2"/>
        <scheme val="minor"/>
      </rPr>
      <t>ON</t>
    </r>
    <r>
      <rPr>
        <sz val="10"/>
        <rFont val="Calibri"/>
        <family val="2"/>
        <scheme val="minor"/>
      </rPr>
      <t>: N in animal manure, compost, sewage sludge, other</t>
    </r>
  </si>
  <si>
    <r>
      <t>EF</t>
    </r>
    <r>
      <rPr>
        <vertAlign val="subscript"/>
        <sz val="10"/>
        <rFont val="Calibri"/>
        <family val="2"/>
        <scheme val="minor"/>
      </rPr>
      <t>1FR</t>
    </r>
  </si>
  <si>
    <r>
      <t>(kg N</t>
    </r>
    <r>
      <rPr>
        <vertAlign val="subscript"/>
        <sz val="10"/>
        <rFont val="Calibri"/>
        <family val="2"/>
        <scheme val="minor"/>
      </rPr>
      <t>2</t>
    </r>
    <r>
      <rPr>
        <sz val="10"/>
        <rFont val="Calibri"/>
        <family val="2"/>
        <scheme val="minor"/>
      </rPr>
      <t>O-N</t>
    </r>
  </si>
  <si>
    <r>
      <t>N</t>
    </r>
    <r>
      <rPr>
        <vertAlign val="subscript"/>
        <sz val="10"/>
        <rFont val="Calibri"/>
        <family val="2"/>
        <scheme val="minor"/>
      </rPr>
      <t>2</t>
    </r>
    <r>
      <rPr>
        <sz val="10"/>
        <rFont val="Calibri"/>
        <family val="2"/>
        <scheme val="minor"/>
      </rPr>
      <t>O-N</t>
    </r>
    <r>
      <rPr>
        <vertAlign val="subscript"/>
        <sz val="10"/>
        <rFont val="Calibri"/>
        <family val="2"/>
        <scheme val="minor"/>
      </rPr>
      <t>OS</t>
    </r>
    <r>
      <rPr>
        <sz val="10"/>
        <rFont val="Calibri"/>
        <family val="2"/>
        <scheme val="minor"/>
      </rPr>
      <t xml:space="preserve"> = F</t>
    </r>
    <r>
      <rPr>
        <vertAlign val="subscript"/>
        <sz val="10"/>
        <rFont val="Calibri"/>
        <family val="2"/>
        <scheme val="minor"/>
      </rPr>
      <t>OS</t>
    </r>
    <r>
      <rPr>
        <sz val="10"/>
        <rFont val="Calibri"/>
        <family val="2"/>
        <scheme val="minor"/>
      </rPr>
      <t xml:space="preserve"> * EF</t>
    </r>
    <r>
      <rPr>
        <vertAlign val="subscript"/>
        <sz val="10"/>
        <rFont val="Calibri"/>
        <family val="2"/>
        <scheme val="minor"/>
      </rPr>
      <t>2</t>
    </r>
  </si>
  <si>
    <r>
      <t>N</t>
    </r>
    <r>
      <rPr>
        <vertAlign val="subscript"/>
        <sz val="10"/>
        <rFont val="Calibri"/>
        <family val="2"/>
        <scheme val="minor"/>
      </rPr>
      <t>2</t>
    </r>
    <r>
      <rPr>
        <sz val="10"/>
        <rFont val="Calibri"/>
        <family val="2"/>
        <scheme val="minor"/>
      </rPr>
      <t>O-N</t>
    </r>
    <r>
      <rPr>
        <vertAlign val="subscript"/>
        <sz val="10"/>
        <rFont val="Calibri"/>
        <family val="2"/>
        <scheme val="minor"/>
      </rPr>
      <t>PRP</t>
    </r>
    <r>
      <rPr>
        <sz val="10"/>
        <rFont val="Calibri"/>
        <family val="2"/>
        <scheme val="minor"/>
      </rPr>
      <t xml:space="preserve"> = F</t>
    </r>
    <r>
      <rPr>
        <vertAlign val="subscript"/>
        <sz val="10"/>
        <rFont val="Calibri"/>
        <family val="2"/>
        <scheme val="minor"/>
      </rPr>
      <t>PRP</t>
    </r>
    <r>
      <rPr>
        <sz val="10"/>
        <rFont val="Calibri"/>
        <family val="2"/>
        <scheme val="minor"/>
      </rPr>
      <t xml:space="preserve"> * EF</t>
    </r>
    <r>
      <rPr>
        <vertAlign val="subscript"/>
        <sz val="10"/>
        <rFont val="Calibri"/>
        <family val="2"/>
        <scheme val="minor"/>
      </rPr>
      <t>3PRP</t>
    </r>
  </si>
  <si>
    <r>
      <t>F</t>
    </r>
    <r>
      <rPr>
        <b/>
        <vertAlign val="subscript"/>
        <sz val="10"/>
        <rFont val="Calibri"/>
        <family val="2"/>
        <scheme val="minor"/>
      </rPr>
      <t>OS</t>
    </r>
  </si>
  <si>
    <r>
      <t>EF</t>
    </r>
    <r>
      <rPr>
        <b/>
        <vertAlign val="subscript"/>
        <sz val="10"/>
        <rFont val="Calibri"/>
        <family val="2"/>
        <scheme val="minor"/>
      </rPr>
      <t>2</t>
    </r>
  </si>
  <si>
    <r>
      <t>N</t>
    </r>
    <r>
      <rPr>
        <b/>
        <vertAlign val="subscript"/>
        <sz val="10"/>
        <rFont val="Calibri"/>
        <family val="2"/>
        <scheme val="minor"/>
      </rPr>
      <t>2</t>
    </r>
    <r>
      <rPr>
        <b/>
        <sz val="10"/>
        <rFont val="Calibri"/>
        <family val="2"/>
        <scheme val="minor"/>
      </rPr>
      <t>O-N</t>
    </r>
    <r>
      <rPr>
        <b/>
        <vertAlign val="subscript"/>
        <sz val="10"/>
        <rFont val="Calibri"/>
        <family val="2"/>
        <scheme val="minor"/>
      </rPr>
      <t>OS</t>
    </r>
  </si>
  <si>
    <r>
      <t>F</t>
    </r>
    <r>
      <rPr>
        <b/>
        <vertAlign val="subscript"/>
        <sz val="10"/>
        <rFont val="Calibri"/>
        <family val="2"/>
        <scheme val="minor"/>
      </rPr>
      <t>PRP</t>
    </r>
  </si>
  <si>
    <r>
      <t>EF</t>
    </r>
    <r>
      <rPr>
        <b/>
        <vertAlign val="subscript"/>
        <sz val="10"/>
        <rFont val="Calibri"/>
        <family val="2"/>
        <scheme val="minor"/>
      </rPr>
      <t>3PRP</t>
    </r>
  </si>
  <si>
    <r>
      <t>N</t>
    </r>
    <r>
      <rPr>
        <b/>
        <vertAlign val="subscript"/>
        <sz val="10"/>
        <rFont val="Calibri"/>
        <family val="2"/>
        <scheme val="minor"/>
      </rPr>
      <t>2</t>
    </r>
    <r>
      <rPr>
        <b/>
        <sz val="10"/>
        <rFont val="Calibri"/>
        <family val="2"/>
        <scheme val="minor"/>
      </rPr>
      <t>O-N</t>
    </r>
    <r>
      <rPr>
        <b/>
        <vertAlign val="subscript"/>
        <sz val="10"/>
        <rFont val="Calibri"/>
        <family val="2"/>
        <scheme val="minor"/>
      </rPr>
      <t>PRP</t>
    </r>
  </si>
  <si>
    <r>
      <t>N</t>
    </r>
    <r>
      <rPr>
        <vertAlign val="subscript"/>
        <sz val="10"/>
        <rFont val="Calibri"/>
        <family val="2"/>
        <scheme val="minor"/>
      </rPr>
      <t>2</t>
    </r>
    <r>
      <rPr>
        <sz val="10"/>
        <rFont val="Calibri"/>
        <family val="2"/>
        <scheme val="minor"/>
      </rPr>
      <t>O</t>
    </r>
    <r>
      <rPr>
        <vertAlign val="subscript"/>
        <sz val="10"/>
        <rFont val="Calibri"/>
        <family val="2"/>
        <scheme val="minor"/>
      </rPr>
      <t>(ATD)</t>
    </r>
    <r>
      <rPr>
        <sz val="10"/>
        <rFont val="Calibri"/>
        <family val="2"/>
        <scheme val="minor"/>
      </rPr>
      <t>-N  =  [(F</t>
    </r>
    <r>
      <rPr>
        <vertAlign val="subscript"/>
        <sz val="10"/>
        <rFont val="Calibri"/>
        <family val="2"/>
        <scheme val="minor"/>
      </rPr>
      <t>SN</t>
    </r>
    <r>
      <rPr>
        <sz val="10"/>
        <rFont val="Calibri"/>
        <family val="2"/>
        <scheme val="minor"/>
      </rPr>
      <t xml:space="preserve">  *  Frac</t>
    </r>
    <r>
      <rPr>
        <vertAlign val="subscript"/>
        <sz val="10"/>
        <rFont val="Calibri"/>
        <family val="2"/>
        <scheme val="minor"/>
      </rPr>
      <t>GASF</t>
    </r>
    <r>
      <rPr>
        <sz val="10"/>
        <rFont val="Calibri"/>
        <family val="2"/>
        <scheme val="minor"/>
      </rPr>
      <t xml:space="preserve"> )  +  (F</t>
    </r>
    <r>
      <rPr>
        <vertAlign val="subscript"/>
        <sz val="10"/>
        <rFont val="Calibri"/>
        <family val="2"/>
        <scheme val="minor"/>
      </rPr>
      <t>ON</t>
    </r>
    <r>
      <rPr>
        <sz val="10"/>
        <rFont val="Calibri"/>
        <family val="2"/>
        <scheme val="minor"/>
      </rPr>
      <t xml:space="preserve"> + F</t>
    </r>
    <r>
      <rPr>
        <vertAlign val="subscript"/>
        <sz val="10"/>
        <rFont val="Calibri"/>
        <family val="2"/>
        <scheme val="minor"/>
      </rPr>
      <t>PRP</t>
    </r>
    <r>
      <rPr>
        <sz val="10"/>
        <rFont val="Calibri"/>
        <family val="2"/>
        <scheme val="minor"/>
      </rPr>
      <t>) * Frac</t>
    </r>
    <r>
      <rPr>
        <vertAlign val="subscript"/>
        <sz val="10"/>
        <rFont val="Calibri"/>
        <family val="2"/>
        <scheme val="minor"/>
      </rPr>
      <t>GASM</t>
    </r>
    <r>
      <rPr>
        <sz val="10"/>
        <rFont val="Calibri"/>
        <family val="2"/>
        <scheme val="minor"/>
      </rPr>
      <t>)]  *  EF</t>
    </r>
    <r>
      <rPr>
        <vertAlign val="subscript"/>
        <sz val="10"/>
        <rFont val="Calibri"/>
        <family val="2"/>
        <scheme val="minor"/>
      </rPr>
      <t xml:space="preserve">4 </t>
    </r>
  </si>
  <si>
    <r>
      <t>F</t>
    </r>
    <r>
      <rPr>
        <b/>
        <vertAlign val="subscript"/>
        <sz val="10"/>
        <rFont val="Calibri"/>
        <family val="2"/>
        <scheme val="minor"/>
      </rPr>
      <t>SN</t>
    </r>
  </si>
  <si>
    <r>
      <t>Frac</t>
    </r>
    <r>
      <rPr>
        <b/>
        <vertAlign val="subscript"/>
        <sz val="10"/>
        <rFont val="Calibri"/>
        <family val="2"/>
        <scheme val="minor"/>
      </rPr>
      <t>GASF</t>
    </r>
  </si>
  <si>
    <r>
      <t>F</t>
    </r>
    <r>
      <rPr>
        <b/>
        <vertAlign val="subscript"/>
        <sz val="10"/>
        <rFont val="Calibri"/>
        <family val="2"/>
        <scheme val="minor"/>
      </rPr>
      <t>ON</t>
    </r>
  </si>
  <si>
    <r>
      <t>Frac</t>
    </r>
    <r>
      <rPr>
        <b/>
        <vertAlign val="subscript"/>
        <sz val="10"/>
        <rFont val="Calibri"/>
        <family val="2"/>
        <scheme val="minor"/>
      </rPr>
      <t>GASM</t>
    </r>
  </si>
  <si>
    <r>
      <t>EF</t>
    </r>
    <r>
      <rPr>
        <b/>
        <vertAlign val="subscript"/>
        <sz val="10"/>
        <rFont val="Calibri"/>
        <family val="2"/>
        <scheme val="minor"/>
      </rPr>
      <t>4</t>
    </r>
  </si>
  <si>
    <r>
      <t>N</t>
    </r>
    <r>
      <rPr>
        <b/>
        <vertAlign val="subscript"/>
        <sz val="10"/>
        <rFont val="Calibri"/>
        <family val="2"/>
        <scheme val="minor"/>
      </rPr>
      <t>2</t>
    </r>
    <r>
      <rPr>
        <b/>
        <sz val="10"/>
        <rFont val="Calibri"/>
        <family val="2"/>
        <scheme val="minor"/>
      </rPr>
      <t>O</t>
    </r>
    <r>
      <rPr>
        <b/>
        <vertAlign val="subscript"/>
        <sz val="10"/>
        <rFont val="Calibri"/>
        <family val="2"/>
        <scheme val="minor"/>
      </rPr>
      <t>(ATD)</t>
    </r>
    <r>
      <rPr>
        <b/>
        <sz val="10"/>
        <rFont val="Calibri"/>
        <family val="2"/>
        <scheme val="minor"/>
      </rPr>
      <t>-N</t>
    </r>
  </si>
  <si>
    <r>
      <t>Total Emisiones Indirectas de N</t>
    </r>
    <r>
      <rPr>
        <b/>
        <vertAlign val="subscript"/>
        <sz val="10"/>
        <rFont val="Calibri"/>
        <family val="2"/>
        <scheme val="minor"/>
      </rPr>
      <t>2</t>
    </r>
    <r>
      <rPr>
        <b/>
        <sz val="10"/>
        <rFont val="Calibri"/>
        <family val="2"/>
        <scheme val="minor"/>
      </rPr>
      <t>O</t>
    </r>
  </si>
  <si>
    <r>
      <t>F</t>
    </r>
    <r>
      <rPr>
        <b/>
        <vertAlign val="subscript"/>
        <sz val="10"/>
        <rFont val="Calibri"/>
        <family val="2"/>
        <scheme val="minor"/>
      </rPr>
      <t>CR</t>
    </r>
  </si>
  <si>
    <r>
      <t>F</t>
    </r>
    <r>
      <rPr>
        <b/>
        <vertAlign val="subscript"/>
        <sz val="10"/>
        <rFont val="Calibri"/>
        <family val="2"/>
        <scheme val="minor"/>
      </rPr>
      <t>SOM</t>
    </r>
  </si>
  <si>
    <r>
      <t>EF</t>
    </r>
    <r>
      <rPr>
        <b/>
        <vertAlign val="subscript"/>
        <sz val="10"/>
        <rFont val="Calibri"/>
        <family val="2"/>
        <scheme val="minor"/>
      </rPr>
      <t>5</t>
    </r>
  </si>
  <si>
    <r>
      <t>N</t>
    </r>
    <r>
      <rPr>
        <b/>
        <vertAlign val="subscript"/>
        <sz val="10"/>
        <rFont val="Calibri"/>
        <family val="2"/>
        <scheme val="minor"/>
      </rPr>
      <t>2</t>
    </r>
    <r>
      <rPr>
        <b/>
        <sz val="10"/>
        <rFont val="Calibri"/>
        <family val="2"/>
        <scheme val="minor"/>
      </rPr>
      <t>O</t>
    </r>
    <r>
      <rPr>
        <b/>
        <vertAlign val="subscript"/>
        <sz val="10"/>
        <rFont val="Calibri"/>
        <family val="2"/>
        <scheme val="minor"/>
      </rPr>
      <t>(L)</t>
    </r>
    <r>
      <rPr>
        <b/>
        <sz val="10"/>
        <rFont val="Calibri"/>
        <family val="2"/>
        <scheme val="minor"/>
      </rPr>
      <t>-N</t>
    </r>
  </si>
  <si>
    <r>
      <t>NE</t>
    </r>
    <r>
      <rPr>
        <vertAlign val="subscript"/>
        <sz val="10"/>
        <rFont val="Calibri"/>
        <family val="2"/>
        <scheme val="minor"/>
      </rPr>
      <t>MMS</t>
    </r>
    <r>
      <rPr>
        <sz val="10"/>
        <rFont val="Calibri"/>
        <family val="2"/>
        <scheme val="minor"/>
      </rPr>
      <t xml:space="preserve"> * Frac</t>
    </r>
    <r>
      <rPr>
        <vertAlign val="subscript"/>
        <sz val="10"/>
        <rFont val="Calibri"/>
        <family val="2"/>
        <scheme val="minor"/>
      </rPr>
      <t>(GasMS)</t>
    </r>
  </si>
  <si>
    <r>
      <t>Frac</t>
    </r>
    <r>
      <rPr>
        <b/>
        <vertAlign val="subscript"/>
        <sz val="10"/>
        <rFont val="Calibri"/>
        <family val="2"/>
        <scheme val="minor"/>
      </rPr>
      <t>(GasMS)</t>
    </r>
  </si>
  <si>
    <r>
      <t>N</t>
    </r>
    <r>
      <rPr>
        <b/>
        <vertAlign val="subscript"/>
        <sz val="10"/>
        <rFont val="Calibri"/>
        <family val="2"/>
        <scheme val="minor"/>
      </rPr>
      <t>volatilization-MMS</t>
    </r>
    <r>
      <rPr>
        <b/>
        <sz val="10"/>
        <rFont val="Calibri"/>
        <family val="2"/>
        <scheme val="minor"/>
      </rPr>
      <t xml:space="preserve"> </t>
    </r>
  </si>
  <si>
    <r>
      <t>N</t>
    </r>
    <r>
      <rPr>
        <b/>
        <vertAlign val="subscript"/>
        <sz val="10"/>
        <rFont val="Calibri"/>
        <family val="2"/>
        <scheme val="minor"/>
      </rPr>
      <t>2</t>
    </r>
    <r>
      <rPr>
        <b/>
        <sz val="10"/>
        <rFont val="Calibri"/>
        <family val="2"/>
        <scheme val="minor"/>
      </rPr>
      <t>O</t>
    </r>
    <r>
      <rPr>
        <b/>
        <vertAlign val="subscript"/>
        <sz val="10"/>
        <rFont val="Calibri"/>
        <family val="2"/>
        <scheme val="minor"/>
      </rPr>
      <t xml:space="preserve">G(mm) </t>
    </r>
  </si>
  <si>
    <r>
      <t>N</t>
    </r>
    <r>
      <rPr>
        <b/>
        <vertAlign val="subscript"/>
        <sz val="10"/>
        <rFont val="Calibri"/>
        <family val="2"/>
        <scheme val="minor"/>
      </rPr>
      <t>MMS_Avb</t>
    </r>
  </si>
  <si>
    <r>
      <t>SF</t>
    </r>
    <r>
      <rPr>
        <vertAlign val="subscript"/>
        <sz val="10"/>
        <rFont val="Calibri"/>
        <family val="2"/>
        <scheme val="minor"/>
      </rPr>
      <t>o</t>
    </r>
    <r>
      <rPr>
        <sz val="10"/>
        <rFont val="Calibri"/>
        <family val="2"/>
        <scheme val="minor"/>
      </rPr>
      <t xml:space="preserve"> =</t>
    </r>
  </si>
  <si>
    <r>
      <t>(1+ROA</t>
    </r>
    <r>
      <rPr>
        <vertAlign val="subscript"/>
        <sz val="10"/>
        <rFont val="Calibri"/>
        <family val="2"/>
        <scheme val="minor"/>
      </rPr>
      <t>i</t>
    </r>
    <r>
      <rPr>
        <sz val="10"/>
        <rFont val="Calibri"/>
        <family val="2"/>
        <scheme val="minor"/>
      </rPr>
      <t xml:space="preserve"> * CFOA</t>
    </r>
    <r>
      <rPr>
        <vertAlign val="subscript"/>
        <sz val="10"/>
        <rFont val="Calibri"/>
        <family val="2"/>
        <scheme val="minor"/>
      </rPr>
      <t>i</t>
    </r>
    <r>
      <rPr>
        <sz val="10"/>
        <rFont val="Calibri"/>
        <family val="2"/>
        <scheme val="minor"/>
      </rPr>
      <t>)</t>
    </r>
    <r>
      <rPr>
        <vertAlign val="superscript"/>
        <sz val="10"/>
        <rFont val="Calibri"/>
        <family val="2"/>
        <scheme val="minor"/>
      </rPr>
      <t>0.59</t>
    </r>
  </si>
  <si>
    <r>
      <t>EF</t>
    </r>
    <r>
      <rPr>
        <b/>
        <vertAlign val="subscript"/>
        <sz val="10"/>
        <rFont val="Calibri"/>
        <family val="2"/>
        <scheme val="minor"/>
      </rPr>
      <t>c</t>
    </r>
  </si>
  <si>
    <r>
      <t>SF</t>
    </r>
    <r>
      <rPr>
        <b/>
        <vertAlign val="subscript"/>
        <sz val="10"/>
        <rFont val="Calibri"/>
        <family val="2"/>
        <scheme val="minor"/>
      </rPr>
      <t>W</t>
    </r>
  </si>
  <si>
    <r>
      <t>SF</t>
    </r>
    <r>
      <rPr>
        <b/>
        <vertAlign val="subscript"/>
        <sz val="10"/>
        <rFont val="Calibri"/>
        <family val="2"/>
        <scheme val="minor"/>
      </rPr>
      <t>p</t>
    </r>
  </si>
  <si>
    <r>
      <t>ROA</t>
    </r>
    <r>
      <rPr>
        <b/>
        <vertAlign val="subscript"/>
        <sz val="10"/>
        <rFont val="Calibri"/>
        <family val="2"/>
        <scheme val="minor"/>
      </rPr>
      <t>i</t>
    </r>
  </si>
  <si>
    <r>
      <t>CFOA</t>
    </r>
    <r>
      <rPr>
        <b/>
        <vertAlign val="subscript"/>
        <sz val="10"/>
        <rFont val="Calibri"/>
        <family val="2"/>
        <scheme val="minor"/>
      </rPr>
      <t>i</t>
    </r>
  </si>
  <si>
    <r>
      <t>SF</t>
    </r>
    <r>
      <rPr>
        <b/>
        <vertAlign val="subscript"/>
        <sz val="10"/>
        <rFont val="Calibri"/>
        <family val="2"/>
        <scheme val="minor"/>
      </rPr>
      <t>o</t>
    </r>
  </si>
  <si>
    <r>
      <t>EF</t>
    </r>
    <r>
      <rPr>
        <vertAlign val="subscript"/>
        <sz val="10"/>
        <rFont val="Calibri"/>
        <family val="2"/>
        <scheme val="minor"/>
      </rPr>
      <t>i</t>
    </r>
    <r>
      <rPr>
        <sz val="10"/>
        <rFont val="Calibri"/>
        <family val="2"/>
        <scheme val="minor"/>
      </rPr>
      <t xml:space="preserve"> = EF</t>
    </r>
    <r>
      <rPr>
        <vertAlign val="subscript"/>
        <sz val="10"/>
        <rFont val="Calibri"/>
        <family val="2"/>
        <scheme val="minor"/>
      </rPr>
      <t>c</t>
    </r>
    <r>
      <rPr>
        <sz val="10"/>
        <rFont val="Calibri"/>
        <family val="2"/>
        <scheme val="minor"/>
      </rPr>
      <t xml:space="preserve"> * SF</t>
    </r>
    <r>
      <rPr>
        <vertAlign val="subscript"/>
        <sz val="10"/>
        <rFont val="Calibri"/>
        <family val="2"/>
        <scheme val="minor"/>
      </rPr>
      <t>w</t>
    </r>
    <r>
      <rPr>
        <sz val="10"/>
        <rFont val="Calibri"/>
        <family val="2"/>
        <scheme val="minor"/>
      </rPr>
      <t xml:space="preserve"> * SF</t>
    </r>
    <r>
      <rPr>
        <vertAlign val="subscript"/>
        <sz val="10"/>
        <rFont val="Calibri"/>
        <family val="2"/>
        <scheme val="minor"/>
      </rPr>
      <t>p</t>
    </r>
    <r>
      <rPr>
        <sz val="10"/>
        <rFont val="Calibri"/>
        <family val="2"/>
        <scheme val="minor"/>
      </rPr>
      <t xml:space="preserve"> * SF</t>
    </r>
    <r>
      <rPr>
        <vertAlign val="subscript"/>
        <sz val="10"/>
        <rFont val="Calibri"/>
        <family val="2"/>
        <scheme val="minor"/>
      </rPr>
      <t>o</t>
    </r>
    <r>
      <rPr>
        <sz val="10"/>
        <rFont val="Calibri"/>
        <family val="2"/>
        <scheme val="minor"/>
      </rPr>
      <t xml:space="preserve"> * SF</t>
    </r>
    <r>
      <rPr>
        <vertAlign val="subscript"/>
        <sz val="10"/>
        <rFont val="Calibri"/>
        <family val="2"/>
        <scheme val="minor"/>
      </rPr>
      <t>s,r</t>
    </r>
  </si>
  <si>
    <r>
      <t>CH</t>
    </r>
    <r>
      <rPr>
        <vertAlign val="subscript"/>
        <sz val="10"/>
        <rFont val="Calibri"/>
        <family val="2"/>
        <scheme val="minor"/>
      </rPr>
      <t>4Rice</t>
    </r>
    <r>
      <rPr>
        <sz val="10"/>
        <rFont val="Calibri"/>
        <family val="2"/>
        <scheme val="minor"/>
      </rPr>
      <t xml:space="preserve"> = A * t * EF</t>
    </r>
    <r>
      <rPr>
        <vertAlign val="subscript"/>
        <sz val="10"/>
        <rFont val="Calibri"/>
        <family val="2"/>
        <scheme val="minor"/>
      </rPr>
      <t>i</t>
    </r>
    <r>
      <rPr>
        <sz val="10"/>
        <rFont val="Calibri"/>
        <family val="2"/>
        <scheme val="minor"/>
      </rPr>
      <t xml:space="preserve"> * 10</t>
    </r>
    <r>
      <rPr>
        <vertAlign val="superscript"/>
        <sz val="10"/>
        <rFont val="Calibri"/>
        <family val="2"/>
        <scheme val="minor"/>
      </rPr>
      <t>-6</t>
    </r>
  </si>
  <si>
    <r>
      <t>SF</t>
    </r>
    <r>
      <rPr>
        <b/>
        <vertAlign val="subscript"/>
        <sz val="10"/>
        <rFont val="Calibri"/>
        <family val="2"/>
        <scheme val="minor"/>
      </rPr>
      <t>s,r</t>
    </r>
  </si>
  <si>
    <r>
      <t>EF</t>
    </r>
    <r>
      <rPr>
        <b/>
        <vertAlign val="subscript"/>
        <sz val="10"/>
        <rFont val="Calibri"/>
        <family val="2"/>
        <scheme val="minor"/>
      </rPr>
      <t>i</t>
    </r>
  </si>
  <si>
    <r>
      <t>Fuentes agregadas y emisiones no-CO</t>
    </r>
    <r>
      <rPr>
        <b/>
        <vertAlign val="subscript"/>
        <sz val="10"/>
        <color rgb="FF2F5597"/>
        <rFont val="Calibri"/>
        <family val="2"/>
      </rPr>
      <t>2</t>
    </r>
    <r>
      <rPr>
        <b/>
        <sz val="10"/>
        <color rgb="FF2F5597"/>
        <rFont val="Calibri"/>
        <family val="2"/>
      </rPr>
      <t xml:space="preserve"> en otras tierras </t>
    </r>
  </si>
  <si>
    <r>
      <t>Emisiones directas de N</t>
    </r>
    <r>
      <rPr>
        <b/>
        <vertAlign val="subscript"/>
        <sz val="10"/>
        <color rgb="FF000000"/>
        <rFont val="Calibri"/>
        <family val="2"/>
      </rPr>
      <t>2</t>
    </r>
    <r>
      <rPr>
        <b/>
        <sz val="10"/>
        <color rgb="FF000000"/>
        <rFont val="Calibri"/>
        <family val="2"/>
      </rPr>
      <t>O de suelos gestionados</t>
    </r>
  </si>
  <si>
    <r>
      <t>Emisiones indirectas de N</t>
    </r>
    <r>
      <rPr>
        <b/>
        <vertAlign val="subscript"/>
        <sz val="10"/>
        <color rgb="FF000000"/>
        <rFont val="Calibri"/>
        <family val="2"/>
      </rPr>
      <t>2</t>
    </r>
    <r>
      <rPr>
        <b/>
        <sz val="10"/>
        <color rgb="FF000000"/>
        <rFont val="Calibri"/>
        <family val="2"/>
      </rPr>
      <t>O de suelos gestionados</t>
    </r>
  </si>
  <si>
    <r>
      <t>Emisiones indirectas de N</t>
    </r>
    <r>
      <rPr>
        <b/>
        <vertAlign val="subscript"/>
        <sz val="10"/>
        <color rgb="FF000000"/>
        <rFont val="Calibri"/>
        <family val="2"/>
      </rPr>
      <t>2</t>
    </r>
    <r>
      <rPr>
        <b/>
        <sz val="10"/>
        <color rgb="FF000000"/>
        <rFont val="Calibri"/>
        <family val="2"/>
      </rPr>
      <t>O por manejo del estiércol</t>
    </r>
  </si>
  <si>
    <r>
      <t>Fuentes agregadas y emisiones no-CO</t>
    </r>
    <r>
      <rPr>
        <b/>
        <vertAlign val="subscript"/>
        <sz val="10"/>
        <color rgb="FF2F5597"/>
        <rFont val="Calibri"/>
        <family val="2"/>
        <scheme val="minor"/>
      </rPr>
      <t>2</t>
    </r>
    <r>
      <rPr>
        <b/>
        <sz val="10"/>
        <color rgb="FF2F5597"/>
        <rFont val="Calibri"/>
        <family val="2"/>
        <scheme val="minor"/>
      </rPr>
      <t xml:space="preserve"> en otras tierras </t>
    </r>
  </si>
  <si>
    <r>
      <t>Emisiones directas de N</t>
    </r>
    <r>
      <rPr>
        <b/>
        <vertAlign val="subscript"/>
        <sz val="10"/>
        <color rgb="FF000000"/>
        <rFont val="Calibri"/>
        <family val="2"/>
        <scheme val="minor"/>
      </rPr>
      <t>2</t>
    </r>
    <r>
      <rPr>
        <b/>
        <sz val="10"/>
        <color rgb="FF000000"/>
        <rFont val="Calibri"/>
        <family val="2"/>
        <scheme val="minor"/>
      </rPr>
      <t>O de suelos gestionados</t>
    </r>
  </si>
  <si>
    <r>
      <t>Emisiones indirectas de N</t>
    </r>
    <r>
      <rPr>
        <b/>
        <vertAlign val="subscript"/>
        <sz val="10"/>
        <color rgb="FF000000"/>
        <rFont val="Calibri"/>
        <family val="2"/>
        <scheme val="minor"/>
      </rPr>
      <t>2</t>
    </r>
    <r>
      <rPr>
        <b/>
        <sz val="10"/>
        <color rgb="FF000000"/>
        <rFont val="Calibri"/>
        <family val="2"/>
        <scheme val="minor"/>
      </rPr>
      <t>O de suelos gestionados</t>
    </r>
  </si>
  <si>
    <r>
      <t>Emisiones indirectas de N</t>
    </r>
    <r>
      <rPr>
        <b/>
        <vertAlign val="subscript"/>
        <sz val="10"/>
        <color rgb="FF000000"/>
        <rFont val="Calibri"/>
        <family val="2"/>
        <scheme val="minor"/>
      </rPr>
      <t>2</t>
    </r>
    <r>
      <rPr>
        <b/>
        <sz val="10"/>
        <color rgb="FF000000"/>
        <rFont val="Calibri"/>
        <family val="2"/>
        <scheme val="minor"/>
      </rPr>
      <t>O por manejo del estiércol</t>
    </r>
  </si>
  <si>
    <t>Directrices del IPCC para los inventarios nacionales de gases de efecto invernadero - versión revisada en 2006 (GL 2006)</t>
  </si>
  <si>
    <t>GL2006</t>
  </si>
  <si>
    <t>: Directrices del IPCC para los Inventarios Nacionales de Gases de Efecto Invernadero – Versión Revisada en 2006</t>
  </si>
  <si>
    <t>Dato de actividad IPCC</t>
  </si>
  <si>
    <t>Emisiones de metano procedentes de los herbívoros. Es una consecuencia del proceso digestivo durante el cual los hidratos de carbono se descomponen por la acción de microorganismos, en moléculas simples que se absorben en el torrente sanguíneo.</t>
  </si>
  <si>
    <r>
      <t xml:space="preserve">El </t>
    </r>
    <r>
      <rPr>
        <b/>
        <sz val="10"/>
        <color rgb="FF0582FF"/>
        <rFont val="Calibri"/>
        <family val="2"/>
      </rPr>
      <t>Sector Agricultura</t>
    </r>
    <r>
      <rPr>
        <sz val="10"/>
        <rFont val="Calibri"/>
        <family val="2"/>
      </rPr>
      <t xml:space="preserve"> comprende principalmente las siguientes actividades: 
- Ganadería que ocasiona emisiones de metano por el proceso digestivo normal del ganado (fermentación entérica).
- Manejo del estiércol que tras su descomposición en condiciones anaeróbicas genera emisiones de metano y emisiones directas e indirectas de óxido nitroso.
- Cultivos y sistemas de riego del arroz que generan metano por las condiciones anaeróbicas en los arrozales anegados.
- Gestión de suelos agrícolas que genera emisiones directas e indirectas por el nitrógeno incorporado a los suelos por fertilizantes, residuos agrícolas, abonos orgánicos, entre otros.  
- Quema de biomasa, que incluye las emisiones que se generan por las prácticas de tierras de cultivos agrícolas y pastizales.
- Agregado de carbonatos a los suelos en tierras agrícolas y bosques gestionados para reducir la acidez del suelo y mejorar el crecimiento de los cultivos en sistemas gestionados, en forma de cal, conduce a emisiones de dióxido de carbono.
- Agregado de urea a los suelos durante la fertilización, que conduce a una pérdida de dióxido de carbono que se fija en el proceso de producción industrial.</t>
    </r>
  </si>
  <si>
    <t>Emisiones de metano y oxido nitroso generadas por la práctica agrícola de quema de residuos agrícolas y pastizales</t>
  </si>
  <si>
    <t>Emisiones de dióxido de carbono del uso de cal en suelos agrícolas</t>
  </si>
  <si>
    <t>Emisiones de urea del uso de cal en suelos agrícolas</t>
  </si>
  <si>
    <t>Emisiones directas de oxido nitroso procedente de los sistemas agrícolas que incluyen: a) emisiones directas de N2O procedentes de los suelos agrícolas y b) emisiones directas de N2O procedentes de los suelos dedicados a la producción animal</t>
  </si>
  <si>
    <t xml:space="preserve">Emisiones indirectas de oxido nitroso procedente del nitrógeno utilizado en la agricultura utilizado en los sistemas agrícolas </t>
  </si>
  <si>
    <t>Emisiones indirectas de oxido nitroso producido durante el almacenamiento y tratamiento del estiercol antes de su deposito en los campos.</t>
  </si>
  <si>
    <t>Emisiones de metano  generadas por la descomposición del estiércol en condiciones anaeróbicas. También se incluyen emisiones directas de oxido nitroso producido durante el almacenamiento y tratamiento del estiercol antes de su deposito en los campos.</t>
  </si>
  <si>
    <t>Emisiones de metano generadas por la descomposición de la materia orgánica en arrozales anegados.</t>
  </si>
  <si>
    <t>Población de animales vivos por región</t>
  </si>
  <si>
    <t>Población media anual de animales vivos</t>
  </si>
  <si>
    <t>Población media anual de ganado vacuno lechero y otro ganado vacuno</t>
  </si>
  <si>
    <t>Producción media anual de leche cruda de vaca</t>
  </si>
  <si>
    <t>Temperatura promedio anual</t>
  </si>
  <si>
    <t>2 para vacunos y 1 para otras especies de ganado</t>
  </si>
  <si>
    <r>
      <t>CH</t>
    </r>
    <r>
      <rPr>
        <vertAlign val="subscript"/>
        <sz val="10"/>
        <color rgb="FF000000"/>
        <rFont val="Calibri"/>
        <family val="2"/>
      </rPr>
      <t>4</t>
    </r>
  </si>
  <si>
    <r>
      <t>CH</t>
    </r>
    <r>
      <rPr>
        <vertAlign val="subscript"/>
        <sz val="10"/>
        <color rgb="FF000000"/>
        <rFont val="Calibri"/>
        <family val="2"/>
      </rPr>
      <t>4</t>
    </r>
    <r>
      <rPr>
        <sz val="10"/>
        <color rgb="FF000000"/>
        <rFont val="Calibri"/>
        <family val="2"/>
      </rPr>
      <t xml:space="preserve"> y N</t>
    </r>
    <r>
      <rPr>
        <vertAlign val="subscript"/>
        <sz val="10"/>
        <color rgb="FF000000"/>
        <rFont val="Calibri"/>
        <family val="2"/>
      </rPr>
      <t>2</t>
    </r>
    <r>
      <rPr>
        <sz val="10"/>
        <color rgb="FF000000"/>
        <rFont val="Calibri"/>
        <family val="2"/>
      </rPr>
      <t>O</t>
    </r>
  </si>
  <si>
    <t>Estadisticas agrarias anuales generadas por el Ministerio de Agricultura y Riego. 
Los datos de población de animales vivos por región, se usa para los cálculos de las emisiones de GEI provenientes de la fermentación entérica y el manejo del estiércol.
En el Perú y a través del MINAGRI no se genera periódicamente información nacional de estos tipos de ganado: caballos, mulas, asnos y cuyes. Se ha tomado como referencia un estudio de estimación de la población en base a una proyección lineal de la población reportada en los censos agropecuarios disponibles.</t>
  </si>
  <si>
    <t>3A1_3A2_3C6 INFO BASE
3A1_3A2_3C6 INFO PROCESADA</t>
  </si>
  <si>
    <t>Factores de emisión calculados de metano procedente de la fermentación entérica de vacunos (kg CH4/cabeza/año) - Tier 2</t>
  </si>
  <si>
    <t>Factores de emisión de metano procedente de la fermentación entérica del ganado no vacuno</t>
  </si>
  <si>
    <t>3A1_3A2 FACTORES DE EMISIÓN</t>
  </si>
  <si>
    <t>GL 2006
GL 2006 refinadas 2019</t>
  </si>
  <si>
    <t>GL 2006 refinadas 2019</t>
  </si>
  <si>
    <t>3A1_3A2 FACTORES DE EMISIÓN
FACTORES DE CONVERSIÓN</t>
  </si>
  <si>
    <t>Producción Anual de principales cultivos por región (toneladas)</t>
  </si>
  <si>
    <t>Área quemada anual de pastizales</t>
  </si>
  <si>
    <t>Área quemada anual de cultivos</t>
  </si>
  <si>
    <t>toneladas</t>
  </si>
  <si>
    <t>hectáreas</t>
  </si>
  <si>
    <t>cabezas</t>
  </si>
  <si>
    <t>El área quemada se calcula con el porcentaje de quema y la superficie anual</t>
  </si>
  <si>
    <t xml:space="preserve">Amazonía </t>
  </si>
  <si>
    <t xml:space="preserve">Sierra </t>
  </si>
  <si>
    <t xml:space="preserve">Costa </t>
  </si>
  <si>
    <t xml:space="preserve">Patizales que siguen siendo pastizales </t>
  </si>
  <si>
    <t>Tierras convertidas en pastizales</t>
  </si>
  <si>
    <t>Pastizales TOTAL</t>
  </si>
  <si>
    <r>
      <t>CO</t>
    </r>
    <r>
      <rPr>
        <vertAlign val="subscript"/>
        <sz val="10"/>
        <color rgb="FF000000"/>
        <rFont val="Calibri"/>
        <family val="2"/>
      </rPr>
      <t>2</t>
    </r>
  </si>
  <si>
    <t>3C1 INFO BASE
3C1 INFO PROC</t>
  </si>
  <si>
    <t>Proyección realizada por MINAM, para estimar superficies de permanencia y conversión del uso, para todas las categorías de uso de la tierra, en base a datos espaciales.</t>
  </si>
  <si>
    <t>Superficies de permanencia y conversión del uso de pastizales</t>
  </si>
  <si>
    <t>Superficies de permanencia y conversión del uso de pastizales (hectáreas)</t>
  </si>
  <si>
    <t>3C1 FACTORES DE EMISIÓN</t>
  </si>
  <si>
    <r>
      <t>Factores de emisión de para CH4, CO, N</t>
    </r>
    <r>
      <rPr>
        <vertAlign val="subscript"/>
        <sz val="10"/>
        <color rgb="FF000000"/>
        <rFont val="Calibri"/>
        <family val="2"/>
      </rPr>
      <t>2</t>
    </r>
    <r>
      <rPr>
        <sz val="10"/>
        <color rgb="FF000000"/>
        <rFont val="Calibri"/>
        <family val="2"/>
      </rPr>
      <t>O y NO</t>
    </r>
    <r>
      <rPr>
        <vertAlign val="subscript"/>
        <sz val="10"/>
        <color rgb="FF000000"/>
        <rFont val="Calibri"/>
        <family val="2"/>
      </rPr>
      <t>X</t>
    </r>
    <r>
      <rPr>
        <sz val="10"/>
        <color rgb="FF000000"/>
        <rFont val="Calibri"/>
        <family val="2"/>
      </rPr>
      <t xml:space="preserve">
residuos de agricultura y sabana y pastizales</t>
    </r>
  </si>
  <si>
    <r>
      <t>CH</t>
    </r>
    <r>
      <rPr>
        <vertAlign val="subscript"/>
        <sz val="10"/>
        <color rgb="FF000000"/>
        <rFont val="Calibri"/>
        <family val="2"/>
      </rPr>
      <t>4</t>
    </r>
    <r>
      <rPr>
        <sz val="10"/>
        <color rgb="FF000000"/>
        <rFont val="Calibri"/>
        <family val="2"/>
      </rPr>
      <t xml:space="preserve">
CO
N</t>
    </r>
    <r>
      <rPr>
        <vertAlign val="subscript"/>
        <sz val="10"/>
        <color rgb="FF000000"/>
        <rFont val="Calibri"/>
        <family val="2"/>
      </rPr>
      <t>2</t>
    </r>
    <r>
      <rPr>
        <sz val="10"/>
        <color rgb="FF000000"/>
        <rFont val="Calibri"/>
        <family val="2"/>
      </rPr>
      <t>O
NO</t>
    </r>
    <r>
      <rPr>
        <vertAlign val="subscript"/>
        <sz val="10"/>
        <color rgb="FF000000"/>
        <rFont val="Calibri"/>
        <family val="2"/>
      </rPr>
      <t>X</t>
    </r>
  </si>
  <si>
    <r>
      <t>Consumo Anual de Dolomita (CaMg(CO</t>
    </r>
    <r>
      <rPr>
        <vertAlign val="subscript"/>
        <sz val="10"/>
        <color rgb="FF000000"/>
        <rFont val="Calibri"/>
        <family val="2"/>
      </rPr>
      <t>3</t>
    </r>
    <r>
      <rPr>
        <sz val="10"/>
        <color rgb="FF000000"/>
        <rFont val="Calibri"/>
        <family val="2"/>
      </rPr>
      <t>)</t>
    </r>
    <r>
      <rPr>
        <vertAlign val="subscript"/>
        <sz val="10"/>
        <color rgb="FF000000"/>
        <rFont val="Calibri"/>
        <family val="2"/>
      </rPr>
      <t>2</t>
    </r>
    <r>
      <rPr>
        <sz val="10"/>
        <color rgb="FF000000"/>
        <rFont val="Calibri"/>
        <family val="2"/>
      </rPr>
      <t>)</t>
    </r>
  </si>
  <si>
    <r>
      <t>Consumo Anual de Caliza (CaCO</t>
    </r>
    <r>
      <rPr>
        <vertAlign val="subscript"/>
        <sz val="10"/>
        <color rgb="FF000000"/>
        <rFont val="Calibri"/>
        <family val="2"/>
      </rPr>
      <t>3</t>
    </r>
    <r>
      <rPr>
        <sz val="10"/>
        <color rgb="FF000000"/>
        <rFont val="Calibri"/>
        <family val="2"/>
      </rPr>
      <t>)</t>
    </r>
  </si>
  <si>
    <t>3C2 FACTORES DE EMISIÓN</t>
  </si>
  <si>
    <t>Factores de emisión del encalado según tipo de insumo</t>
  </si>
  <si>
    <t>El consumo se multiplica por su respectivo factor de emisión, para determinar las emisiones de GEI por cada tipo de insumo</t>
  </si>
  <si>
    <t>Volumen Anual de Importaciones de Urea</t>
  </si>
  <si>
    <t>Cantidad anual de fertilización de úrea</t>
  </si>
  <si>
    <t>La cantidad se multiplica por su respectivo factor de emisión, para determinar las emisiones de GEI</t>
  </si>
  <si>
    <t>3C2 INFO BASE
3C2 INFO PROC</t>
  </si>
  <si>
    <t>3C3 INFO BASE
3C3 INFO PROC</t>
  </si>
  <si>
    <t>Factores de emisión de aplicación de úrea</t>
  </si>
  <si>
    <t>3C3 FACTORES DE EMISIÓN</t>
  </si>
  <si>
    <t>3C4_3C5 INFO BASE
3C4_3C5 INFO PROC</t>
  </si>
  <si>
    <t>3C7 INFO BASE
3C7 INFO PROCESADA</t>
  </si>
  <si>
    <t>3C4 FACTORES DE EMISIÓN</t>
  </si>
  <si>
    <t>3C5 FACTORES DE EMISIÓN</t>
  </si>
  <si>
    <t>3C7 FACTORES DE EMISIÓN</t>
  </si>
  <si>
    <t>3C6 FACTORES DE EMISIÓN</t>
  </si>
  <si>
    <r>
      <t>Factores de emisión directa de N</t>
    </r>
    <r>
      <rPr>
        <vertAlign val="subscript"/>
        <sz val="10"/>
        <color rgb="FF000000"/>
        <rFont val="Calibri"/>
        <family val="2"/>
      </rPr>
      <t>2</t>
    </r>
    <r>
      <rPr>
        <sz val="10"/>
        <color rgb="FF000000"/>
        <rFont val="Calibri"/>
        <family val="2"/>
      </rPr>
      <t>O de suelos manejados</t>
    </r>
  </si>
  <si>
    <r>
      <t>Factores de emisión indirecta de N</t>
    </r>
    <r>
      <rPr>
        <vertAlign val="subscript"/>
        <sz val="10"/>
        <color rgb="FF000000"/>
        <rFont val="Calibri"/>
        <family val="2"/>
      </rPr>
      <t>2</t>
    </r>
    <r>
      <rPr>
        <sz val="10"/>
        <color rgb="FF000000"/>
        <rFont val="Calibri"/>
        <family val="2"/>
      </rPr>
      <t>O de suelos manejados</t>
    </r>
  </si>
  <si>
    <r>
      <t>Factores de emisión indirecta de N</t>
    </r>
    <r>
      <rPr>
        <vertAlign val="subscript"/>
        <sz val="10"/>
        <color rgb="FF000000"/>
        <rFont val="Calibri"/>
        <family val="2"/>
      </rPr>
      <t>2</t>
    </r>
    <r>
      <rPr>
        <sz val="10"/>
        <color rgb="FF000000"/>
        <rFont val="Calibri"/>
        <family val="2"/>
      </rPr>
      <t>O de manejo de estiércol</t>
    </r>
  </si>
  <si>
    <r>
      <t>NO</t>
    </r>
    <r>
      <rPr>
        <vertAlign val="subscript"/>
        <sz val="10"/>
        <rFont val="Calibri"/>
        <family val="2"/>
        <scheme val="minor"/>
      </rPr>
      <t>X</t>
    </r>
  </si>
  <si>
    <r>
      <t>Factores de emisión de N</t>
    </r>
    <r>
      <rPr>
        <b/>
        <vertAlign val="subscript"/>
        <sz val="10"/>
        <rFont val="Calibri"/>
        <family val="2"/>
        <scheme val="minor"/>
      </rPr>
      <t>2</t>
    </r>
    <r>
      <rPr>
        <b/>
        <sz val="10"/>
        <rFont val="Calibri"/>
        <family val="2"/>
        <scheme val="minor"/>
      </rPr>
      <t>O para un sistema de manejo del estiércol</t>
    </r>
  </si>
  <si>
    <r>
      <t>N</t>
    </r>
    <r>
      <rPr>
        <vertAlign val="subscript"/>
        <sz val="10"/>
        <color rgb="FF000000"/>
        <rFont val="Calibri"/>
        <family val="2"/>
      </rPr>
      <t>2</t>
    </r>
    <r>
      <rPr>
        <sz val="10"/>
        <color rgb="FF000000"/>
        <rFont val="Calibri"/>
        <family val="2"/>
      </rPr>
      <t>O</t>
    </r>
  </si>
  <si>
    <t>Se determina a que región climática corresponde cada región (templado, frio o cálido). La región climática puede variar a través de los años.</t>
  </si>
  <si>
    <t>Fertilizantes sintéticos aplicados anualmente</t>
  </si>
  <si>
    <t>Total de superficie anual de cosecha del cultivo T</t>
  </si>
  <si>
    <t>Total de producción anual de cosecha del cultivo T</t>
  </si>
  <si>
    <t>Se utiliza para determinar el contenido de N en los fertilizantes</t>
  </si>
  <si>
    <t>Se utiliza para determinar de N de residuos agrícolas</t>
  </si>
  <si>
    <t>Se utiliza para determinar la cantidad anual de N de estiércol animal aplicada a los suelos y la cantidad anual de N de la orina y el estiércol depositada en pasturas,prados y praderas por animales en pastoreo</t>
  </si>
  <si>
    <t>Para este insumo solo se maneja información de importación, no se conocen valores de producción</t>
  </si>
  <si>
    <t>Volumen Anual de Importaciones de Principales Fertilizantes Nitrogenados</t>
  </si>
  <si>
    <t>Superficie Anual de principales cultivos por región (hectáreas)</t>
  </si>
  <si>
    <t>Se desagrega para el reporte independiente de de las emisiones producidas por arroz inundado</t>
  </si>
  <si>
    <t>Vacunos machos</t>
  </si>
  <si>
    <t>Vacunos hembras</t>
  </si>
  <si>
    <t>FOS = superficie total anual (ha) de suelos orgánicos drenados/gestionados, ha</t>
  </si>
  <si>
    <t>Se utiliza para determinar la superficie total anual de suelos orgánicos / drenados gestionados</t>
  </si>
  <si>
    <t>Superficie de suelos orgánicos</t>
  </si>
  <si>
    <t>Esta información no se encuentra disponible</t>
  </si>
  <si>
    <t>Superficie cosechada anual por región</t>
  </si>
  <si>
    <t>Superficie cosechada anual</t>
  </si>
  <si>
    <t>Junto con el periodo de cultivo, se utiliza para determinar las emisiones de GEI de los cultivos de arroz</t>
  </si>
  <si>
    <t>A fin de obtener resultados más cercanos a la realidad, para el levantamiento de información se consideraron 4 regiones: selva alta, selva baja, costa norte y costa sur.</t>
  </si>
  <si>
    <t>Gráficas:</t>
  </si>
  <si>
    <t>Correo Electrónico 17 de Septiembre del 2020. Dirección Estadística Agraria - MINAGRI.</t>
  </si>
  <si>
    <t>Relación de esta hoja, con otras:</t>
  </si>
  <si>
    <t>% del Peso Vivo</t>
  </si>
  <si>
    <t>Masa Animal Típica (Kg/animal) o Peso Vivo</t>
  </si>
  <si>
    <t>Factor de escala para compensar las diferencias del régimen hídrico durante el período de cultivo de arroz</t>
  </si>
  <si>
    <t>Factor de escala para contar diferencias en el régimen hídrico en la pretemporada antes del período de cultivo de arroz</t>
  </si>
  <si>
    <t>FSN
Nitrógeno aplicado (KgN/año)</t>
  </si>
  <si>
    <t>Factores de emisión de metano por manejo del estiércol por temperatura</t>
  </si>
  <si>
    <t>Se utiliza para determinar el factor de emisión de metano a utilizar, de acuerdo a la temperatura</t>
  </si>
  <si>
    <t>Sistemas de Manejo de Estiércol del ganado</t>
  </si>
  <si>
    <t>Sistemas de Manejo de Estiércol del ganado por especie</t>
  </si>
  <si>
    <t>Se caracteriza por especie de ganado</t>
  </si>
  <si>
    <t>SI</t>
  </si>
  <si>
    <t>Sistema de Manejo de Estiércol por tipo de ganado</t>
  </si>
  <si>
    <t>Pérdida promedio anual de carbono del suelo para cada tipo de uso de la tierra</t>
  </si>
  <si>
    <t>Pérdida promedio anual de carbono del suelo por tipo de uso de la tierra</t>
  </si>
  <si>
    <t>Se utilizan para el cálculo de la cantidad neta anual de N mineralizado en suelos minerales debido a la pérdida de carbono del suelo por cambios de uso de tierras</t>
  </si>
  <si>
    <t>1/R</t>
  </si>
  <si>
    <t>Contenido de N en Kg en los fertilizantes sintéticos de otros distintos a cultivos de arroz</t>
  </si>
  <si>
    <t>Superficie cosechada anual por región de cultivos de arroz</t>
  </si>
  <si>
    <t>No productores de arroz</t>
  </si>
  <si>
    <t>GL 2006 - Planillas de Cálculo C1</t>
  </si>
  <si>
    <t>Cuando MB (masa de combustible disponible para combustión) y Cf (factor de combustión) no están disponibles, se toma un valor por defecto de la cantidad de combustible realmente quemado (MB * Cf) de la Table2.4. En este cado, MB toma el valor de la tabla, y Cf debe ser 1.</t>
  </si>
  <si>
    <t>Superficie Anual de principales cultivos por región</t>
  </si>
  <si>
    <t>∆CMinerales, LU = pérdida promedio anual de carbono del suelo para cada tipo de uso de la tierra (LU), ton C (Nota: para el Nivel 1, el ∆Cminerales, LU tendrá un único valor para todos los usos de la tierra y sistemas de gestión. Empleando el Nivel 2, el valor de ∆CMinerales, LU se desagregará para los distintos usos de la tierra y/o sistemas de gestión.</t>
  </si>
  <si>
    <t>Pérdida promedio anual de carbono del suelo para cada tipo de uso de la tierra (LU)</t>
  </si>
  <si>
    <t>∆CMinerales, LU (t C año-1)</t>
  </si>
  <si>
    <t>Pérdida promedio anual de carbono del suelo para cada tipo de uso de la tierra (LU) a partir de la matriz de uso y cambio de uso de la tierra
Mapas de Cambio de Uso del Suelo. Programa Nacional de Conservación de Bosques para la Mitigación del Cambio Climático (PNCBMCC)
Información satelital de la European Spatial Agency</t>
  </si>
  <si>
    <t>Cantidad (t)</t>
  </si>
  <si>
    <t>Dictamen de Expertos 2020. MINAGRI</t>
  </si>
  <si>
    <t>Pretemporada no inundada &gt; 180 d</t>
  </si>
  <si>
    <t>Pretemporada inundada &gt; 30 d</t>
  </si>
  <si>
    <t>Dictamen de Expertos 2020. MINAGRI.</t>
  </si>
  <si>
    <t>Alpaca*</t>
  </si>
  <si>
    <t>Llama*</t>
  </si>
  <si>
    <t>Ave*</t>
  </si>
  <si>
    <t>Distribución diaria (%)</t>
  </si>
  <si>
    <t>Almacenaje de sólidos (%)</t>
  </si>
  <si>
    <t>Parcelas secas (%)</t>
  </si>
  <si>
    <t>Estiércol de aves de corral con cama (%)</t>
  </si>
  <si>
    <t>Estiércol de aves de corral sin cama (%)</t>
  </si>
  <si>
    <t>Masa de combustible disponible para combustión</t>
  </si>
  <si>
    <t>Superficie Anual de cultivos que se queman</t>
  </si>
  <si>
    <t>Los cultivos de caña de azúcar, arroz y algodón son los únicos se queman como práctica agronómica</t>
  </si>
  <si>
    <t>Uva</t>
  </si>
  <si>
    <t>Mango</t>
  </si>
  <si>
    <t>Correo Electrónico 6 de Octubre del 2020. Carlos Bruzzone. Experto en arroz.</t>
  </si>
  <si>
    <t>Correo Electrónico 6 de Octubre del 2020. Dirección Estadística Agraria - MINAGRI.</t>
  </si>
  <si>
    <t>Población media anual de animales vivos por región</t>
  </si>
  <si>
    <t>Población de ganado vacuno lechero y otro ganado vacuno por región</t>
  </si>
  <si>
    <t>Temperatura promedio anual por región</t>
  </si>
  <si>
    <t>Metodología</t>
  </si>
  <si>
    <t>COMPARACIÓN DE RESULTADOS GL1996 VS. GL 2006</t>
  </si>
  <si>
    <t>GL 1996</t>
  </si>
  <si>
    <r>
      <t>Annual direct N</t>
    </r>
    <r>
      <rPr>
        <b/>
        <vertAlign val="subscript"/>
        <sz val="10"/>
        <rFont val="Calibri"/>
        <family val="2"/>
        <scheme val="minor"/>
      </rPr>
      <t>2</t>
    </r>
    <r>
      <rPr>
        <b/>
        <sz val="10"/>
        <rFont val="Calibri"/>
        <family val="2"/>
        <scheme val="minor"/>
      </rPr>
      <t xml:space="preserve">O emissions </t>
    </r>
  </si>
  <si>
    <t>Superficie (ha)</t>
  </si>
  <si>
    <t xml:space="preserve">Algodón </t>
  </si>
  <si>
    <t xml:space="preserve">Uva </t>
  </si>
  <si>
    <t>Ingresar a Acceso al Sistema, luego seleccionar las regiones, cultivos, variables y años. Finalmente seleccionar Ver Resultados.</t>
  </si>
  <si>
    <t>Ingresar a Acceso al Sistema, luego seleccionar las regiones, cultivos, variables y años. Finalmente seleccionar Ver Resultados.
Solo se consideran los cultivos que no tienen un valor por defecto de la masa de combustible disponible para combustión.</t>
  </si>
  <si>
    <t>Ingresar a Consulta, colocar el código encriptado, luego seleccionar menu de consulta, seleccionar producción por región según variables productivas, seleccionar crianza/producto, año de inicio y año final y separador decimal. Finalmente seleccionar mostrar datos.</t>
  </si>
  <si>
    <t xml:space="preserve">Las GL2006 solo dan valores por defecto de masa de combustible disponible para combustión para caña de azúcar, arroz, maíz y trigo. Para otros cultivos se calcula con la siguiente fórmula: MB = AGR(T) x FracBrunt(T)
AGR (T) = cantidad total anual de residuos de cultivos aéreos para el cultivo T, kg d.m. año-1.
FrcBrunt (T) = fracción del área cosechada anual del cultivo T quemada, adimensional
</t>
  </si>
  <si>
    <t>Solo se proporcionan valores de producción para los cultivos que no tienen un valor por defecto de la masa de combustible disponible para combustión: algodón, uva y mango</t>
  </si>
  <si>
    <t>Superficie Anual de cultivos (hectáreas)</t>
  </si>
  <si>
    <t>Producción Anual de cultivos (toneladas)</t>
  </si>
  <si>
    <t xml:space="preserve">Ternero/a previo al destete </t>
  </si>
  <si>
    <r>
      <t>GL 2006: Las emisiones de N</t>
    </r>
    <r>
      <rPr>
        <vertAlign val="subscript"/>
        <sz val="10"/>
        <color theme="1"/>
        <rFont val="Calibri"/>
        <family val="2"/>
        <scheme val="minor"/>
      </rPr>
      <t>2</t>
    </r>
    <r>
      <rPr>
        <sz val="10"/>
        <color theme="1"/>
        <rFont val="Calibri"/>
        <family val="2"/>
        <scheme val="minor"/>
      </rPr>
      <t>O generadas por el estiércol en el sistema «pastura, prados y praderas» se producen directa e indirectamente desde el suelo y, por lo tanto, se declaran bajo la categoría «Emisiones de N</t>
    </r>
    <r>
      <rPr>
        <vertAlign val="subscript"/>
        <sz val="10"/>
        <color theme="1"/>
        <rFont val="Calibri"/>
        <family val="2"/>
        <scheme val="minor"/>
      </rPr>
      <t>2</t>
    </r>
    <r>
      <rPr>
        <sz val="10"/>
        <color theme="1"/>
        <rFont val="Calibri"/>
        <family val="2"/>
        <scheme val="minor"/>
      </rPr>
      <t>O de suelos gestionados». Las emisiones relacionadas con la quema de estiércol como combustible se declaran bajo «Quema de combustible», o bajo «Combustión de desechos» si se queman sin recuperación de energía.</t>
    </r>
  </si>
  <si>
    <t>Ternero/a previo al destete</t>
  </si>
  <si>
    <t>Porcentaje de residuos que quedan en el campo</t>
  </si>
  <si>
    <t>Producción (t)</t>
  </si>
  <si>
    <t>Cultivo</t>
  </si>
  <si>
    <t>Caña para azúcar</t>
  </si>
  <si>
    <t>Porcentaje de residuos que se quedan en el campo</t>
  </si>
  <si>
    <t>FAO - Manual de usuario. Residuos agrícolas y residuos ganaderos
http://www.fao.org/3/a-bp843s.pdf</t>
  </si>
  <si>
    <t>Cultivo (T)</t>
  </si>
  <si>
    <t>Cultivo (T) = rendimiento anual de materia seca cosechada para el cultivo T, kg d.m. há-1</t>
  </si>
  <si>
    <t>Cultivo (T) = rendimiento de materia seca cosechada para el cultivo T, kg d.m. há-1</t>
  </si>
  <si>
    <t>Rendim_Fresco (T) = rendimiento en fresco cosechado para el cultivo T, kg peso fresco há-1</t>
  </si>
  <si>
    <t>Rendim_Fresco (T) - t/ha</t>
  </si>
  <si>
    <t>AGR (T) t d.m. año-1</t>
  </si>
  <si>
    <t>Masa de combustible disponible para combustión - t/ha</t>
  </si>
  <si>
    <t>MINAGRI - https://www.minagri.gob.pe/portal/download/pdf/ais-2015/ficha15-azucar.pdf</t>
  </si>
  <si>
    <t>MINAGRI - http://minagri.gob.pe/portal/download/pdf/ais-2015/ficha16-platano.pdf</t>
  </si>
  <si>
    <t>MINAGRI - https://cdn.www.gob.pe/uploads/document/file/419902/ficha-tecnica-09-cultivo-mad.pdf</t>
  </si>
  <si>
    <t>MINAGRI - https://cdn.www.gob.pe/uploads/document/file/419898/ficha-tecnica-05-cultivo-cebolla.pdf</t>
  </si>
  <si>
    <t>MINAGRI - https://cdn.www.gob.pe/uploads/document/file/419903/ficha-tecnica-10-cultivo-quinua.pdf</t>
  </si>
  <si>
    <t>MINAGRI - https://repositorio.minagri.gob.pe/bitstream/MINAGRI/472/1/INIA-Cultivo_Alcachofa.pdf</t>
  </si>
  <si>
    <t>MINAGRI - https://cdn.www.gob.pe/uploads/document/file/419896/ficha-tecnica-03-cultivo-algodon.pdf</t>
  </si>
  <si>
    <t>MINAGRI - https://cdn.www.gob.pe/uploads/document/file/419901/ficha-tecnica-08-cultivo-choclo.pdf</t>
  </si>
  <si>
    <t>MINAGRI - http://minagri.gob.pe/portal/download/pdf/ais-2015/ficha18-esparrago.pdf</t>
  </si>
  <si>
    <t>MINAGRI - https://cdn.www.gob.pe/uploads/document/file/419900/ficha-tecnica-07-cultivo-amilaceo.pdf</t>
  </si>
  <si>
    <t>MINAGRI - https://www.agrorural.gob.pe/wp-content/uploads/transparencia/dab/material/ficha%20tecnica%20tomate.pdf</t>
  </si>
  <si>
    <t>MINAGRI - https://www.minagri.gob.pe/portal/download/pdf/ais-2015/ficha04-trigo.pdf</t>
  </si>
  <si>
    <t>MINAGRI - http://repositorio.minagri.gob.pe/bitstream/MINAGRI/292/1/ficha%20tecnica%20cebada.pdf</t>
  </si>
  <si>
    <t>MINAGRI - https://www.minagri.gob.pe/portal/download/pdf/direccionesyoficinas/dgca/Cartilla-de-difusion-Palma.pdf</t>
  </si>
  <si>
    <t>MINAGRI - http://minagri.gob.pe/portal/download/pdf/sectoragrario/agricola/lineasdecultivosemergentes/ARVEJA_VERDE.pdf</t>
  </si>
  <si>
    <t>MINAGRI - http://minagri.gob.pe/portal/download/pdf/sectoragrario/agricola/lineasdecultivosemergentes/ARVEJA.pdf</t>
  </si>
  <si>
    <t>MINAGRI - https://cdn.www.gob.pe/uploads/document/file/419899/ficha-tecnica-06-cultivo-frijol.pdf</t>
  </si>
  <si>
    <t>MINAGRI - http://minagri.gob.pe/portal/download/pdf/sectoragrario/agricola/lineasdecultivosemergentes/HABA.pdf</t>
  </si>
  <si>
    <t>MINAGRI - http://minagri.gob.pe/portal/download/pdf/sectoragrario/agricola/lineasdecultivosemergentes/PALLAR.pdf</t>
  </si>
  <si>
    <t>MINAGRI - http://minagri.gob.pe/portal/download/pdf/sectoragrario/agricola/lineasdecultivosemergentes/FRIJOL_CASTILLA.pdf</t>
  </si>
  <si>
    <t>MINAGRI - http://minagri.gob.pe/portal/download/pdf/sectoragrario/agricola/lineasdecultivosemergentes/TARWI.pdf</t>
  </si>
  <si>
    <t>MINAGRI - https://cdn.www.gob.pe/uploads/document/file/419894/ficha-tecnica-01-cultivo-de-la-papa.pdf</t>
  </si>
  <si>
    <t>MINAGRI - https://repositorio.minagri.gob.pe/bitstream/MINAGRI/291/1/ficha%20tecnica%20camote.pdf</t>
  </si>
  <si>
    <t>GOBIERNO REGIONAL LA LIBERTAD - GERENCIA REGIONAL DE AGRICULTURA - http://www.agrolalibertad.gob.pe/sites/default/files/Cultivo-alfalfa.pdf</t>
  </si>
  <si>
    <t>Potencial de calentamiento global  (GWP)</t>
  </si>
  <si>
    <t>adimensional</t>
  </si>
  <si>
    <t>Fuente: Changes in Atmospheric Constituents and in Radiative Forcing Cuadro 2.14, Pag. 212. Disponible: https://www.ipcc.ch/site/assets/uploads/2018/02/ar4-wg1-chapter2-1.pdf</t>
  </si>
  <si>
    <r>
      <t>Potencial de calentamiento global - GWP  (horizonte 100 años) para N</t>
    </r>
    <r>
      <rPr>
        <b/>
        <vertAlign val="subscript"/>
        <sz val="10"/>
        <rFont val="Calibri"/>
        <family val="2"/>
        <scheme val="minor"/>
      </rPr>
      <t>2</t>
    </r>
    <r>
      <rPr>
        <b/>
        <sz val="10"/>
        <rFont val="Calibri"/>
        <family val="2"/>
        <scheme val="minor"/>
      </rPr>
      <t>O</t>
    </r>
  </si>
  <si>
    <r>
      <t>Potencial de calentamiento global - GWP  (horizonte 100 años) para CH</t>
    </r>
    <r>
      <rPr>
        <b/>
        <vertAlign val="subscript"/>
        <sz val="10"/>
        <rFont val="Calibri"/>
        <family val="2"/>
        <scheme val="minor"/>
      </rPr>
      <t>4</t>
    </r>
  </si>
  <si>
    <t>Superficies de permanencia y conversión del uso de pasturas (hectáreas) a partir de la matriz de uso y cambio de uso de la tierra
 - Amazonia: Mapas de Cambio de Uso del Suelo. Programa Nacional de Conservación de       Bosques para la Mitigación del Cambio Climático (PNCBMCC)
 - Costa y Sierra: Información satelital de la European Spatial Agency</t>
  </si>
  <si>
    <t>Super quemada (ha)</t>
  </si>
  <si>
    <t>Porcentaje de quema (%)</t>
  </si>
  <si>
    <t>Área quemada de Pasturas</t>
  </si>
  <si>
    <t>Pasturas</t>
  </si>
  <si>
    <t>Levantamiento de información a través de dictamen de expertos. Anexo: Producto Nº3 - AILAC 2018, Tabla 4, pag 9.</t>
  </si>
  <si>
    <r>
      <t>CaCO</t>
    </r>
    <r>
      <rPr>
        <vertAlign val="subscript"/>
        <sz val="10"/>
        <rFont val="Calibri"/>
        <family val="2"/>
        <scheme val="minor"/>
      </rPr>
      <t>3</t>
    </r>
  </si>
  <si>
    <r>
      <t>CaMg(CO</t>
    </r>
    <r>
      <rPr>
        <vertAlign val="subscript"/>
        <sz val="10"/>
        <rFont val="Calibri"/>
        <family val="2"/>
        <scheme val="minor"/>
      </rPr>
      <t>3</t>
    </r>
    <r>
      <rPr>
        <sz val="10"/>
        <rFont val="Calibri"/>
        <family val="2"/>
        <scheme val="minor"/>
      </rPr>
      <t>)2</t>
    </r>
  </si>
  <si>
    <t xml:space="preserve">Población de ganado vacuno por subcategoría </t>
  </si>
  <si>
    <t>Representatividad de la población de ganado vacuno por subcategoría sector, edad, género</t>
  </si>
  <si>
    <t>Serie de Estadísticas de Producción Ganadera y Avícola (SEPGA) - MINAGRI
CENAGRO 2012.</t>
  </si>
  <si>
    <t>Dato de Actividad para caracterización mejorada (Nivel 2).
Se multiplica por la población de vacunos y se obtienen las cabezas de ganado vacuno para cada subcategoría
Las cabezas de ganado sirven para que, una vez multiplicados por su respectivo factor de emisión, se determinen las emisiones de GEI por cada tipo de ganado.</t>
  </si>
  <si>
    <t>FACTORES DE CONVERSIÓN</t>
  </si>
  <si>
    <t>Factores de emisión de metano procedente de la fermentación entérica del ganado vacuno - Nivel 2</t>
  </si>
  <si>
    <t>Población media de vacunos por subcategoría sector, edad, género
Ingesta de Energía Bruta
Energía Bruta convertida en metano</t>
  </si>
  <si>
    <t>Ingesta de Energía Bruta</t>
  </si>
  <si>
    <t>Peso Vivo Medio de Vacunos por categoría sector, edad, género</t>
  </si>
  <si>
    <t>Kg</t>
  </si>
  <si>
    <t>Dato de Actividad para caracterización mejorada (Nivel 2).
Con las ecuaciones 10.3, 10.4, 10.6, 10.8, 10.11, 10.13, 10.14, 10.15, 10.16 para obtener la Energía Bruta y la Ingesta de alimento. Posteriormente se podrán obtener los factores de emisión específicos por subcategoría.</t>
  </si>
  <si>
    <t>Representatividad del Peso a la Madurez del Sistema Óseo en relación al Peso Vivo por género</t>
  </si>
  <si>
    <t>Ganancia de peso de vacunos por sector por categoría sector, edad, género</t>
  </si>
  <si>
    <t>Digestibilidad de vacunos por categoría sector, edad, género</t>
  </si>
  <si>
    <t>Producción diaria de leche por sector</t>
  </si>
  <si>
    <t>Kg/día</t>
  </si>
  <si>
    <t>Dictamen de Expertos 2020. MINAGRI
Serie de Estadísticas de Producción Ganadera y Avícola (SEPGA) - MINAGRI</t>
  </si>
  <si>
    <t>Porcentaje de grasa en la leche por sector</t>
  </si>
  <si>
    <t>Dictamen de Expertos 2020. MINAGRI
Correo Electrónico 14 de Agosto del 2020. Dirección Estadística Agraria - MINAGRI.</t>
  </si>
  <si>
    <t>Porcentaje de preñez por sector</t>
  </si>
  <si>
    <t>Dictamen de Expertos 2020. MINAGRI
Dictamen de Expertos RAGEI 2016. MINAGRI</t>
  </si>
  <si>
    <r>
      <t>Se utiliza para determinar el nitrógeno total excretado por cada sistema de manejo de estiércol y el factor de emisión de N</t>
    </r>
    <r>
      <rPr>
        <vertAlign val="subscript"/>
        <sz val="10"/>
        <color rgb="FF000000"/>
        <rFont val="Calibri"/>
        <family val="2"/>
      </rPr>
      <t>2</t>
    </r>
    <r>
      <rPr>
        <sz val="10"/>
        <color rgb="FF000000"/>
        <rFont val="Calibri"/>
        <family val="2"/>
      </rPr>
      <t>O a utilizar, de acuerdo al sistema de manejo de estiércol</t>
    </r>
  </si>
  <si>
    <r>
      <t>Producción Anual de cultivos que se queman sin valor por defecto de Masa de combustible disponible para combustión (M</t>
    </r>
    <r>
      <rPr>
        <vertAlign val="subscript"/>
        <sz val="10"/>
        <color rgb="FF000000"/>
        <rFont val="Calibri"/>
        <family val="2"/>
      </rPr>
      <t>B</t>
    </r>
    <r>
      <rPr>
        <sz val="10"/>
        <color rgb="FF000000"/>
        <rFont val="Calibri"/>
        <family val="2"/>
      </rPr>
      <t>)</t>
    </r>
  </si>
  <si>
    <t>MINAM - Superficies de permanencia y conversión del uso de pastizales (hectáreas) a partir de la matriz de uso y cambio de uso de la tierra
Mapas de Cambio de Uso del Suelo. Programa Nacional de Conservación de Bosques para la Mitigación del Cambio Climático (PNCBMCC)
Información satelital de la European Spatial Agency</t>
  </si>
  <si>
    <t>MINAM - Pérdida promedio anual de carbono del suelo para cada tipo de uso de la tierra (LU) a partir de la matriz de uso y cambio de uso de la tierra
Mapas de Cambio de Uso del Suelo. Programa Nacional de Conservación de Bosques para la Mitigación del Cambio Climático (PNCBMCC)
Información satelital de la European Spatial Agency</t>
  </si>
  <si>
    <t>Se utiliza para determinar cantidad de nitrógeno de estiércol gestionado disponible para su aplicación en suelos gestionados por sistema de manejo de estiércol</t>
  </si>
  <si>
    <t>Se utiliza para determinar el nitrógeno total excretado por cada sistema de manejo de estiércol</t>
  </si>
  <si>
    <t xml:space="preserve">Benito, J. 2009. Manejo Integral Del cultivo de café. MINISTERIO DE AGRICULTURA, INSTITUTO NACIONAL DE INNOVACIÓN AGRARIA -INIA. Lima, Perú. Serie Folleto N° 5 -09. </t>
  </si>
  <si>
    <t xml:space="preserve">Benito, J. 2009. Manejo Integral Del cultivo de cacao. MINISTERIO DE AGRICULTURA, INSTITUTO NACIONAL DE INNOVACIÓN AGRARIA -INIA. Lima, Perú. Serie Folleto N° 4 -09. </t>
  </si>
  <si>
    <t>* Dictamen de Expertos 2020. MINAGRI
** Dictamen de Expertos RAGEI 2016 - GL1996. MINAGRI</t>
  </si>
  <si>
    <t xml:space="preserve">Distribución diaria </t>
  </si>
  <si>
    <r>
      <t xml:space="preserve">Emisiones de GEI
</t>
    </r>
    <r>
      <rPr>
        <sz val="10"/>
        <color rgb="FF0070C0"/>
        <rFont val="Calibri"/>
        <family val="2"/>
        <scheme val="minor"/>
      </rPr>
      <t>[Gg CO</t>
    </r>
    <r>
      <rPr>
        <vertAlign val="subscript"/>
        <sz val="10"/>
        <color rgb="FF0070C0"/>
        <rFont val="Calibri"/>
        <family val="2"/>
        <scheme val="minor"/>
      </rPr>
      <t>2</t>
    </r>
    <r>
      <rPr>
        <sz val="10"/>
        <color rgb="FF0070C0"/>
        <rFont val="Calibri"/>
        <family val="2"/>
        <scheme val="minor"/>
      </rPr>
      <t>eq]</t>
    </r>
  </si>
  <si>
    <r>
      <t xml:space="preserve">Emisiones de GEI
</t>
    </r>
    <r>
      <rPr>
        <sz val="10"/>
        <color rgb="FF0070C0"/>
        <rFont val="Calibri"/>
        <family val="2"/>
        <scheme val="minor"/>
      </rPr>
      <t>[Gg CO</t>
    </r>
    <r>
      <rPr>
        <vertAlign val="subscript"/>
        <sz val="10"/>
        <color rgb="FF0070C0"/>
        <rFont val="Calibri"/>
        <family val="2"/>
        <scheme val="minor"/>
      </rPr>
      <t>2</t>
    </r>
    <r>
      <rPr>
        <sz val="10"/>
        <color rgb="FF0070C0"/>
        <rFont val="Calibri"/>
        <family val="2"/>
        <scheme val="minor"/>
      </rPr>
      <t>eq ]</t>
    </r>
  </si>
  <si>
    <r>
      <t xml:space="preserve">Dióxido de Carbono
</t>
    </r>
    <r>
      <rPr>
        <sz val="10"/>
        <color theme="0" tint="-0.24997000396251678"/>
        <rFont val="Calibri"/>
        <family val="2"/>
        <scheme val="minor"/>
      </rPr>
      <t>[Gg CO</t>
    </r>
    <r>
      <rPr>
        <vertAlign val="subscript"/>
        <sz val="10"/>
        <color theme="0" tint="-0.24997000396251678"/>
        <rFont val="Calibri"/>
        <family val="2"/>
        <scheme val="minor"/>
      </rPr>
      <t>2</t>
    </r>
    <r>
      <rPr>
        <sz val="10"/>
        <color theme="0" tint="-0.24997000396251678"/>
        <rFont val="Calibri"/>
        <family val="2"/>
        <scheme val="minor"/>
      </rPr>
      <t xml:space="preserve">] </t>
    </r>
  </si>
  <si>
    <r>
      <rPr>
        <b/>
        <sz val="10"/>
        <color indexed="63"/>
        <rFont val="Calibri"/>
        <family val="2"/>
        <scheme val="minor"/>
      </rPr>
      <t xml:space="preserve">Metano
</t>
    </r>
    <r>
      <rPr>
        <sz val="10"/>
        <color indexed="22"/>
        <rFont val="Calibri"/>
        <family val="2"/>
        <scheme val="minor"/>
      </rPr>
      <t>[Gg CH</t>
    </r>
    <r>
      <rPr>
        <vertAlign val="subscript"/>
        <sz val="10"/>
        <color indexed="22"/>
        <rFont val="Calibri"/>
        <family val="2"/>
        <scheme val="minor"/>
      </rPr>
      <t>4</t>
    </r>
    <r>
      <rPr>
        <sz val="10"/>
        <color indexed="22"/>
        <rFont val="Calibri"/>
        <family val="2"/>
        <scheme val="minor"/>
      </rPr>
      <t>]</t>
    </r>
  </si>
  <si>
    <r>
      <rPr>
        <b/>
        <sz val="10"/>
        <color indexed="63"/>
        <rFont val="Calibri"/>
        <family val="2"/>
        <scheme val="minor"/>
      </rPr>
      <t xml:space="preserve">Óxido nitroso
</t>
    </r>
    <r>
      <rPr>
        <sz val="10"/>
        <color indexed="22"/>
        <rFont val="Calibri"/>
        <family val="2"/>
        <scheme val="minor"/>
      </rPr>
      <t>[Gg N</t>
    </r>
    <r>
      <rPr>
        <vertAlign val="subscript"/>
        <sz val="10"/>
        <color indexed="22"/>
        <rFont val="Calibri"/>
        <family val="2"/>
        <scheme val="minor"/>
      </rPr>
      <t>2</t>
    </r>
    <r>
      <rPr>
        <sz val="10"/>
        <color indexed="22"/>
        <rFont val="Calibri"/>
        <family val="2"/>
        <scheme val="minor"/>
      </rPr>
      <t>O]</t>
    </r>
  </si>
  <si>
    <r>
      <t xml:space="preserve">Dióxido de Carbono
</t>
    </r>
    <r>
      <rPr>
        <sz val="10"/>
        <color theme="0" tint="-0.24997000396251678"/>
        <rFont val="Calibri"/>
        <family val="2"/>
      </rPr>
      <t>[Gg CO</t>
    </r>
    <r>
      <rPr>
        <vertAlign val="subscript"/>
        <sz val="10"/>
        <color theme="0" tint="-0.24997000396251678"/>
        <rFont val="Calibri"/>
        <family val="2"/>
      </rPr>
      <t>2</t>
    </r>
    <r>
      <rPr>
        <sz val="10"/>
        <color theme="0" tint="-0.24997000396251678"/>
        <rFont val="Calibri"/>
        <family val="2"/>
      </rPr>
      <t xml:space="preserve">] </t>
    </r>
  </si>
  <si>
    <r>
      <rPr>
        <b/>
        <sz val="10"/>
        <color indexed="63"/>
        <rFont val="Calibri"/>
        <family val="2"/>
      </rPr>
      <t xml:space="preserve">Metano
</t>
    </r>
    <r>
      <rPr>
        <sz val="10"/>
        <color indexed="22"/>
        <rFont val="Calibri"/>
        <family val="2"/>
      </rPr>
      <t>[Gg CH</t>
    </r>
    <r>
      <rPr>
        <vertAlign val="subscript"/>
        <sz val="10"/>
        <color indexed="22"/>
        <rFont val="Calibri"/>
        <family val="2"/>
      </rPr>
      <t>4</t>
    </r>
    <r>
      <rPr>
        <sz val="10"/>
        <color indexed="22"/>
        <rFont val="Calibri"/>
        <family val="2"/>
      </rPr>
      <t>]</t>
    </r>
  </si>
  <si>
    <r>
      <rPr>
        <b/>
        <sz val="10"/>
        <color indexed="63"/>
        <rFont val="Calibri"/>
        <family val="2"/>
      </rPr>
      <t xml:space="preserve">Óxido nitroso
</t>
    </r>
    <r>
      <rPr>
        <sz val="10"/>
        <color indexed="22"/>
        <rFont val="Calibri"/>
        <family val="2"/>
      </rPr>
      <t>[Gg N</t>
    </r>
    <r>
      <rPr>
        <vertAlign val="subscript"/>
        <sz val="10"/>
        <color indexed="22"/>
        <rFont val="Calibri"/>
        <family val="2"/>
      </rPr>
      <t>2</t>
    </r>
    <r>
      <rPr>
        <sz val="10"/>
        <color indexed="22"/>
        <rFont val="Calibri"/>
        <family val="2"/>
      </rPr>
      <t>O]</t>
    </r>
  </si>
  <si>
    <r>
      <t>Emisiones de GEI
[Gg CO</t>
    </r>
    <r>
      <rPr>
        <b/>
        <vertAlign val="subscript"/>
        <sz val="10"/>
        <color rgb="FF000000"/>
        <rFont val="Calibri"/>
        <family val="2"/>
      </rPr>
      <t>2</t>
    </r>
    <r>
      <rPr>
        <b/>
        <sz val="10"/>
        <color rgb="FF000000"/>
        <rFont val="Calibri"/>
        <family val="2"/>
      </rPr>
      <t>eq]</t>
    </r>
  </si>
  <si>
    <t>Factor de emisión regional para Sudamérica</t>
  </si>
  <si>
    <t xml:space="preserve">Fuente </t>
  </si>
  <si>
    <t>Valor a utilizar (%)</t>
  </si>
  <si>
    <t xml:space="preserve">Límite superior </t>
  </si>
  <si>
    <t>Límite inferior</t>
  </si>
  <si>
    <t>Valor por defecto</t>
  </si>
  <si>
    <t>Parámetro</t>
  </si>
  <si>
    <t>Incertidumbre de los factores de emisión</t>
  </si>
  <si>
    <t>Régimen de gestión del agua en la pretemporada antes del período de cultivo de arroz</t>
  </si>
  <si>
    <t>Con tendencia a la sequía</t>
  </si>
  <si>
    <t>Alimentación regular por lluvia</t>
  </si>
  <si>
    <t>Aireación múltiple</t>
  </si>
  <si>
    <t>De regadio</t>
  </si>
  <si>
    <t>Aireación simple</t>
  </si>
  <si>
    <t xml:space="preserve">Inundadadas 
intermitentemente </t>
  </si>
  <si>
    <t>Régimen de gestión del agua durante el período de cultivo de arroz</t>
  </si>
  <si>
    <t>A. 'Gutierrez H, L (2016/11/24). Solicitud de información Urgente RAGEI - Agricultura. Archivo enviado por correo electrónico. Recuperado de https://mail.minam.gob.pe/owa/#path=/mail
B. 'Bedoya J., C (2016/11/29). Solicitud de información Urgente RAGEI - AGRICULTURA Archivo enviado por correo electrónico. Recuperado de https://mail.minam.gob.pe/owa/?bO=1#path=/mail</t>
  </si>
  <si>
    <t>Cultivos de arroz</t>
  </si>
  <si>
    <t>Límite Superior</t>
  </si>
  <si>
    <t>B</t>
  </si>
  <si>
    <t>Factor de emisión (%)</t>
  </si>
  <si>
    <t>Datos de actividad (%)</t>
  </si>
  <si>
    <t>Valor de Incertidumbre</t>
  </si>
  <si>
    <t>Incertidumbre de los datos de actividad</t>
  </si>
  <si>
    <t>3.C.7. Arroz</t>
  </si>
  <si>
    <r>
      <t>EF</t>
    </r>
    <r>
      <rPr>
        <vertAlign val="subscript"/>
        <sz val="9"/>
        <rFont val="Calibri"/>
        <family val="2"/>
        <scheme val="minor"/>
      </rPr>
      <t>4</t>
    </r>
    <r>
      <rPr>
        <sz val="9"/>
        <rFont val="Calibri"/>
        <family val="2"/>
        <scheme val="minor"/>
      </rPr>
      <t xml:space="preserve"> [volatilización y re-deposición de N], 
kg N</t>
    </r>
    <r>
      <rPr>
        <vertAlign val="subscript"/>
        <sz val="9"/>
        <rFont val="Calibri"/>
        <family val="2"/>
        <scheme val="minor"/>
      </rPr>
      <t>2</t>
    </r>
    <r>
      <rPr>
        <sz val="9"/>
        <rFont val="Calibri"/>
        <family val="2"/>
        <scheme val="minor"/>
      </rPr>
      <t>O–N (kg NH</t>
    </r>
    <r>
      <rPr>
        <vertAlign val="subscript"/>
        <sz val="9"/>
        <rFont val="Calibri"/>
        <family val="2"/>
        <scheme val="minor"/>
      </rPr>
      <t>3</t>
    </r>
    <r>
      <rPr>
        <sz val="9"/>
        <rFont val="Calibri"/>
        <family val="2"/>
        <scheme val="minor"/>
      </rPr>
      <t>–N + NO</t>
    </r>
    <r>
      <rPr>
        <vertAlign val="subscript"/>
        <sz val="9"/>
        <rFont val="Calibri"/>
        <family val="2"/>
        <scheme val="minor"/>
      </rPr>
      <t>X</t>
    </r>
    <r>
      <rPr>
        <sz val="9"/>
        <rFont val="Calibri"/>
        <family val="2"/>
        <scheme val="minor"/>
      </rPr>
      <t>–N volatilizado)</t>
    </r>
    <r>
      <rPr>
        <vertAlign val="superscript"/>
        <sz val="9"/>
        <rFont val="Calibri"/>
        <family val="2"/>
        <scheme val="minor"/>
      </rPr>
      <t>-1</t>
    </r>
  </si>
  <si>
    <t>Límite superior</t>
  </si>
  <si>
    <t xml:space="preserve">Límite inferior </t>
  </si>
  <si>
    <t>Otros: Cuyes</t>
  </si>
  <si>
    <t>ND</t>
  </si>
  <si>
    <t>Población de aves por región</t>
  </si>
  <si>
    <t xml:space="preserve">Población de cuyes por región </t>
  </si>
  <si>
    <t>Población de cerdos por región</t>
  </si>
  <si>
    <t xml:space="preserve">Población de equinos por región </t>
  </si>
  <si>
    <t>Población de camélidos por región</t>
  </si>
  <si>
    <t>Población de cabras por región</t>
  </si>
  <si>
    <t>Población de ganado ovino por región</t>
  </si>
  <si>
    <t>Población de ganado vacuno por región</t>
  </si>
  <si>
    <t>Ganado vacuno lechero</t>
  </si>
  <si>
    <t>Valor promedio de A y B  (%)</t>
  </si>
  <si>
    <r>
      <t>3.C.6. Emisiones indirectas de N</t>
    </r>
    <r>
      <rPr>
        <b/>
        <vertAlign val="subscript"/>
        <sz val="16"/>
        <color theme="0"/>
        <rFont val="Calibri"/>
        <family val="2"/>
        <scheme val="minor"/>
      </rPr>
      <t>2</t>
    </r>
    <r>
      <rPr>
        <b/>
        <sz val="16"/>
        <color theme="0"/>
        <rFont val="Calibri"/>
        <family val="2"/>
        <scheme val="minor"/>
      </rPr>
      <t>O por manejo de estiércol</t>
    </r>
  </si>
  <si>
    <r>
      <t>Frac</t>
    </r>
    <r>
      <rPr>
        <vertAlign val="subscript"/>
        <sz val="9"/>
        <rFont val="Calibri"/>
        <family val="2"/>
        <scheme val="minor"/>
      </rPr>
      <t>LIXIVIACIÓN-(H)</t>
    </r>
    <r>
      <rPr>
        <sz val="9"/>
        <rFont val="Calibri"/>
        <family val="2"/>
        <scheme val="minor"/>
      </rPr>
      <t xml:space="preserve"> [pérdidas de N por lixiviación/escurrimiento en regiones 
donde Σ(lluvia en la estación lluviosa) - Σ (EP en el mismo período) &gt;capacidad 
de retención del agua del suelo, O donde se emplea irrigación (excepto por goteo)], 
kg N (kg N agregado o por deposición de animales en pastoreo)</t>
    </r>
    <r>
      <rPr>
        <vertAlign val="superscript"/>
        <sz val="9"/>
        <rFont val="Calibri"/>
        <family val="2"/>
        <scheme val="minor"/>
      </rPr>
      <t>-1</t>
    </r>
  </si>
  <si>
    <r>
      <t>Frac</t>
    </r>
    <r>
      <rPr>
        <vertAlign val="subscript"/>
        <sz val="9"/>
        <rFont val="Calibri"/>
        <family val="2"/>
        <scheme val="minor"/>
      </rPr>
      <t>GASM</t>
    </r>
    <r>
      <rPr>
        <sz val="9"/>
        <rFont val="Calibri"/>
        <family val="2"/>
        <scheme val="minor"/>
      </rPr>
      <t xml:space="preserve"> [Volatilización de todos los fertilizantes de N orgánicos aplicados, 
y de estiércol y orina depositados por animales en pastoreo], 
(kg NH</t>
    </r>
    <r>
      <rPr>
        <vertAlign val="subscript"/>
        <sz val="9"/>
        <rFont val="Calibri"/>
        <family val="2"/>
        <scheme val="minor"/>
      </rPr>
      <t>3</t>
    </r>
    <r>
      <rPr>
        <sz val="9"/>
        <rFont val="Calibri"/>
        <family val="2"/>
        <scheme val="minor"/>
      </rPr>
      <t>–N + NO</t>
    </r>
    <r>
      <rPr>
        <vertAlign val="subscript"/>
        <sz val="9"/>
        <rFont val="Calibri"/>
        <family val="2"/>
        <scheme val="minor"/>
      </rPr>
      <t>x</t>
    </r>
    <r>
      <rPr>
        <sz val="9"/>
        <rFont val="Calibri"/>
        <family val="2"/>
        <scheme val="minor"/>
      </rPr>
      <t xml:space="preserve">–N) (kg N aplicado o depositado) </t>
    </r>
    <r>
      <rPr>
        <vertAlign val="subscript"/>
        <sz val="9"/>
        <rFont val="Calibri"/>
        <family val="2"/>
        <scheme val="minor"/>
      </rPr>
      <t>–1</t>
    </r>
  </si>
  <si>
    <r>
      <t>Frac</t>
    </r>
    <r>
      <rPr>
        <vertAlign val="subscript"/>
        <sz val="9"/>
        <color theme="1"/>
        <rFont val="Calibri"/>
        <family val="2"/>
        <scheme val="minor"/>
      </rPr>
      <t>GASF</t>
    </r>
    <r>
      <rPr>
        <sz val="9"/>
        <color theme="1"/>
        <rFont val="Calibri"/>
        <family val="2"/>
        <scheme val="minor"/>
      </rPr>
      <t xml:space="preserve"> [Volatilización de fertilizante sintético], 
(kg NH</t>
    </r>
    <r>
      <rPr>
        <vertAlign val="subscript"/>
        <sz val="9"/>
        <color theme="1"/>
        <rFont val="Calibri"/>
        <family val="2"/>
        <scheme val="minor"/>
      </rPr>
      <t>3</t>
    </r>
    <r>
      <rPr>
        <sz val="9"/>
        <color theme="1"/>
        <rFont val="Calibri"/>
        <family val="2"/>
        <scheme val="minor"/>
      </rPr>
      <t>–N + NO</t>
    </r>
    <r>
      <rPr>
        <vertAlign val="subscript"/>
        <sz val="9"/>
        <color theme="1"/>
        <rFont val="Calibri"/>
        <family val="2"/>
        <scheme val="minor"/>
      </rPr>
      <t>x</t>
    </r>
    <r>
      <rPr>
        <sz val="9"/>
        <color theme="1"/>
        <rFont val="Calibri"/>
        <family val="2"/>
        <scheme val="minor"/>
      </rPr>
      <t xml:space="preserve">–N) (kg N aplicado) </t>
    </r>
    <r>
      <rPr>
        <vertAlign val="superscript"/>
        <sz val="9"/>
        <color theme="1"/>
        <rFont val="Calibri"/>
        <family val="2"/>
        <scheme val="minor"/>
      </rPr>
      <t>–1</t>
    </r>
  </si>
  <si>
    <r>
      <t>EF</t>
    </r>
    <r>
      <rPr>
        <vertAlign val="subscript"/>
        <sz val="9"/>
        <rFont val="Calibri"/>
        <family val="2"/>
        <scheme val="minor"/>
      </rPr>
      <t>5</t>
    </r>
    <r>
      <rPr>
        <sz val="9"/>
        <rFont val="Calibri"/>
        <family val="2"/>
        <scheme val="minor"/>
      </rPr>
      <t xml:space="preserve"> [lixiviación/escurrimiento], 
kg N</t>
    </r>
    <r>
      <rPr>
        <vertAlign val="subscript"/>
        <sz val="9"/>
        <rFont val="Calibri"/>
        <family val="2"/>
        <scheme val="minor"/>
      </rPr>
      <t>2</t>
    </r>
    <r>
      <rPr>
        <sz val="9"/>
        <rFont val="Calibri"/>
        <family val="2"/>
        <scheme val="minor"/>
      </rPr>
      <t>O–N (kg N lixiviación/escurrimiento)</t>
    </r>
    <r>
      <rPr>
        <vertAlign val="superscript"/>
        <sz val="9"/>
        <rFont val="Calibri"/>
        <family val="2"/>
        <scheme val="minor"/>
      </rPr>
      <t xml:space="preserve"> -1 </t>
    </r>
  </si>
  <si>
    <r>
      <t>EF</t>
    </r>
    <r>
      <rPr>
        <vertAlign val="subscript"/>
        <sz val="9"/>
        <rFont val="Calibri"/>
        <family val="2"/>
        <scheme val="minor"/>
      </rPr>
      <t>4</t>
    </r>
    <r>
      <rPr>
        <sz val="9"/>
        <rFont val="Calibri"/>
        <family val="2"/>
        <scheme val="minor"/>
      </rPr>
      <t xml:space="preserve"> [volatilización y re-deposición de N], kg N2O–N
 (kg NH</t>
    </r>
    <r>
      <rPr>
        <vertAlign val="subscript"/>
        <sz val="9"/>
        <rFont val="Calibri"/>
        <family val="2"/>
        <scheme val="minor"/>
      </rPr>
      <t>3</t>
    </r>
    <r>
      <rPr>
        <sz val="9"/>
        <rFont val="Calibri"/>
        <family val="2"/>
        <scheme val="minor"/>
      </rPr>
      <t>–N + NO</t>
    </r>
    <r>
      <rPr>
        <vertAlign val="subscript"/>
        <sz val="9"/>
        <rFont val="Calibri"/>
        <family val="2"/>
        <scheme val="minor"/>
      </rPr>
      <t>X</t>
    </r>
    <r>
      <rPr>
        <sz val="9"/>
        <rFont val="Calibri"/>
        <family val="2"/>
        <scheme val="minor"/>
      </rPr>
      <t>–N volatilizado)</t>
    </r>
    <r>
      <rPr>
        <vertAlign val="superscript"/>
        <sz val="9"/>
        <rFont val="Calibri"/>
        <family val="2"/>
        <scheme val="minor"/>
      </rPr>
      <t>-1</t>
    </r>
  </si>
  <si>
    <t>Producción mensual de cultivos permanentes</t>
  </si>
  <si>
    <t>Producción mensual de cultivos transitorios</t>
  </si>
  <si>
    <t>Producción mensual de Tubérculos y raíces</t>
  </si>
  <si>
    <t>Producción mensual de Cereales</t>
  </si>
  <si>
    <t>Producción de caña de azúcar</t>
  </si>
  <si>
    <t>Producción de leguminosas</t>
  </si>
  <si>
    <t xml:space="preserve">Población de aves por región </t>
  </si>
  <si>
    <t>Población de porcinos por región</t>
  </si>
  <si>
    <t>Población de ganado caprino por región</t>
  </si>
  <si>
    <r>
      <t>3.C.5. Emisiones indirectas de N</t>
    </r>
    <r>
      <rPr>
        <b/>
        <vertAlign val="subscript"/>
        <sz val="16"/>
        <color theme="0"/>
        <rFont val="Calibri"/>
        <family val="2"/>
        <scheme val="minor"/>
      </rPr>
      <t>2</t>
    </r>
    <r>
      <rPr>
        <b/>
        <sz val="16"/>
        <color theme="0"/>
        <rFont val="Calibri"/>
        <family val="2"/>
        <scheme val="minor"/>
      </rPr>
      <t>O de suelos gestionados</t>
    </r>
  </si>
  <si>
    <r>
      <t>EF</t>
    </r>
    <r>
      <rPr>
        <vertAlign val="subscript"/>
        <sz val="11"/>
        <rFont val="Calibri"/>
        <family val="2"/>
        <scheme val="minor"/>
      </rPr>
      <t>3PRP, SO</t>
    </r>
    <r>
      <rPr>
        <sz val="11"/>
        <rFont val="Calibri"/>
        <family val="2"/>
        <scheme val="minor"/>
      </rPr>
      <t xml:space="preserve"> para ovinos y «otros animales» [kg N</t>
    </r>
    <r>
      <rPr>
        <vertAlign val="subscript"/>
        <sz val="11"/>
        <rFont val="Calibri"/>
        <family val="2"/>
        <scheme val="minor"/>
      </rPr>
      <t>2</t>
    </r>
    <r>
      <rPr>
        <sz val="11"/>
        <rFont val="Calibri"/>
        <family val="2"/>
        <scheme val="minor"/>
      </rPr>
      <t>O–N (kg N)</t>
    </r>
    <r>
      <rPr>
        <vertAlign val="superscript"/>
        <sz val="11"/>
        <rFont val="Calibri"/>
        <family val="2"/>
        <scheme val="minor"/>
      </rPr>
      <t>- 1</t>
    </r>
    <r>
      <rPr>
        <sz val="11"/>
        <rFont val="Calibri"/>
        <family val="2"/>
        <scheme val="minor"/>
      </rPr>
      <t xml:space="preserve">] </t>
    </r>
  </si>
  <si>
    <r>
      <t>EF</t>
    </r>
    <r>
      <rPr>
        <vertAlign val="subscript"/>
        <sz val="11"/>
        <rFont val="Calibri"/>
        <family val="2"/>
        <scheme val="minor"/>
      </rPr>
      <t>3PRP</t>
    </r>
    <r>
      <rPr>
        <sz val="11"/>
        <rFont val="Calibri"/>
        <family val="2"/>
        <scheme val="minor"/>
      </rPr>
      <t>,</t>
    </r>
    <r>
      <rPr>
        <vertAlign val="subscript"/>
        <sz val="11"/>
        <rFont val="Calibri"/>
        <family val="2"/>
        <scheme val="minor"/>
      </rPr>
      <t xml:space="preserve"> CPP</t>
    </r>
    <r>
      <rPr>
        <sz val="11"/>
        <rFont val="Calibri"/>
        <family val="2"/>
        <scheme val="minor"/>
      </rPr>
      <t xml:space="preserve"> para vacunos (lecheros y no lecheros, y búfalos), aves de corral y porcinos [kg N</t>
    </r>
    <r>
      <rPr>
        <vertAlign val="subscript"/>
        <sz val="11"/>
        <rFont val="Calibri"/>
        <family val="2"/>
        <scheme val="minor"/>
      </rPr>
      <t>2</t>
    </r>
    <r>
      <rPr>
        <sz val="11"/>
        <rFont val="Calibri"/>
        <family val="2"/>
        <scheme val="minor"/>
      </rPr>
      <t>O–N (kg N)</t>
    </r>
    <r>
      <rPr>
        <vertAlign val="superscript"/>
        <sz val="11"/>
        <rFont val="Calibri"/>
        <family val="2"/>
        <scheme val="minor"/>
      </rPr>
      <t>-1</t>
    </r>
    <r>
      <rPr>
        <sz val="11"/>
        <rFont val="Calibri"/>
        <family val="2"/>
        <scheme val="minor"/>
      </rPr>
      <t xml:space="preserve">] </t>
    </r>
  </si>
  <si>
    <t xml:space="preserve">EF1FR para arrozales inundado </t>
  </si>
  <si>
    <r>
      <t>EF1 para aportes de N de fertilizantes minerales, abonos orgánicos y residuos agrícolas, y N mineralizado de suelos minerales a causa de pérdida de carbono del suelo [kg N</t>
    </r>
    <r>
      <rPr>
        <vertAlign val="subscript"/>
        <sz val="11"/>
        <rFont val="Calibri"/>
        <family val="2"/>
        <scheme val="minor"/>
      </rPr>
      <t>2</t>
    </r>
    <r>
      <rPr>
        <sz val="11"/>
        <rFont val="Calibri"/>
        <family val="2"/>
        <scheme val="minor"/>
      </rPr>
      <t>O–N (kg N)</t>
    </r>
    <r>
      <rPr>
        <vertAlign val="superscript"/>
        <sz val="11"/>
        <rFont val="Calibri"/>
        <family val="2"/>
        <scheme val="minor"/>
      </rPr>
      <t>-1</t>
    </r>
    <r>
      <rPr>
        <sz val="11"/>
        <rFont val="Calibri"/>
        <family val="2"/>
        <scheme val="minor"/>
      </rPr>
      <t>]</t>
    </r>
  </si>
  <si>
    <r>
      <t>3.C.4. Emisiones directas de N</t>
    </r>
    <r>
      <rPr>
        <b/>
        <vertAlign val="subscript"/>
        <sz val="16"/>
        <color theme="0"/>
        <rFont val="Calibri"/>
        <family val="2"/>
        <scheme val="minor"/>
      </rPr>
      <t>2</t>
    </r>
    <r>
      <rPr>
        <b/>
        <sz val="16"/>
        <color theme="0"/>
        <rFont val="Calibri"/>
        <family val="2"/>
        <scheme val="minor"/>
      </rPr>
      <t>O de suelos gestionados</t>
    </r>
  </si>
  <si>
    <t>±50</t>
  </si>
  <si>
    <t xml:space="preserve">Aplicación de Urea </t>
  </si>
  <si>
    <t>Valor a utilizar(%)</t>
  </si>
  <si>
    <t>Límite superior (%)</t>
  </si>
  <si>
    <t>Límite inferior (%)</t>
  </si>
  <si>
    <t>3.C.3. Urea</t>
  </si>
  <si>
    <t>±20</t>
  </si>
  <si>
    <r>
      <t>Factor de emisión N</t>
    </r>
    <r>
      <rPr>
        <vertAlign val="subscript"/>
        <sz val="11"/>
        <color theme="1"/>
        <rFont val="Calibri"/>
        <family val="2"/>
        <scheme val="minor"/>
      </rPr>
      <t>2</t>
    </r>
    <r>
      <rPr>
        <sz val="11"/>
        <color theme="1"/>
        <rFont val="Calibri"/>
        <family val="2"/>
        <scheme val="minor"/>
      </rPr>
      <t>O para residuos agrícolas</t>
    </r>
  </si>
  <si>
    <t>OBP 2000 página 4.98</t>
  </si>
  <si>
    <r>
      <t>Factor de emisión de CH</t>
    </r>
    <r>
      <rPr>
        <vertAlign val="subscript"/>
        <sz val="11"/>
        <color theme="1"/>
        <rFont val="Calibri"/>
        <family val="2"/>
        <scheme val="minor"/>
      </rPr>
      <t>4</t>
    </r>
    <r>
      <rPr>
        <sz val="11"/>
        <color theme="1"/>
        <rFont val="Calibri"/>
        <family val="2"/>
        <scheme val="minor"/>
      </rPr>
      <t xml:space="preserve"> para residuos agrícolas</t>
    </r>
  </si>
  <si>
    <r>
      <t>Factor de emisión N</t>
    </r>
    <r>
      <rPr>
        <vertAlign val="subscript"/>
        <sz val="11"/>
        <color theme="1"/>
        <rFont val="Calibri"/>
        <family val="2"/>
        <scheme val="minor"/>
      </rPr>
      <t>2</t>
    </r>
    <r>
      <rPr>
        <sz val="11"/>
        <color theme="1"/>
        <rFont val="Calibri"/>
        <family val="2"/>
        <scheme val="minor"/>
      </rPr>
      <t>O para pastizales</t>
    </r>
  </si>
  <si>
    <r>
      <t>Factor de emisión de CH</t>
    </r>
    <r>
      <rPr>
        <vertAlign val="subscript"/>
        <sz val="11"/>
        <color theme="1"/>
        <rFont val="Calibri"/>
        <family val="2"/>
        <scheme val="minor"/>
      </rPr>
      <t>4</t>
    </r>
    <r>
      <rPr>
        <sz val="11"/>
        <color theme="1"/>
        <rFont val="Calibri"/>
        <family val="2"/>
        <scheme val="minor"/>
      </rPr>
      <t xml:space="preserve"> para pastizales</t>
    </r>
  </si>
  <si>
    <t>Quema de biomasa en pastizales</t>
  </si>
  <si>
    <t>3.C.1. Emisiones por quema de biomasa</t>
  </si>
  <si>
    <r>
      <t>Emisiones directas de óxido nitroso (N</t>
    </r>
    <r>
      <rPr>
        <vertAlign val="subscript"/>
        <sz val="11"/>
        <rFont val="Calibri"/>
        <family val="2"/>
        <scheme val="minor"/>
      </rPr>
      <t>2</t>
    </r>
    <r>
      <rPr>
        <sz val="11"/>
        <rFont val="Calibri"/>
        <family val="2"/>
        <scheme val="minor"/>
      </rPr>
      <t>O)</t>
    </r>
  </si>
  <si>
    <r>
      <t>Emisiones de metano (CH</t>
    </r>
    <r>
      <rPr>
        <vertAlign val="subscript"/>
        <sz val="11"/>
        <rFont val="Calibri"/>
        <family val="2"/>
        <scheme val="minor"/>
      </rPr>
      <t>4</t>
    </r>
    <r>
      <rPr>
        <sz val="11"/>
        <rFont val="Calibri"/>
        <family val="2"/>
        <scheme val="minor"/>
      </rPr>
      <t>)</t>
    </r>
  </si>
  <si>
    <t>Muslas y asnos</t>
  </si>
  <si>
    <t>3.A.2. Gestión del Estiércol</t>
  </si>
  <si>
    <t>TIER 2</t>
  </si>
  <si>
    <t>Digestibilidad media de la dieta de vacuno por categoría sector, edad, género</t>
  </si>
  <si>
    <t xml:space="preserve">Población anual de cuyes por región </t>
  </si>
  <si>
    <t>Población anual de porcinos por región</t>
  </si>
  <si>
    <t xml:space="preserve">Población anual de equinos por región </t>
  </si>
  <si>
    <t>Población anual de camélidos por región</t>
  </si>
  <si>
    <t>Población anual de ganado caprino por región</t>
  </si>
  <si>
    <t>Población anual de ganado ovino por región</t>
  </si>
  <si>
    <t>Otro ganado vacuno no lechero</t>
  </si>
  <si>
    <t>Población anual de ganado vacuno por región</t>
  </si>
  <si>
    <t>3.A.1. Fermentación entérica</t>
  </si>
  <si>
    <t>DESCRIPCIÓN DE LOS VALORES DE INCERTIDUMBRE RECOMENDADOS</t>
  </si>
  <si>
    <t>Incertidumbre en el factor de emisión</t>
  </si>
  <si>
    <t>Incertidumbre en los datos de nivel de actividad</t>
  </si>
  <si>
    <t>Gas</t>
  </si>
  <si>
    <t>Código de la categoría IPCC</t>
  </si>
  <si>
    <t>Incertidumbre combinada</t>
  </si>
  <si>
    <t>E</t>
  </si>
  <si>
    <t>Incertidumbre por fuente - Reporte Anual de Gases de Efecto Invernadero - Sector Agricultura - 2016</t>
  </si>
  <si>
    <t>Representatividad del Peso a la Madurez del Sistema Óseo</t>
  </si>
  <si>
    <t xml:space="preserve">Población anual de aves por región </t>
  </si>
  <si>
    <t>Población anual de cuyes por región</t>
  </si>
  <si>
    <r>
      <t>Incertidumbre de los factores de emisión - CH</t>
    </r>
    <r>
      <rPr>
        <b/>
        <vertAlign val="subscript"/>
        <sz val="12"/>
        <color theme="0"/>
        <rFont val="Calibri"/>
        <family val="2"/>
        <scheme val="minor"/>
      </rPr>
      <t>4</t>
    </r>
  </si>
  <si>
    <r>
      <t>Incertidumbre de los factores de emisión - N</t>
    </r>
    <r>
      <rPr>
        <b/>
        <vertAlign val="subscript"/>
        <sz val="12"/>
        <color theme="0"/>
        <rFont val="Calibri"/>
        <family val="2"/>
        <scheme val="minor"/>
      </rPr>
      <t>2</t>
    </r>
    <r>
      <rPr>
        <b/>
        <sz val="12"/>
        <color theme="0"/>
        <rFont val="Calibri"/>
        <family val="2"/>
        <scheme val="minor"/>
      </rPr>
      <t>O</t>
    </r>
  </si>
  <si>
    <r>
      <t>Factor de emisión (%) - CH</t>
    </r>
    <r>
      <rPr>
        <b/>
        <vertAlign val="subscript"/>
        <sz val="12"/>
        <color theme="0"/>
        <rFont val="Calibri"/>
        <family val="2"/>
        <scheme val="minor"/>
      </rPr>
      <t>4</t>
    </r>
  </si>
  <si>
    <r>
      <t>Factor de emisión (%) - N</t>
    </r>
    <r>
      <rPr>
        <b/>
        <vertAlign val="subscript"/>
        <sz val="12"/>
        <color theme="0"/>
        <rFont val="Calibri"/>
        <family val="2"/>
        <scheme val="minor"/>
      </rPr>
      <t>2</t>
    </r>
    <r>
      <rPr>
        <b/>
        <sz val="12"/>
        <color theme="0"/>
        <rFont val="Calibri"/>
        <family val="2"/>
        <scheme val="minor"/>
      </rPr>
      <t>O</t>
    </r>
  </si>
  <si>
    <t>Superficie anual de pastizales por región</t>
  </si>
  <si>
    <t>Superficie Anual de cultivos por región</t>
  </si>
  <si>
    <t>Superficie anual de principales cultivos por región</t>
  </si>
  <si>
    <t>Producción anual de leguminosas</t>
  </si>
  <si>
    <t>Producción anual de caña de azúcar</t>
  </si>
  <si>
    <t>Producción anual de Cereales</t>
  </si>
  <si>
    <t>Producción anual de Tubérculos y raíces</t>
  </si>
  <si>
    <t>Producción anual de cultivos transitorios</t>
  </si>
  <si>
    <t>Producción anual de cultivos permanentes</t>
  </si>
  <si>
    <t>Producción anual de cultivos</t>
  </si>
  <si>
    <t>Población anual de animales por región</t>
  </si>
  <si>
    <t xml:space="preserve">Superficie Anual de cultivo de arroz por región </t>
  </si>
  <si>
    <t xml:space="preserve">Quema de biomasa en pastizales </t>
  </si>
  <si>
    <t>Datos de entrada</t>
  </si>
  <si>
    <t>√(E^2+F^2 )</t>
  </si>
  <si>
    <t>3A1</t>
  </si>
  <si>
    <t>3A1a</t>
  </si>
  <si>
    <t>3A1ai</t>
  </si>
  <si>
    <t>3A1aii</t>
  </si>
  <si>
    <t>3A1c</t>
  </si>
  <si>
    <t>3A1d</t>
  </si>
  <si>
    <t>3A1e</t>
  </si>
  <si>
    <t>3A1f</t>
  </si>
  <si>
    <t>3A1g</t>
  </si>
  <si>
    <t>3A1h</t>
  </si>
  <si>
    <t>3A1j</t>
  </si>
  <si>
    <t>3A2a</t>
  </si>
  <si>
    <t>3A2ai</t>
  </si>
  <si>
    <t>3A2aii</t>
  </si>
  <si>
    <t>3A2c</t>
  </si>
  <si>
    <t>3A2d</t>
  </si>
  <si>
    <t>3A2e</t>
  </si>
  <si>
    <t>3A2f</t>
  </si>
  <si>
    <t>3A2g</t>
  </si>
  <si>
    <t>3A2h</t>
  </si>
  <si>
    <t>3A2j</t>
  </si>
  <si>
    <t>3A2i</t>
  </si>
  <si>
    <t>3A</t>
  </si>
  <si>
    <t>3C1</t>
  </si>
  <si>
    <r>
      <rPr>
        <sz val="10"/>
        <color rgb="FF000000"/>
        <rFont val="Calibri"/>
        <family val="2"/>
      </rPr>
      <t>CH</t>
    </r>
    <r>
      <rPr>
        <vertAlign val="subscript"/>
        <sz val="10"/>
        <color rgb="FF000000"/>
        <rFont val="Calibri"/>
        <family val="2"/>
      </rPr>
      <t>4</t>
    </r>
  </si>
  <si>
    <t>Estimaciones de GEI</t>
  </si>
  <si>
    <t>Límite Superior (%)</t>
  </si>
  <si>
    <t>Bedoya J., C (2016/11/29). Solicitud de información Urgente RAGEI - AGRICULTURA Archivo enviado por correo electrónico. Recuperado de https://mail.minam.gob.pe/owa/?bO=1#path=/mail</t>
  </si>
  <si>
    <t>Gg CO2eq</t>
  </si>
  <si>
    <r>
      <t>Emisiones indirectas de N</t>
    </r>
    <r>
      <rPr>
        <b/>
        <vertAlign val="subscript"/>
        <sz val="11"/>
        <color theme="1"/>
        <rFont val="Calibri"/>
        <family val="2"/>
        <scheme val="minor"/>
      </rPr>
      <t>2</t>
    </r>
    <r>
      <rPr>
        <b/>
        <sz val="11"/>
        <color theme="1"/>
        <rFont val="Calibri"/>
        <family val="2"/>
        <scheme val="minor"/>
      </rPr>
      <t>O por manejo de estiércol</t>
    </r>
  </si>
  <si>
    <r>
      <t>Emisiones indirectas de N</t>
    </r>
    <r>
      <rPr>
        <b/>
        <vertAlign val="subscript"/>
        <sz val="11"/>
        <color theme="1"/>
        <rFont val="Calibri"/>
        <family val="2"/>
        <scheme val="minor"/>
      </rPr>
      <t>2</t>
    </r>
    <r>
      <rPr>
        <b/>
        <sz val="11"/>
        <color theme="1"/>
        <rFont val="Calibri"/>
        <family val="2"/>
        <scheme val="minor"/>
      </rPr>
      <t>O de suelos manejados</t>
    </r>
  </si>
  <si>
    <r>
      <t>Emisiones directas de N</t>
    </r>
    <r>
      <rPr>
        <b/>
        <vertAlign val="subscript"/>
        <sz val="10"/>
        <color rgb="FF000000"/>
        <rFont val="Calibri"/>
        <family val="2"/>
        <scheme val="minor"/>
      </rPr>
      <t>2</t>
    </r>
    <r>
      <rPr>
        <b/>
        <sz val="10"/>
        <color rgb="FF000000"/>
        <rFont val="Calibri"/>
        <family val="2"/>
        <scheme val="minor"/>
      </rPr>
      <t>O de suelos manejados</t>
    </r>
  </si>
  <si>
    <t>Emisiones indirectas de N2O</t>
  </si>
  <si>
    <t>(Gg N2O)</t>
  </si>
  <si>
    <t>OBP2003. Página 3,33</t>
  </si>
  <si>
    <t>Estimado de los resultados del "Dictamen de Expertos 2020. MINAGRI (TIER 2)"</t>
  </si>
  <si>
    <r>
      <t>Emisiones de metano (CH</t>
    </r>
    <r>
      <rPr>
        <b/>
        <vertAlign val="subscript"/>
        <sz val="11"/>
        <rFont val="Calibri"/>
        <family val="2"/>
        <scheme val="minor"/>
      </rPr>
      <t>4</t>
    </r>
    <r>
      <rPr>
        <b/>
        <sz val="11"/>
        <rFont val="Calibri"/>
        <family val="2"/>
        <scheme val="minor"/>
      </rPr>
      <t>) de otro ganado (otras especies de animal)</t>
    </r>
  </si>
  <si>
    <r>
      <t>Emisiones de metano (CH</t>
    </r>
    <r>
      <rPr>
        <b/>
        <vertAlign val="subscript"/>
        <sz val="11"/>
        <rFont val="Calibri"/>
        <family val="2"/>
        <scheme val="minor"/>
      </rPr>
      <t>4</t>
    </r>
    <r>
      <rPr>
        <b/>
        <sz val="11"/>
        <rFont val="Calibri"/>
        <family val="2"/>
        <scheme val="minor"/>
      </rPr>
      <t>) de ganado vacuno lechero</t>
    </r>
  </si>
  <si>
    <r>
      <t>Emisiones de metano (CH</t>
    </r>
    <r>
      <rPr>
        <b/>
        <vertAlign val="subscript"/>
        <sz val="11"/>
        <rFont val="Calibri"/>
        <family val="2"/>
        <scheme val="minor"/>
      </rPr>
      <t>4</t>
    </r>
    <r>
      <rPr>
        <b/>
        <sz val="11"/>
        <rFont val="Calibri"/>
        <family val="2"/>
        <scheme val="minor"/>
      </rPr>
      <t>) de ganado vacuno no lechero</t>
    </r>
  </si>
  <si>
    <t>NOTA: Se usa los datos directo de importaciones, por lo que se considera que la incertidumbr een el dato de actividad es cero.</t>
  </si>
  <si>
    <t>Directrices del IPCC de 2006 Revisadas en 2019  Vol. 4   Cap.11   Pag. 11.26</t>
  </si>
  <si>
    <t>Directrices del IPCC de 2006 Revisadas en 2019 Vol. 4   Cap.11   Pag. 11.26</t>
  </si>
  <si>
    <t>Directrices del IPCC de 2006 Revisadas en 2019. Volumen 4. Capítulo 5. Cuadro 5.11. Página. 5.53</t>
  </si>
  <si>
    <t>Directrices del IPCC de 2006 Revisadas en 2019.  Volumen 4. 
Capítulo 5. Cuadro 5.12. Página. 5.54</t>
  </si>
  <si>
    <t>Directrices del IPCC de 2006 Revisadas en 2019.  Volumen 4.
 Capítulo 5. Cuadro 5.13. Página. 5.55</t>
  </si>
  <si>
    <t>Directrices del IPCC de 2006 Volumen 4, Capítulo 10, Cuadro 10.10</t>
  </si>
  <si>
    <t>Directrices del IPCC de 2006. Vol.4. Cap.10. Pg.10.51</t>
  </si>
  <si>
    <t>Directrices del IPCC de 2006. Vol.4. Cap.10. Pg.10.71</t>
  </si>
  <si>
    <t>Directrices del IPCC de 2006. Vol. 4   Cap.2   Página 2.53</t>
  </si>
  <si>
    <t>Directrices del IPCC de 2006. Vol. 4   Cap.11   Página 11.34</t>
  </si>
  <si>
    <t>Directrices del IPCC de 2006. Vol. 4   Cap.11   Cuadro. 11.1</t>
  </si>
  <si>
    <t>Directrices del IPCC de 2006. Volumen 4 - Capitulo 11 - Cuadro 11.3</t>
  </si>
  <si>
    <t>Gráfico incluido en el RAGEI y tabla resumen para el sector Agricultura</t>
  </si>
  <si>
    <t>Código</t>
  </si>
  <si>
    <t>Categorías</t>
  </si>
  <si>
    <t>Emisiones GEI 
[GgCO2eq]</t>
  </si>
  <si>
    <t>O</t>
  </si>
  <si>
    <t>Δ %</t>
  </si>
  <si>
    <t>Manejo del estiércol</t>
  </si>
  <si>
    <t xml:space="preserve">Emisiones por quemado de biomasa </t>
  </si>
  <si>
    <t>3.C</t>
  </si>
  <si>
    <t xml:space="preserve">Fuentes agregadas y emisiones no-CO2 en otras tierras </t>
  </si>
  <si>
    <r>
      <t>Emisiones directas de N</t>
    </r>
    <r>
      <rPr>
        <b/>
        <vertAlign val="subscript"/>
        <sz val="10"/>
        <rFont val="Calibri"/>
        <family val="2"/>
        <scheme val="minor"/>
      </rPr>
      <t>2</t>
    </r>
    <r>
      <rPr>
        <b/>
        <sz val="10"/>
        <rFont val="Calibri"/>
        <family val="2"/>
        <scheme val="minor"/>
      </rPr>
      <t>O de suelos gestionados</t>
    </r>
  </si>
  <si>
    <r>
      <t>Emisiones indirectas de N</t>
    </r>
    <r>
      <rPr>
        <b/>
        <vertAlign val="subscript"/>
        <sz val="10"/>
        <rFont val="Calibri"/>
        <family val="2"/>
        <scheme val="minor"/>
      </rPr>
      <t>2</t>
    </r>
    <r>
      <rPr>
        <b/>
        <sz val="10"/>
        <rFont val="Calibri"/>
        <family val="2"/>
        <scheme val="minor"/>
      </rPr>
      <t>O de suelos gestionados</t>
    </r>
  </si>
  <si>
    <t>3.C.2</t>
  </si>
  <si>
    <t>Encalado</t>
  </si>
  <si>
    <r>
      <t>Emisiones indirectas de N</t>
    </r>
    <r>
      <rPr>
        <b/>
        <vertAlign val="subscript"/>
        <sz val="10"/>
        <rFont val="Calibri"/>
        <family val="2"/>
        <scheme val="minor"/>
      </rPr>
      <t>2</t>
    </r>
    <r>
      <rPr>
        <b/>
        <sz val="10"/>
        <rFont val="Calibri"/>
        <family val="2"/>
        <scheme val="minor"/>
      </rPr>
      <t>O por manejo del estiércol</t>
    </r>
  </si>
  <si>
    <t>3.C.3</t>
  </si>
  <si>
    <t>3.C.4</t>
  </si>
  <si>
    <r>
      <t>Emisiones directas de N</t>
    </r>
    <r>
      <rPr>
        <b/>
        <vertAlign val="subscript"/>
        <sz val="11"/>
        <rFont val="Calibri"/>
        <family val="2"/>
        <scheme val="minor"/>
      </rPr>
      <t>2</t>
    </r>
    <r>
      <rPr>
        <b/>
        <sz val="11"/>
        <rFont val="Calibri"/>
        <family val="2"/>
        <scheme val="minor"/>
      </rPr>
      <t>O de suelos gestionados</t>
    </r>
  </si>
  <si>
    <t>3.C.5</t>
  </si>
  <si>
    <r>
      <t>Emisiones indirectas de N</t>
    </r>
    <r>
      <rPr>
        <b/>
        <vertAlign val="subscript"/>
        <sz val="11"/>
        <rFont val="Calibri"/>
        <family val="2"/>
        <scheme val="minor"/>
      </rPr>
      <t>2</t>
    </r>
    <r>
      <rPr>
        <b/>
        <sz val="11"/>
        <rFont val="Calibri"/>
        <family val="2"/>
        <scheme val="minor"/>
      </rPr>
      <t>O de suelos gestionados</t>
    </r>
  </si>
  <si>
    <t>3.C.6</t>
  </si>
  <si>
    <r>
      <t>Emisiones indirectas de N</t>
    </r>
    <r>
      <rPr>
        <b/>
        <vertAlign val="subscript"/>
        <sz val="11"/>
        <rFont val="Calibri"/>
        <family val="2"/>
        <scheme val="minor"/>
      </rPr>
      <t>2</t>
    </r>
    <r>
      <rPr>
        <b/>
        <sz val="11"/>
        <rFont val="Calibri"/>
        <family val="2"/>
        <scheme val="minor"/>
      </rPr>
      <t>O por manejo del estiércol</t>
    </r>
  </si>
  <si>
    <t>3.C.7</t>
  </si>
  <si>
    <t>Total Agricultura</t>
  </si>
  <si>
    <t>Leyenda:  O - Original, A - Actual, Δ[%] - Variación de la estimación actual con respecto a la estimación original
Nota 1: Los valores negativos de la columna de variación (∆%) indican una reducción del valor de las emisiones/absorciones respecto al cálculo original.</t>
  </si>
  <si>
    <t xml:space="preserve">Categoría </t>
  </si>
  <si>
    <t>Emisiones de Metano por Fermentación Entérica y Manejo de Estiércol</t>
  </si>
  <si>
    <t>Código de categoría</t>
  </si>
  <si>
    <t>3A1 y 3A2</t>
  </si>
  <si>
    <t>Hoja</t>
  </si>
  <si>
    <t>1 de 1</t>
  </si>
  <si>
    <t>Ecuación</t>
  </si>
  <si>
    <t>Ecuación 10.19</t>
  </si>
  <si>
    <t>Ecuación 10.22</t>
  </si>
  <si>
    <t>Especies/Categorías de ganado</t>
  </si>
  <si>
    <t xml:space="preserve">Número de animales </t>
  </si>
  <si>
    <t>Factor de emisión por Fermentación Entérica</t>
  </si>
  <si>
    <r>
      <t>Emisiones de CH</t>
    </r>
    <r>
      <rPr>
        <vertAlign val="subscript"/>
        <sz val="10"/>
        <rFont val="Calibri"/>
        <family val="2"/>
        <scheme val="minor"/>
      </rPr>
      <t>4</t>
    </r>
    <r>
      <rPr>
        <sz val="10"/>
        <rFont val="Calibri"/>
        <family val="2"/>
        <scheme val="minor"/>
      </rPr>
      <t xml:space="preserve"> por Fermentación Entérica</t>
    </r>
  </si>
  <si>
    <t>Factor de emisión por Manejo del Estiércol</t>
  </si>
  <si>
    <r>
      <t>Emisiones de CH</t>
    </r>
    <r>
      <rPr>
        <vertAlign val="subscript"/>
        <sz val="10"/>
        <rFont val="Calibri"/>
        <family val="2"/>
        <scheme val="minor"/>
      </rPr>
      <t>4</t>
    </r>
    <r>
      <rPr>
        <sz val="10"/>
        <rFont val="Calibri"/>
        <family val="2"/>
        <scheme val="minor"/>
      </rPr>
      <t xml:space="preserve"> por Manejo del Estiércol  </t>
    </r>
  </si>
  <si>
    <t>(cabezas)</t>
  </si>
  <si>
    <r>
      <t>(kg cabeza</t>
    </r>
    <r>
      <rPr>
        <vertAlign val="superscript"/>
        <sz val="10"/>
        <rFont val="Calibri"/>
        <family val="2"/>
        <scheme val="minor"/>
      </rPr>
      <t>-1</t>
    </r>
    <r>
      <rPr>
        <sz val="10"/>
        <rFont val="Calibri"/>
        <family val="2"/>
        <scheme val="minor"/>
      </rPr>
      <t xml:space="preserve"> año</t>
    </r>
    <r>
      <rPr>
        <vertAlign val="superscript"/>
        <sz val="10"/>
        <rFont val="Calibri"/>
        <family val="2"/>
        <scheme val="minor"/>
      </rPr>
      <t>-1</t>
    </r>
    <r>
      <rPr>
        <sz val="10"/>
        <rFont val="Calibri"/>
        <family val="2"/>
        <scheme val="minor"/>
      </rPr>
      <t>)</t>
    </r>
  </si>
  <si>
    <r>
      <t>(Gg CH</t>
    </r>
    <r>
      <rPr>
        <vertAlign val="subscript"/>
        <sz val="10"/>
        <rFont val="Calibri"/>
        <family val="2"/>
        <scheme val="minor"/>
      </rPr>
      <t>4</t>
    </r>
    <r>
      <rPr>
        <sz val="10"/>
        <rFont val="Calibri"/>
        <family val="2"/>
        <scheme val="minor"/>
      </rPr>
      <t xml:space="preserve"> año</t>
    </r>
    <r>
      <rPr>
        <vertAlign val="superscript"/>
        <sz val="10"/>
        <rFont val="Calibri"/>
        <family val="2"/>
        <scheme val="minor"/>
      </rPr>
      <t>-1</t>
    </r>
    <r>
      <rPr>
        <sz val="10"/>
        <rFont val="Calibri"/>
        <family val="2"/>
        <scheme val="minor"/>
      </rPr>
      <t>)</t>
    </r>
  </si>
  <si>
    <t>Tablas 10.10 y 10.11</t>
  </si>
  <si>
    <r>
      <t>CH</t>
    </r>
    <r>
      <rPr>
        <vertAlign val="subscript"/>
        <sz val="10"/>
        <rFont val="Calibri"/>
        <family val="2"/>
        <scheme val="minor"/>
      </rPr>
      <t>4 Enterica</t>
    </r>
    <r>
      <rPr>
        <sz val="10"/>
        <rFont val="Calibri"/>
        <family val="2"/>
        <scheme val="minor"/>
      </rPr>
      <t xml:space="preserve"> = N</t>
    </r>
    <r>
      <rPr>
        <vertAlign val="subscript"/>
        <sz val="10"/>
        <rFont val="Calibri"/>
        <family val="2"/>
        <scheme val="minor"/>
      </rPr>
      <t>(T)</t>
    </r>
    <r>
      <rPr>
        <sz val="10"/>
        <rFont val="Calibri"/>
        <family val="2"/>
        <scheme val="minor"/>
      </rPr>
      <t xml:space="preserve"> * EF</t>
    </r>
    <r>
      <rPr>
        <vertAlign val="subscript"/>
        <sz val="10"/>
        <rFont val="Calibri"/>
        <family val="2"/>
        <scheme val="minor"/>
      </rPr>
      <t>(T)</t>
    </r>
    <r>
      <rPr>
        <sz val="10"/>
        <rFont val="Calibri"/>
        <family val="2"/>
        <scheme val="minor"/>
      </rPr>
      <t xml:space="preserve"> * 10</t>
    </r>
    <r>
      <rPr>
        <vertAlign val="superscript"/>
        <sz val="10"/>
        <rFont val="Calibri"/>
        <family val="2"/>
        <scheme val="minor"/>
      </rPr>
      <t>-6</t>
    </r>
  </si>
  <si>
    <t>Tablas 10.14 - 10.16</t>
  </si>
  <si>
    <r>
      <t>CH</t>
    </r>
    <r>
      <rPr>
        <vertAlign val="subscript"/>
        <sz val="10"/>
        <rFont val="Calibri"/>
        <family val="2"/>
        <scheme val="minor"/>
      </rPr>
      <t>4</t>
    </r>
    <r>
      <rPr>
        <sz val="10"/>
        <rFont val="Calibri"/>
        <family val="2"/>
        <scheme val="minor"/>
      </rPr>
      <t xml:space="preserve"> </t>
    </r>
    <r>
      <rPr>
        <vertAlign val="subscript"/>
        <sz val="10"/>
        <rFont val="Calibri"/>
        <family val="2"/>
        <scheme val="minor"/>
      </rPr>
      <t>Estiércol</t>
    </r>
    <r>
      <rPr>
        <sz val="10"/>
        <rFont val="Calibri"/>
        <family val="2"/>
        <scheme val="minor"/>
      </rPr>
      <t xml:space="preserve"> = N</t>
    </r>
    <r>
      <rPr>
        <vertAlign val="subscript"/>
        <sz val="10"/>
        <rFont val="Calibri"/>
        <family val="2"/>
        <scheme val="minor"/>
      </rPr>
      <t>(T)</t>
    </r>
    <r>
      <rPr>
        <sz val="10"/>
        <rFont val="Calibri"/>
        <family val="2"/>
        <scheme val="minor"/>
      </rPr>
      <t xml:space="preserve"> * EF</t>
    </r>
    <r>
      <rPr>
        <vertAlign val="subscript"/>
        <sz val="10"/>
        <rFont val="Calibri"/>
        <family val="2"/>
        <scheme val="minor"/>
      </rPr>
      <t>(T)</t>
    </r>
    <r>
      <rPr>
        <sz val="10"/>
        <rFont val="Calibri"/>
        <family val="2"/>
        <scheme val="minor"/>
      </rPr>
      <t xml:space="preserve"> * 10</t>
    </r>
    <r>
      <rPr>
        <vertAlign val="superscript"/>
        <sz val="10"/>
        <rFont val="Calibri"/>
        <family val="2"/>
        <scheme val="minor"/>
      </rPr>
      <t>-6</t>
    </r>
  </si>
  <si>
    <r>
      <t>1</t>
    </r>
    <r>
      <rPr>
        <sz val="10"/>
        <rFont val="Calibri"/>
        <family val="2"/>
        <scheme val="minor"/>
      </rPr>
      <t xml:space="preserve"> Especifique las categorías de ganado según sea necesario utilizando líneas adicionales (por ejemplo, llamas, alpacas, renos, conejos, animales con pieles, etc.)</t>
    </r>
  </si>
  <si>
    <r>
      <t>Manejo del Estiércol: Emisiones Directas de N</t>
    </r>
    <r>
      <rPr>
        <b/>
        <vertAlign val="subscript"/>
        <sz val="10"/>
        <rFont val="Calibri"/>
        <family val="2"/>
        <scheme val="minor"/>
      </rPr>
      <t>2</t>
    </r>
    <r>
      <rPr>
        <b/>
        <sz val="10"/>
        <rFont val="Calibri"/>
        <family val="2"/>
        <scheme val="minor"/>
      </rPr>
      <t>O Emissions por Sistemas de Manejo del Estiércol</t>
    </r>
  </si>
  <si>
    <t>Ecuación 10.25</t>
  </si>
  <si>
    <t>Ecuación 10.30</t>
  </si>
  <si>
    <r>
      <t>Sistemas de Manejo del Estiércol  (MMS)</t>
    </r>
    <r>
      <rPr>
        <vertAlign val="superscript"/>
        <sz val="10"/>
        <rFont val="Calibri"/>
        <family val="2"/>
        <scheme val="minor"/>
      </rPr>
      <t>1</t>
    </r>
  </si>
  <si>
    <t>Especies/ Categorías de ganado</t>
  </si>
  <si>
    <t>Tasa de excreción de N por defecto</t>
  </si>
  <si>
    <t>Masa Animal Típica por categoría de ganado</t>
  </si>
  <si>
    <r>
      <t>Excreción anual de N por cabeza de especies/categorías de ganado</t>
    </r>
    <r>
      <rPr>
        <vertAlign val="superscript"/>
        <sz val="10"/>
        <rFont val="Calibri"/>
        <family val="2"/>
        <scheme val="minor"/>
      </rPr>
      <t>3</t>
    </r>
  </si>
  <si>
    <t>Fracción de la excreción total anual de nitrogeno en MMS por cada especie/categoría de ganado</t>
  </si>
  <si>
    <r>
      <t xml:space="preserve">Excreción total excretado por cada  MMS </t>
    </r>
    <r>
      <rPr>
        <vertAlign val="superscript"/>
        <sz val="10"/>
        <rFont val="Calibri"/>
        <family val="2"/>
        <scheme val="minor"/>
      </rPr>
      <t>4</t>
    </r>
  </si>
  <si>
    <r>
      <t>Factor de emisión para emisiones directas de N</t>
    </r>
    <r>
      <rPr>
        <vertAlign val="subscript"/>
        <sz val="10"/>
        <rFont val="Calibri"/>
        <family val="2"/>
        <scheme val="minor"/>
      </rPr>
      <t>2</t>
    </r>
    <r>
      <rPr>
        <sz val="10"/>
        <rFont val="Calibri"/>
        <family val="2"/>
        <scheme val="minor"/>
      </rPr>
      <t xml:space="preserve">O-N por MMS </t>
    </r>
  </si>
  <si>
    <r>
      <t>Emisiones anuales directas de N</t>
    </r>
    <r>
      <rPr>
        <vertAlign val="subscript"/>
        <sz val="10"/>
        <rFont val="Calibri"/>
        <family val="2"/>
        <scheme val="minor"/>
      </rPr>
      <t>2</t>
    </r>
    <r>
      <rPr>
        <sz val="10"/>
        <rFont val="Calibri"/>
        <family val="2"/>
        <scheme val="minor"/>
      </rPr>
      <t xml:space="preserve">O por Manejo del Estiercol </t>
    </r>
  </si>
  <si>
    <r>
      <t>Emisiones anuales directas de N</t>
    </r>
    <r>
      <rPr>
        <vertAlign val="subscript"/>
        <sz val="9"/>
        <rFont val="Calibri"/>
        <family val="2"/>
        <scheme val="minor"/>
      </rPr>
      <t>2</t>
    </r>
    <r>
      <rPr>
        <sz val="9"/>
        <rFont val="Calibri"/>
        <family val="2"/>
        <scheme val="minor"/>
      </rPr>
      <t xml:space="preserve">O por Manejo del Estiercol </t>
    </r>
  </si>
  <si>
    <r>
      <t>(kg N año</t>
    </r>
    <r>
      <rPr>
        <vertAlign val="superscript"/>
        <sz val="10"/>
        <rFont val="Calibri"/>
        <family val="2"/>
        <scheme val="minor"/>
      </rPr>
      <t>-1</t>
    </r>
    <r>
      <rPr>
        <sz val="10"/>
        <rFont val="Calibri"/>
        <family val="2"/>
        <scheme val="minor"/>
      </rPr>
      <t>)</t>
    </r>
  </si>
  <si>
    <r>
      <t>kg N</t>
    </r>
    <r>
      <rPr>
        <vertAlign val="subscript"/>
        <sz val="10"/>
        <rFont val="Calibri"/>
        <family val="2"/>
        <scheme val="minor"/>
      </rPr>
      <t>2</t>
    </r>
    <r>
      <rPr>
        <sz val="10"/>
        <rFont val="Calibri"/>
        <family val="2"/>
        <scheme val="minor"/>
      </rPr>
      <t>O año</t>
    </r>
    <r>
      <rPr>
        <vertAlign val="superscript"/>
        <sz val="10"/>
        <rFont val="Calibri"/>
        <family val="2"/>
        <scheme val="minor"/>
      </rPr>
      <t>-1</t>
    </r>
  </si>
  <si>
    <r>
      <t>(Gg N</t>
    </r>
    <r>
      <rPr>
        <vertAlign val="subscript"/>
        <sz val="9"/>
        <rFont val="Calibri"/>
        <family val="2"/>
        <scheme val="minor"/>
      </rPr>
      <t>2</t>
    </r>
    <r>
      <rPr>
        <sz val="9"/>
        <rFont val="Calibri"/>
        <family val="2"/>
        <scheme val="minor"/>
      </rPr>
      <t>O año</t>
    </r>
    <r>
      <rPr>
        <vertAlign val="superscript"/>
        <sz val="9"/>
        <rFont val="Calibri"/>
        <family val="2"/>
        <scheme val="minor"/>
      </rPr>
      <t>-1</t>
    </r>
    <r>
      <rPr>
        <sz val="9"/>
        <rFont val="Calibri"/>
        <family val="2"/>
        <scheme val="minor"/>
      </rPr>
      <t>)</t>
    </r>
  </si>
  <si>
    <r>
      <t>(1000 kg animal)</t>
    </r>
    <r>
      <rPr>
        <vertAlign val="superscript"/>
        <sz val="10"/>
        <rFont val="Calibri"/>
        <family val="2"/>
        <scheme val="minor"/>
      </rPr>
      <t>-1</t>
    </r>
    <r>
      <rPr>
        <sz val="10"/>
        <rFont val="Calibri"/>
        <family val="2"/>
        <scheme val="minor"/>
      </rPr>
      <t xml:space="preserve"> día</t>
    </r>
    <r>
      <rPr>
        <vertAlign val="superscript"/>
        <sz val="10"/>
        <rFont val="Calibri"/>
        <family val="2"/>
        <scheme val="minor"/>
      </rPr>
      <t>-1</t>
    </r>
    <r>
      <rPr>
        <sz val="10"/>
        <rFont val="Calibri"/>
        <family val="2"/>
        <scheme val="minor"/>
      </rPr>
      <t>]</t>
    </r>
  </si>
  <si>
    <r>
      <t>año</t>
    </r>
    <r>
      <rPr>
        <vertAlign val="superscript"/>
        <sz val="10"/>
        <rFont val="Calibri"/>
        <family val="2"/>
        <scheme val="minor"/>
      </rPr>
      <t>-1</t>
    </r>
    <r>
      <rPr>
        <sz val="10"/>
        <rFont val="Calibri"/>
        <family val="2"/>
        <scheme val="minor"/>
      </rPr>
      <t>)</t>
    </r>
  </si>
  <si>
    <r>
      <t>(kg N en MMS)</t>
    </r>
    <r>
      <rPr>
        <vertAlign val="superscript"/>
        <sz val="10"/>
        <rFont val="Calibri"/>
        <family val="2"/>
        <scheme val="minor"/>
      </rPr>
      <t>-1</t>
    </r>
    <r>
      <rPr>
        <sz val="10"/>
        <rFont val="Calibri"/>
        <family val="2"/>
        <scheme val="minor"/>
      </rPr>
      <t>]</t>
    </r>
  </si>
  <si>
    <t>Tabla 10.19</t>
  </si>
  <si>
    <t>Tablas 10A-4 a 10A-9</t>
  </si>
  <si>
    <t>Tablas A4-A8</t>
  </si>
  <si>
    <t>Tabla 10.21</t>
  </si>
  <si>
    <r>
      <t xml:space="preserve">1 </t>
    </r>
    <r>
      <rPr>
        <sz val="10"/>
        <rFont val="Calibri"/>
        <family val="2"/>
        <scheme val="minor"/>
      </rPr>
      <t>Los cálculos deben ser realizados por el Sistema de Manejo de Estiércol, y para cada sistema de manejo, se debe seleccionar la(s) categoría(s) de especie / ganado relevante. Para los sistemas de manejo de estiércol, consulte la Tabla 10.18.</t>
    </r>
  </si>
  <si>
    <r>
      <t>2</t>
    </r>
    <r>
      <rPr>
        <sz val="10"/>
        <rFont val="Calibri"/>
        <family val="2"/>
        <scheme val="minor"/>
      </rPr>
      <t xml:space="preserve"> Especifique las categorías de ganado según sea necesario utilizando líneas adicionales (por ejemplo, llamas, alpacas, renos, conejos, animales con pieles, etc.)</t>
    </r>
  </si>
  <si>
    <r>
      <t>3</t>
    </r>
    <r>
      <rPr>
        <sz val="10"/>
        <rFont val="Calibri"/>
        <family val="2"/>
        <scheme val="minor"/>
      </rPr>
      <t xml:space="preserve"> Se prefiere que los valores específicos del país se ingresen directamente en esta columna. Si no están disponibles, utilice los valores predeterminados de Nrate (T) y TAM para calcular esta variable.</t>
    </r>
  </si>
  <si>
    <r>
      <t>4</t>
    </r>
    <r>
      <rPr>
        <sz val="10"/>
        <rFont val="Calibri"/>
        <family val="2"/>
        <scheme val="minor"/>
      </rPr>
      <t xml:space="preserve"> Este valor se ingresará en la hoja de trabajo en Emisiones indirectas de N</t>
    </r>
    <r>
      <rPr>
        <vertAlign val="subscript"/>
        <sz val="10"/>
        <rFont val="Calibri"/>
        <family val="2"/>
        <scheme val="minor"/>
      </rPr>
      <t>2</t>
    </r>
    <r>
      <rPr>
        <sz val="10"/>
        <rFont val="Calibri"/>
        <family val="2"/>
        <scheme val="minor"/>
      </rPr>
      <t>O de la gestión del estiércol (ver categoría 3C6).</t>
    </r>
  </si>
  <si>
    <r>
      <t>EF (kg CH</t>
    </r>
    <r>
      <rPr>
        <b/>
        <vertAlign val="subscript"/>
        <sz val="10"/>
        <rFont val="Calibri"/>
        <family val="2"/>
        <scheme val="minor"/>
      </rPr>
      <t>4</t>
    </r>
    <r>
      <rPr>
        <b/>
        <sz val="10"/>
        <rFont val="Calibri"/>
        <family val="2"/>
        <scheme val="minor"/>
      </rPr>
      <t>/cabezas/mes)</t>
    </r>
  </si>
  <si>
    <r>
      <t>Total Emisiones (kg CH</t>
    </r>
    <r>
      <rPr>
        <b/>
        <vertAlign val="subscript"/>
        <sz val="10"/>
        <rFont val="Calibri"/>
        <family val="2"/>
        <scheme val="minor"/>
      </rPr>
      <t>4</t>
    </r>
    <r>
      <rPr>
        <b/>
        <sz val="10"/>
        <rFont val="Calibri"/>
        <family val="2"/>
        <scheme val="minor"/>
      </rPr>
      <t>/mes)</t>
    </r>
  </si>
  <si>
    <r>
      <t>EF (kg CH</t>
    </r>
    <r>
      <rPr>
        <b/>
        <vertAlign val="subscript"/>
        <sz val="10"/>
        <rFont val="Calibri"/>
        <family val="2"/>
        <scheme val="minor"/>
      </rPr>
      <t>4</t>
    </r>
    <r>
      <rPr>
        <b/>
        <sz val="10"/>
        <rFont val="Calibri"/>
        <family val="2"/>
        <scheme val="minor"/>
      </rPr>
      <t>/cabeza/año)</t>
    </r>
  </si>
  <si>
    <r>
      <t>(Gg CH</t>
    </r>
    <r>
      <rPr>
        <b/>
        <vertAlign val="subscript"/>
        <sz val="10"/>
        <rFont val="Calibri"/>
        <family val="2"/>
        <scheme val="minor"/>
      </rPr>
      <t>4</t>
    </r>
    <r>
      <rPr>
        <b/>
        <sz val="10"/>
        <rFont val="Calibri"/>
        <family val="2"/>
        <scheme val="minor"/>
      </rPr>
      <t xml:space="preserve"> año</t>
    </r>
    <r>
      <rPr>
        <b/>
        <vertAlign val="superscript"/>
        <sz val="10"/>
        <rFont val="Calibri"/>
        <family val="2"/>
        <scheme val="minor"/>
      </rPr>
      <t>-1</t>
    </r>
    <r>
      <rPr>
        <b/>
        <sz val="10"/>
        <rFont val="Calibri"/>
        <family val="2"/>
        <scheme val="minor"/>
      </rPr>
      <t>)</t>
    </r>
  </si>
  <si>
    <t>Emisiones por Quema de Biomasa en Tierras de Cultivos (Tierras de Cultivos que permanecen como Tierras de Cultivos)</t>
  </si>
  <si>
    <t>1 de 2</t>
  </si>
  <si>
    <t xml:space="preserve">Ecuación </t>
  </si>
  <si>
    <t>Ecuación 2.2</t>
  </si>
  <si>
    <t>Ecuación 2.27</t>
  </si>
  <si>
    <t>Categoría de uso de la tierra</t>
  </si>
  <si>
    <r>
      <t>Subcategorias para el año de notificación</t>
    </r>
    <r>
      <rPr>
        <vertAlign val="superscript"/>
        <sz val="10"/>
        <rFont val="Calibri"/>
        <family val="2"/>
        <scheme val="minor"/>
      </rPr>
      <t>1</t>
    </r>
  </si>
  <si>
    <t>Superficie  quemada</t>
  </si>
  <si>
    <r>
      <t>Masa de combustible disponible para combustión</t>
    </r>
    <r>
      <rPr>
        <vertAlign val="superscript"/>
        <sz val="10"/>
        <rFont val="Calibri"/>
        <family val="2"/>
        <scheme val="minor"/>
      </rPr>
      <t>2</t>
    </r>
  </si>
  <si>
    <r>
      <t>Factor de Combustión</t>
    </r>
    <r>
      <rPr>
        <vertAlign val="superscript"/>
        <sz val="10"/>
        <rFont val="Calibri"/>
        <family val="2"/>
        <scheme val="minor"/>
      </rPr>
      <t>3</t>
    </r>
  </si>
  <si>
    <t>Factor de Emisión para cada GEI</t>
  </si>
  <si>
    <r>
      <t>Emisiones de CH</t>
    </r>
    <r>
      <rPr>
        <vertAlign val="subscript"/>
        <sz val="10"/>
        <rFont val="Calibri"/>
        <family val="2"/>
        <scheme val="minor"/>
      </rPr>
      <t>4</t>
    </r>
    <r>
      <rPr>
        <sz val="10"/>
        <rFont val="Calibri"/>
        <family val="2"/>
        <scheme val="minor"/>
      </rPr>
      <t xml:space="preserve"> por fuego</t>
    </r>
  </si>
  <si>
    <t>Emisiones de CO por fuego</t>
  </si>
  <si>
    <r>
      <t>Emisiones de N</t>
    </r>
    <r>
      <rPr>
        <vertAlign val="subscript"/>
        <sz val="10"/>
        <rFont val="Calibri"/>
        <family val="2"/>
        <scheme val="minor"/>
      </rPr>
      <t>2</t>
    </r>
    <r>
      <rPr>
        <sz val="10"/>
        <rFont val="Calibri"/>
        <family val="2"/>
        <scheme val="minor"/>
      </rPr>
      <t>O por fuego</t>
    </r>
  </si>
  <si>
    <r>
      <t>Emisiones de NO</t>
    </r>
    <r>
      <rPr>
        <vertAlign val="subscript"/>
        <sz val="10"/>
        <rFont val="Calibri"/>
        <family val="2"/>
        <scheme val="minor"/>
      </rPr>
      <t>x</t>
    </r>
    <r>
      <rPr>
        <sz val="10"/>
        <rFont val="Calibri"/>
        <family val="2"/>
        <scheme val="minor"/>
      </rPr>
      <t xml:space="preserve"> por fuego</t>
    </r>
  </si>
  <si>
    <t>Emisiones de CH4 por fuego</t>
  </si>
  <si>
    <t>Emisiones de N2O por fuego</t>
  </si>
  <si>
    <t>Emisiones de NOx por fuego</t>
  </si>
  <si>
    <t xml:space="preserve">Uso de la tierra inicial </t>
  </si>
  <si>
    <t>Uso de la Tierra durante el año de reporte</t>
  </si>
  <si>
    <r>
      <t>(toneladas ha</t>
    </r>
    <r>
      <rPr>
        <vertAlign val="superscript"/>
        <sz val="10"/>
        <rFont val="Calibri"/>
        <family val="2"/>
        <scheme val="minor"/>
      </rPr>
      <t>-1</t>
    </r>
    <r>
      <rPr>
        <sz val="10"/>
        <rFont val="Calibri"/>
        <family val="2"/>
        <scheme val="minor"/>
      </rPr>
      <t>)</t>
    </r>
  </si>
  <si>
    <t>[g GEI</t>
  </si>
  <si>
    <r>
      <t>(toneladas CH</t>
    </r>
    <r>
      <rPr>
        <vertAlign val="subscript"/>
        <sz val="10"/>
        <rFont val="Calibri"/>
        <family val="2"/>
        <scheme val="minor"/>
      </rPr>
      <t>4</t>
    </r>
    <r>
      <rPr>
        <sz val="10"/>
        <rFont val="Calibri"/>
        <family val="2"/>
        <scheme val="minor"/>
      </rPr>
      <t>)</t>
    </r>
  </si>
  <si>
    <t>(toneladas CO)</t>
  </si>
  <si>
    <r>
      <t>(toneladas N</t>
    </r>
    <r>
      <rPr>
        <vertAlign val="subscript"/>
        <sz val="10"/>
        <rFont val="Calibri"/>
        <family val="2"/>
        <scheme val="minor"/>
      </rPr>
      <t>2</t>
    </r>
    <r>
      <rPr>
        <sz val="10"/>
        <rFont val="Calibri"/>
        <family val="2"/>
        <scheme val="minor"/>
      </rPr>
      <t>O)</t>
    </r>
  </si>
  <si>
    <t>(toneladas NOx)</t>
  </si>
  <si>
    <r>
      <t>(kg ms quemada)</t>
    </r>
    <r>
      <rPr>
        <vertAlign val="superscript"/>
        <sz val="10"/>
        <rFont val="Calibri"/>
        <family val="2"/>
        <scheme val="minor"/>
      </rPr>
      <t>-1</t>
    </r>
    <r>
      <rPr>
        <sz val="10"/>
        <rFont val="Calibri"/>
        <family val="2"/>
        <scheme val="minor"/>
      </rPr>
      <t>]</t>
    </r>
  </si>
  <si>
    <t> (Tabla 2.4)</t>
  </si>
  <si>
    <t>Tabla 2.6</t>
  </si>
  <si>
    <t>Tabla 2.5</t>
  </si>
  <si>
    <r>
      <t>L</t>
    </r>
    <r>
      <rPr>
        <vertAlign val="subscript"/>
        <sz val="10"/>
        <rFont val="Calibri"/>
        <family val="2"/>
        <scheme val="minor"/>
      </rPr>
      <t>fuego</t>
    </r>
    <r>
      <rPr>
        <sz val="10"/>
        <rFont val="Calibri"/>
        <family val="2"/>
        <scheme val="minor"/>
      </rPr>
      <t>-CH</t>
    </r>
    <r>
      <rPr>
        <vertAlign val="subscript"/>
        <sz val="10"/>
        <rFont val="Calibri"/>
        <family val="2"/>
        <scheme val="minor"/>
      </rPr>
      <t>4</t>
    </r>
    <r>
      <rPr>
        <sz val="10"/>
        <rFont val="Calibri"/>
        <family val="2"/>
        <scheme val="minor"/>
      </rPr>
      <t xml:space="preserve"> =</t>
    </r>
  </si>
  <si>
    <r>
      <t>L</t>
    </r>
    <r>
      <rPr>
        <vertAlign val="subscript"/>
        <sz val="10"/>
        <rFont val="Calibri"/>
        <family val="2"/>
        <scheme val="minor"/>
      </rPr>
      <t>fuego</t>
    </r>
    <r>
      <rPr>
        <sz val="10"/>
        <rFont val="Calibri"/>
        <family val="2"/>
        <scheme val="minor"/>
      </rPr>
      <t>-CO =</t>
    </r>
  </si>
  <si>
    <r>
      <t>L</t>
    </r>
    <r>
      <rPr>
        <vertAlign val="subscript"/>
        <sz val="10"/>
        <rFont val="Calibri"/>
        <family val="2"/>
        <scheme val="minor"/>
      </rPr>
      <t>fuego</t>
    </r>
    <r>
      <rPr>
        <sz val="10"/>
        <rFont val="Calibri"/>
        <family val="2"/>
        <scheme val="minor"/>
      </rPr>
      <t>-N</t>
    </r>
    <r>
      <rPr>
        <vertAlign val="subscript"/>
        <sz val="10"/>
        <rFont val="Calibri"/>
        <family val="2"/>
        <scheme val="minor"/>
      </rPr>
      <t>2</t>
    </r>
    <r>
      <rPr>
        <sz val="10"/>
        <rFont val="Calibri"/>
        <family val="2"/>
        <scheme val="minor"/>
      </rPr>
      <t>O =</t>
    </r>
  </si>
  <si>
    <r>
      <t>L</t>
    </r>
    <r>
      <rPr>
        <vertAlign val="subscript"/>
        <sz val="10"/>
        <rFont val="Calibri"/>
        <family val="2"/>
        <scheme val="minor"/>
      </rPr>
      <t>fuego</t>
    </r>
    <r>
      <rPr>
        <sz val="10"/>
        <rFont val="Calibri"/>
        <family val="2"/>
        <scheme val="minor"/>
      </rPr>
      <t>-NO</t>
    </r>
    <r>
      <rPr>
        <vertAlign val="subscript"/>
        <sz val="10"/>
        <rFont val="Calibri"/>
        <family val="2"/>
        <scheme val="minor"/>
      </rPr>
      <t>x</t>
    </r>
    <r>
      <rPr>
        <sz val="10"/>
        <rFont val="Calibri"/>
        <family val="2"/>
        <scheme val="minor"/>
      </rPr>
      <t xml:space="preserve"> =</t>
    </r>
  </si>
  <si>
    <r>
      <t>L</t>
    </r>
    <r>
      <rPr>
        <b/>
        <vertAlign val="subscript"/>
        <sz val="10"/>
        <rFont val="Calibri"/>
        <family val="2"/>
        <scheme val="minor"/>
      </rPr>
      <t>fuego</t>
    </r>
    <r>
      <rPr>
        <b/>
        <sz val="10"/>
        <rFont val="Calibri"/>
        <family val="2"/>
        <scheme val="minor"/>
      </rPr>
      <t>-CH</t>
    </r>
    <r>
      <rPr>
        <b/>
        <vertAlign val="subscript"/>
        <sz val="10"/>
        <rFont val="Calibri"/>
        <family val="2"/>
        <scheme val="minor"/>
      </rPr>
      <t>4</t>
    </r>
  </si>
  <si>
    <r>
      <t>L</t>
    </r>
    <r>
      <rPr>
        <b/>
        <vertAlign val="subscript"/>
        <sz val="10"/>
        <rFont val="Calibri"/>
        <family val="2"/>
        <scheme val="minor"/>
      </rPr>
      <t>fuego</t>
    </r>
    <r>
      <rPr>
        <b/>
        <sz val="10"/>
        <rFont val="Calibri"/>
        <family val="2"/>
        <scheme val="minor"/>
      </rPr>
      <t>-CO</t>
    </r>
  </si>
  <si>
    <r>
      <t>L</t>
    </r>
    <r>
      <rPr>
        <b/>
        <vertAlign val="subscript"/>
        <sz val="10"/>
        <rFont val="Calibri"/>
        <family val="2"/>
        <scheme val="minor"/>
      </rPr>
      <t>fuego</t>
    </r>
    <r>
      <rPr>
        <b/>
        <sz val="10"/>
        <rFont val="Calibri"/>
        <family val="2"/>
        <scheme val="minor"/>
      </rPr>
      <t>-N</t>
    </r>
    <r>
      <rPr>
        <b/>
        <vertAlign val="subscript"/>
        <sz val="10"/>
        <rFont val="Calibri"/>
        <family val="2"/>
        <scheme val="minor"/>
      </rPr>
      <t>2</t>
    </r>
    <r>
      <rPr>
        <b/>
        <sz val="10"/>
        <rFont val="Calibri"/>
        <family val="2"/>
        <scheme val="minor"/>
      </rPr>
      <t>O</t>
    </r>
  </si>
  <si>
    <r>
      <t>L</t>
    </r>
    <r>
      <rPr>
        <b/>
        <vertAlign val="subscript"/>
        <sz val="10"/>
        <rFont val="Calibri"/>
        <family val="2"/>
        <scheme val="minor"/>
      </rPr>
      <t>fuego</t>
    </r>
    <r>
      <rPr>
        <b/>
        <sz val="10"/>
        <rFont val="Calibri"/>
        <family val="2"/>
        <scheme val="minor"/>
      </rPr>
      <t>-NO</t>
    </r>
    <r>
      <rPr>
        <b/>
        <vertAlign val="subscript"/>
        <sz val="10"/>
        <rFont val="Calibri"/>
        <family val="2"/>
        <scheme val="minor"/>
      </rPr>
      <t>x</t>
    </r>
  </si>
  <si>
    <t>TC</t>
  </si>
  <si>
    <r>
      <t>1</t>
    </r>
    <r>
      <rPr>
        <sz val="10"/>
        <rFont val="Calibri"/>
        <family val="2"/>
        <scheme val="minor"/>
      </rPr>
      <t xml:space="preserve"> Para cada subcategoría, utilice líneas separadas para cada gas de efecto invernadero distinto del CO</t>
    </r>
    <r>
      <rPr>
        <vertAlign val="subscript"/>
        <sz val="10"/>
        <rFont val="Calibri"/>
        <family val="2"/>
        <scheme val="minor"/>
      </rPr>
      <t>2.</t>
    </r>
  </si>
  <si>
    <r>
      <t xml:space="preserve">2 </t>
    </r>
    <r>
      <rPr>
        <sz val="10"/>
        <rFont val="Calibri"/>
        <family val="2"/>
        <scheme val="minor"/>
      </rPr>
      <t>Cuando no se dispone de datos para MB y Cf, se puede utilizar un valor predeterminado para la cantidad de combustible realmente quemado (MB * Cf) (Tabla 2.4). En este caso, MB toma el valor tomado de la Tabla, mientras que Cf debe ser 1.</t>
    </r>
  </si>
  <si>
    <t>Emisiones por Quema de Biomasa en Tierras de Cultivos (Tierras convertidas en Tierras de Cultivos)</t>
  </si>
  <si>
    <t>2 de 2</t>
  </si>
  <si>
    <t>Ec. 2.2</t>
  </si>
  <si>
    <r>
      <t>1</t>
    </r>
    <r>
      <rPr>
        <sz val="10"/>
        <rFont val="Calibri"/>
        <family val="2"/>
        <scheme val="minor"/>
      </rPr>
      <t xml:space="preserve"> Las Tablas similares se deben completar por separado para cada uso inicial de la tierra y se deben sumar los subtotales. Si los datos por uso inicial de la tierra no están disponibles, use sólo "no CL" en esta columna.</t>
    </r>
  </si>
  <si>
    <r>
      <t>2</t>
    </r>
    <r>
      <rPr>
        <sz val="10"/>
        <rFont val="Calibri"/>
        <family val="2"/>
        <scheme val="minor"/>
      </rPr>
      <t xml:space="preserve"> Para cada subcategoría, utilice líneas separadas para cada gas de efecto invernadero distinto del CO</t>
    </r>
    <r>
      <rPr>
        <vertAlign val="subscript"/>
        <sz val="10"/>
        <rFont val="Calibri"/>
        <family val="2"/>
        <scheme val="minor"/>
      </rPr>
      <t>2.</t>
    </r>
  </si>
  <si>
    <r>
      <t xml:space="preserve">3 </t>
    </r>
    <r>
      <rPr>
        <sz val="10"/>
        <rFont val="Calibri"/>
        <family val="2"/>
        <scheme val="minor"/>
      </rPr>
      <t>Cuando no se dispone de datos para MB y Cf, se puede utilizar un valor predeterminado para la cantidad de combustible realmente quemado (MB * Cf) (Tabla 2.4). En este caso, MB toma el valor tomado de la Tabla, mientras que Cf debe ser 1.</t>
    </r>
  </si>
  <si>
    <t>Emisiones por Quema de Biomasa en Pastizales (Pastizales que permanecen como Pastizales)</t>
  </si>
  <si>
    <t>P</t>
  </si>
  <si>
    <t>Emisiones por Quema de Biomasa en Pastizales (Tierras convertidas en Pastizales)</t>
  </si>
  <si>
    <r>
      <t>Emisiones de CH</t>
    </r>
    <r>
      <rPr>
        <vertAlign val="subscript"/>
        <sz val="10"/>
        <rFont val="Calibri"/>
        <family val="2"/>
        <scheme val="minor"/>
      </rPr>
      <t xml:space="preserve">4 </t>
    </r>
    <r>
      <rPr>
        <sz val="10"/>
        <rFont val="Calibri"/>
        <family val="2"/>
        <scheme val="minor"/>
      </rPr>
      <t>por fuego</t>
    </r>
  </si>
  <si>
    <r>
      <t>1</t>
    </r>
    <r>
      <rPr>
        <sz val="10"/>
        <rFont val="Calibri"/>
        <family val="2"/>
        <scheme val="minor"/>
      </rPr>
      <t xml:space="preserve"> Las Tablas similares se deben completar por separado para cada uso inicial de la tierra y se deben sumar los subtotales. Si los datos por uso inicial de la tierra no están disponibles, use sólo "no P" en esta columna.</t>
    </r>
  </si>
  <si>
    <t>[no-P]</t>
  </si>
  <si>
    <t>Uso de la Tierra durante el año de notificación</t>
  </si>
  <si>
    <r>
      <t>Encalado: Emisiones anuales de CO</t>
    </r>
    <r>
      <rPr>
        <b/>
        <vertAlign val="subscript"/>
        <sz val="10"/>
        <rFont val="Calibri"/>
        <family val="2"/>
        <scheme val="minor"/>
      </rPr>
      <t>2</t>
    </r>
    <r>
      <rPr>
        <b/>
        <sz val="10"/>
        <rFont val="Calibri"/>
        <family val="2"/>
        <scheme val="minor"/>
      </rPr>
      <t>-C por Encalado</t>
    </r>
  </si>
  <si>
    <t>Código de Categoría</t>
  </si>
  <si>
    <t>Ecuación 11.12</t>
  </si>
  <si>
    <t>Tipo de encalado</t>
  </si>
  <si>
    <r>
      <t>Cantidad anual de piedra caliza calcica (CaCO</t>
    </r>
    <r>
      <rPr>
        <vertAlign val="subscript"/>
        <sz val="10"/>
        <rFont val="Calibri"/>
        <family val="2"/>
        <scheme val="minor"/>
      </rPr>
      <t>3</t>
    </r>
    <r>
      <rPr>
        <sz val="10"/>
        <rFont val="Calibri"/>
        <family val="2"/>
        <scheme val="minor"/>
      </rPr>
      <t xml:space="preserve">) </t>
    </r>
  </si>
  <si>
    <r>
      <t>Cantidad anual de dolomita (CaMg(CO</t>
    </r>
    <r>
      <rPr>
        <vertAlign val="subscript"/>
        <sz val="10"/>
        <rFont val="Calibri"/>
        <family val="2"/>
        <scheme val="minor"/>
      </rPr>
      <t>3</t>
    </r>
    <r>
      <rPr>
        <sz val="10"/>
        <rFont val="Calibri"/>
        <family val="2"/>
        <scheme val="minor"/>
      </rPr>
      <t>)</t>
    </r>
    <r>
      <rPr>
        <vertAlign val="subscript"/>
        <sz val="10"/>
        <rFont val="Calibri"/>
        <family val="2"/>
        <scheme val="minor"/>
      </rPr>
      <t>2</t>
    </r>
    <r>
      <rPr>
        <sz val="10"/>
        <rFont val="Calibri"/>
        <family val="2"/>
        <scheme val="minor"/>
      </rPr>
      <t>)</t>
    </r>
  </si>
  <si>
    <t>Emisiones anuales de C por encalado</t>
  </si>
  <si>
    <r>
      <t>Emisiones anuales de  CO</t>
    </r>
    <r>
      <rPr>
        <vertAlign val="subscript"/>
        <sz val="9"/>
        <rFont val="Calibri"/>
        <family val="2"/>
        <scheme val="minor"/>
      </rPr>
      <t xml:space="preserve">2 </t>
    </r>
    <r>
      <rPr>
        <sz val="9"/>
        <rFont val="Calibri"/>
        <family val="2"/>
        <scheme val="minor"/>
      </rPr>
      <t>por encalado</t>
    </r>
  </si>
  <si>
    <r>
      <t>(toneladas año</t>
    </r>
    <r>
      <rPr>
        <vertAlign val="superscript"/>
        <sz val="10"/>
        <rFont val="Calibri"/>
        <family val="2"/>
        <scheme val="minor"/>
      </rPr>
      <t>-1</t>
    </r>
    <r>
      <rPr>
        <sz val="10"/>
        <rFont val="Calibri"/>
        <family val="2"/>
        <scheme val="minor"/>
      </rPr>
      <t>)</t>
    </r>
  </si>
  <si>
    <r>
      <t>[toneladas de C (tonelada de caliza)</t>
    </r>
    <r>
      <rPr>
        <vertAlign val="superscript"/>
        <sz val="10"/>
        <rFont val="Calibri"/>
        <family val="2"/>
        <scheme val="minor"/>
      </rPr>
      <t>-1</t>
    </r>
    <r>
      <rPr>
        <sz val="10"/>
        <rFont val="Calibri"/>
        <family val="2"/>
        <scheme val="minor"/>
      </rPr>
      <t>]</t>
    </r>
  </si>
  <si>
    <r>
      <t>[toneladas of C (tonelada de dolomita)</t>
    </r>
    <r>
      <rPr>
        <vertAlign val="superscript"/>
        <sz val="10"/>
        <rFont val="Calibri"/>
        <family val="2"/>
        <scheme val="minor"/>
      </rPr>
      <t>-1</t>
    </r>
    <r>
      <rPr>
        <sz val="10"/>
        <rFont val="Calibri"/>
        <family val="2"/>
        <scheme val="minor"/>
      </rPr>
      <t>]</t>
    </r>
  </si>
  <si>
    <r>
      <t>(toneladas de C año</t>
    </r>
    <r>
      <rPr>
        <vertAlign val="superscript"/>
        <sz val="10"/>
        <rFont val="Calibri"/>
        <family val="2"/>
        <scheme val="minor"/>
      </rPr>
      <t>-1</t>
    </r>
    <r>
      <rPr>
        <sz val="10"/>
        <rFont val="Calibri"/>
        <family val="2"/>
        <scheme val="minor"/>
      </rPr>
      <t>)</t>
    </r>
  </si>
  <si>
    <r>
      <t>(Gg CO</t>
    </r>
    <r>
      <rPr>
        <b/>
        <vertAlign val="subscript"/>
        <sz val="9"/>
        <rFont val="Calibri"/>
        <family val="2"/>
        <scheme val="minor"/>
      </rPr>
      <t>2</t>
    </r>
    <r>
      <rPr>
        <sz val="9"/>
        <rFont val="Calibri"/>
        <family val="2"/>
        <scheme val="minor"/>
      </rPr>
      <t>)</t>
    </r>
  </si>
  <si>
    <t>valor por defecto 0.12</t>
  </si>
  <si>
    <t>valor por defecto 0.13</t>
  </si>
  <si>
    <r>
      <t>CO</t>
    </r>
    <r>
      <rPr>
        <vertAlign val="subscript"/>
        <sz val="10"/>
        <rFont val="Calibri"/>
        <family val="2"/>
        <scheme val="minor"/>
      </rPr>
      <t>2</t>
    </r>
    <r>
      <rPr>
        <sz val="10"/>
        <rFont val="Calibri"/>
        <family val="2"/>
        <scheme val="minor"/>
      </rPr>
      <t>-C Emission = (M</t>
    </r>
    <r>
      <rPr>
        <vertAlign val="subscript"/>
        <sz val="10"/>
        <rFont val="Calibri"/>
        <family val="2"/>
        <scheme val="minor"/>
      </rPr>
      <t>Caliza</t>
    </r>
    <r>
      <rPr>
        <sz val="10"/>
        <rFont val="Calibri"/>
        <family val="2"/>
        <scheme val="minor"/>
      </rPr>
      <t>* EF</t>
    </r>
    <r>
      <rPr>
        <vertAlign val="subscript"/>
        <sz val="10"/>
        <rFont val="Calibri"/>
        <family val="2"/>
        <scheme val="minor"/>
      </rPr>
      <t>Caliza</t>
    </r>
    <r>
      <rPr>
        <sz val="10"/>
        <rFont val="Calibri"/>
        <family val="2"/>
        <scheme val="minor"/>
      </rPr>
      <t>) + (M</t>
    </r>
    <r>
      <rPr>
        <vertAlign val="subscript"/>
        <sz val="10"/>
        <rFont val="Calibri"/>
        <family val="2"/>
        <scheme val="minor"/>
      </rPr>
      <t>Dolomita</t>
    </r>
    <r>
      <rPr>
        <sz val="10"/>
        <rFont val="Calibri"/>
        <family val="2"/>
        <scheme val="minor"/>
      </rPr>
      <t xml:space="preserve"> * EF</t>
    </r>
    <r>
      <rPr>
        <vertAlign val="subscript"/>
        <sz val="10"/>
        <rFont val="Calibri"/>
        <family val="2"/>
        <scheme val="minor"/>
      </rPr>
      <t>Dolomita</t>
    </r>
    <r>
      <rPr>
        <sz val="10"/>
        <rFont val="Calibri"/>
        <family val="2"/>
        <scheme val="minor"/>
      </rPr>
      <t>)</t>
    </r>
  </si>
  <si>
    <r>
      <t>M</t>
    </r>
    <r>
      <rPr>
        <b/>
        <vertAlign val="subscript"/>
        <sz val="10"/>
        <rFont val="Calibri"/>
        <family val="2"/>
        <scheme val="minor"/>
      </rPr>
      <t>Caliza</t>
    </r>
  </si>
  <si>
    <r>
      <t>EF</t>
    </r>
    <r>
      <rPr>
        <b/>
        <vertAlign val="subscript"/>
        <sz val="10"/>
        <rFont val="Calibri"/>
        <family val="2"/>
        <scheme val="minor"/>
      </rPr>
      <t>Caliza</t>
    </r>
  </si>
  <si>
    <r>
      <t>M</t>
    </r>
    <r>
      <rPr>
        <b/>
        <vertAlign val="subscript"/>
        <sz val="10"/>
        <rFont val="Calibri"/>
        <family val="2"/>
        <scheme val="minor"/>
      </rPr>
      <t>dolomita</t>
    </r>
  </si>
  <si>
    <r>
      <t>EF</t>
    </r>
    <r>
      <rPr>
        <b/>
        <vertAlign val="subscript"/>
        <sz val="10"/>
        <rFont val="Calibri"/>
        <family val="2"/>
        <scheme val="minor"/>
      </rPr>
      <t>Dolomita</t>
    </r>
  </si>
  <si>
    <r>
      <t>Emisión de CO</t>
    </r>
    <r>
      <rPr>
        <b/>
        <vertAlign val="subscript"/>
        <sz val="10"/>
        <rFont val="Calibri"/>
        <family val="2"/>
        <scheme val="minor"/>
      </rPr>
      <t>2</t>
    </r>
    <r>
      <rPr>
        <b/>
        <sz val="10"/>
        <rFont val="Calibri"/>
        <family val="2"/>
        <scheme val="minor"/>
      </rPr>
      <t xml:space="preserve">-C </t>
    </r>
  </si>
  <si>
    <t>Caliza</t>
  </si>
  <si>
    <t>Dolomita</t>
  </si>
  <si>
    <t>Ecuación 11.13</t>
  </si>
  <si>
    <t>Subcategorías para el año de notificación</t>
  </si>
  <si>
    <t>Cantidad anual de fertilizacion con urea</t>
  </si>
  <si>
    <t xml:space="preserve">Factor de emisión </t>
  </si>
  <si>
    <r>
      <t>Emisiones anuales de  CO</t>
    </r>
    <r>
      <rPr>
        <vertAlign val="subscript"/>
        <sz val="10"/>
        <rFont val="Calibri"/>
        <family val="2"/>
        <scheme val="minor"/>
      </rPr>
      <t>2</t>
    </r>
    <r>
      <rPr>
        <sz val="10"/>
        <rFont val="Calibri"/>
        <family val="2"/>
        <scheme val="minor"/>
      </rPr>
      <t>-C por fertilización con urea</t>
    </r>
  </si>
  <si>
    <r>
      <t>Emisiones anuales de  CO</t>
    </r>
    <r>
      <rPr>
        <b/>
        <vertAlign val="subscript"/>
        <sz val="10"/>
        <rFont val="Calibri"/>
        <family val="2"/>
        <scheme val="minor"/>
      </rPr>
      <t xml:space="preserve">2 </t>
    </r>
    <r>
      <rPr>
        <b/>
        <sz val="10"/>
        <rFont val="Calibri"/>
        <family val="2"/>
        <scheme val="minor"/>
      </rPr>
      <t>por fertilización con urea</t>
    </r>
  </si>
  <si>
    <r>
      <t>(toneladas de úrea año</t>
    </r>
    <r>
      <rPr>
        <vertAlign val="superscript"/>
        <sz val="10"/>
        <rFont val="Calibri"/>
        <family val="2"/>
        <scheme val="minor"/>
      </rPr>
      <t>-1</t>
    </r>
    <r>
      <rPr>
        <sz val="10"/>
        <rFont val="Calibri"/>
        <family val="2"/>
        <scheme val="minor"/>
      </rPr>
      <t>)</t>
    </r>
  </si>
  <si>
    <r>
      <t>[toneladas de C (tonelada de úrea)</t>
    </r>
    <r>
      <rPr>
        <vertAlign val="superscript"/>
        <sz val="10"/>
        <rFont val="Calibri"/>
        <family val="2"/>
        <scheme val="minor"/>
      </rPr>
      <t>-1</t>
    </r>
    <r>
      <rPr>
        <sz val="10"/>
        <rFont val="Calibri"/>
        <family val="2"/>
        <scheme val="minor"/>
      </rPr>
      <t>]</t>
    </r>
  </si>
  <si>
    <r>
      <t>(toneladas C año</t>
    </r>
    <r>
      <rPr>
        <vertAlign val="superscript"/>
        <sz val="10"/>
        <rFont val="Calibri"/>
        <family val="2"/>
        <scheme val="minor"/>
      </rPr>
      <t>-1</t>
    </r>
    <r>
      <rPr>
        <sz val="10"/>
        <rFont val="Calibri"/>
        <family val="2"/>
        <scheme val="minor"/>
      </rPr>
      <t>)</t>
    </r>
  </si>
  <si>
    <t>valor por defecto 0.20</t>
  </si>
  <si>
    <r>
      <t>CO</t>
    </r>
    <r>
      <rPr>
        <vertAlign val="subscript"/>
        <sz val="10"/>
        <rFont val="Calibri"/>
        <family val="2"/>
        <scheme val="minor"/>
      </rPr>
      <t>2</t>
    </r>
    <r>
      <rPr>
        <sz val="10"/>
        <rFont val="Calibri"/>
        <family val="2"/>
        <scheme val="minor"/>
      </rPr>
      <t>-C  = M * EF</t>
    </r>
  </si>
  <si>
    <r>
      <t>Aplicación de urea: Emisiones anuales de CO</t>
    </r>
    <r>
      <rPr>
        <b/>
        <vertAlign val="subscript"/>
        <sz val="10"/>
        <rFont val="Calibri"/>
        <family val="2"/>
        <scheme val="minor"/>
      </rPr>
      <t>2</t>
    </r>
    <r>
      <rPr>
        <b/>
        <sz val="10"/>
        <rFont val="Calibri"/>
        <family val="2"/>
        <scheme val="minor"/>
      </rPr>
      <t xml:space="preserve"> por fertilización con urea</t>
    </r>
  </si>
  <si>
    <r>
      <t>Emisiones directas de N</t>
    </r>
    <r>
      <rPr>
        <b/>
        <vertAlign val="subscript"/>
        <sz val="10"/>
        <rFont val="Calibri"/>
        <family val="2"/>
        <scheme val="minor"/>
      </rPr>
      <t>2</t>
    </r>
    <r>
      <rPr>
        <b/>
        <sz val="10"/>
        <rFont val="Calibri"/>
        <family val="2"/>
        <scheme val="minor"/>
      </rPr>
      <t xml:space="preserve">O de suelos gestionados </t>
    </r>
  </si>
  <si>
    <t>Ecuación 11.1</t>
  </si>
  <si>
    <t>Tipo de entrada de N antropogénico</t>
  </si>
  <si>
    <t>Cantidad anual de N aplicado</t>
  </si>
  <si>
    <r>
      <t>Factor de emisión de emisiones de N</t>
    </r>
    <r>
      <rPr>
        <vertAlign val="subscript"/>
        <sz val="10"/>
        <rFont val="Calibri"/>
        <family val="2"/>
        <scheme val="minor"/>
      </rPr>
      <t>2</t>
    </r>
    <r>
      <rPr>
        <sz val="10"/>
        <rFont val="Calibri"/>
        <family val="2"/>
        <scheme val="minor"/>
      </rPr>
      <t>O de aportes de N</t>
    </r>
  </si>
  <si>
    <r>
      <t>Emisiones directas anuales de N</t>
    </r>
    <r>
      <rPr>
        <vertAlign val="subscript"/>
        <sz val="10"/>
        <color indexed="8"/>
        <rFont val="Calibri"/>
        <family val="2"/>
        <scheme val="minor"/>
      </rPr>
      <t>2</t>
    </r>
    <r>
      <rPr>
        <sz val="10"/>
        <color indexed="8"/>
        <rFont val="Calibri"/>
        <family val="2"/>
        <scheme val="minor"/>
      </rPr>
      <t xml:space="preserve">O-N producidas por suelos gestionados </t>
    </r>
  </si>
  <si>
    <r>
      <t xml:space="preserve"> [kg N</t>
    </r>
    <r>
      <rPr>
        <vertAlign val="subscript"/>
        <sz val="10"/>
        <rFont val="Calibri"/>
        <family val="2"/>
        <scheme val="minor"/>
      </rPr>
      <t>2</t>
    </r>
    <r>
      <rPr>
        <sz val="10"/>
        <rFont val="Calibri"/>
        <family val="2"/>
        <scheme val="minor"/>
      </rPr>
      <t>O-N (kg N aportes)</t>
    </r>
    <r>
      <rPr>
        <vertAlign val="superscript"/>
        <sz val="10"/>
        <rFont val="Calibri"/>
        <family val="2"/>
        <scheme val="minor"/>
      </rPr>
      <t>-1</t>
    </r>
    <r>
      <rPr>
        <sz val="10"/>
        <rFont val="Calibri"/>
        <family val="2"/>
        <scheme val="minor"/>
      </rPr>
      <t>]</t>
    </r>
  </si>
  <si>
    <r>
      <t>(kg N</t>
    </r>
    <r>
      <rPr>
        <vertAlign val="subscript"/>
        <sz val="10"/>
        <rFont val="Calibri"/>
        <family val="2"/>
        <scheme val="minor"/>
      </rPr>
      <t>2</t>
    </r>
    <r>
      <rPr>
        <sz val="10"/>
        <rFont val="Calibri"/>
        <family val="2"/>
        <scheme val="minor"/>
      </rPr>
      <t>O-N  año</t>
    </r>
    <r>
      <rPr>
        <vertAlign val="superscript"/>
        <sz val="10"/>
        <rFont val="Calibri"/>
        <family val="2"/>
        <scheme val="minor"/>
      </rPr>
      <t>-1</t>
    </r>
    <r>
      <rPr>
        <sz val="10"/>
        <rFont val="Calibri"/>
        <family val="2"/>
        <scheme val="minor"/>
      </rPr>
      <t>)</t>
    </r>
  </si>
  <si>
    <t>Tabla 11.1</t>
  </si>
  <si>
    <r>
      <t>N</t>
    </r>
    <r>
      <rPr>
        <vertAlign val="subscript"/>
        <sz val="10"/>
        <color indexed="8"/>
        <rFont val="Calibri"/>
        <family val="2"/>
        <scheme val="minor"/>
      </rPr>
      <t>2</t>
    </r>
    <r>
      <rPr>
        <sz val="10"/>
        <color indexed="8"/>
        <rFont val="Calibri"/>
        <family val="2"/>
        <scheme val="minor"/>
      </rPr>
      <t>O-N</t>
    </r>
    <r>
      <rPr>
        <vertAlign val="subscript"/>
        <sz val="10"/>
        <color indexed="8"/>
        <rFont val="Calibri"/>
        <family val="2"/>
        <scheme val="minor"/>
      </rPr>
      <t>aportes N</t>
    </r>
    <r>
      <rPr>
        <sz val="10"/>
        <color indexed="8"/>
        <rFont val="Calibri"/>
        <family val="2"/>
        <scheme val="minor"/>
      </rPr>
      <t xml:space="preserve"> = F * EF</t>
    </r>
  </si>
  <si>
    <r>
      <t>N</t>
    </r>
    <r>
      <rPr>
        <b/>
        <vertAlign val="subscript"/>
        <sz val="10"/>
        <color indexed="8"/>
        <rFont val="Calibri"/>
        <family val="2"/>
        <scheme val="minor"/>
      </rPr>
      <t>2</t>
    </r>
    <r>
      <rPr>
        <b/>
        <sz val="10"/>
        <color indexed="8"/>
        <rFont val="Calibri"/>
        <family val="2"/>
        <scheme val="minor"/>
      </rPr>
      <t>O-N</t>
    </r>
    <r>
      <rPr>
        <b/>
        <vertAlign val="subscript"/>
        <sz val="10"/>
        <color indexed="8"/>
        <rFont val="Calibri"/>
        <family val="2"/>
        <scheme val="minor"/>
      </rPr>
      <t>aportes N</t>
    </r>
  </si>
  <si>
    <r>
      <t>Tipo de entrada de N antropogénico para estimar emisiones directas anuales de  N</t>
    </r>
    <r>
      <rPr>
        <vertAlign val="subscript"/>
        <sz val="10"/>
        <rFont val="Calibri"/>
        <family val="2"/>
        <scheme val="minor"/>
      </rPr>
      <t>2</t>
    </r>
    <r>
      <rPr>
        <sz val="10"/>
        <rFont val="Calibri"/>
        <family val="2"/>
        <scheme val="minor"/>
      </rPr>
      <t>O-N producidas a partir de suelos gestionados</t>
    </r>
  </si>
  <si>
    <t>fertilizantes sintéticos</t>
  </si>
  <si>
    <r>
      <t>F</t>
    </r>
    <r>
      <rPr>
        <vertAlign val="subscript"/>
        <sz val="10"/>
        <rFont val="Calibri"/>
        <family val="2"/>
        <scheme val="minor"/>
      </rPr>
      <t>SN</t>
    </r>
    <r>
      <rPr>
        <sz val="10"/>
        <rFont val="Calibri"/>
        <family val="2"/>
        <scheme val="minor"/>
      </rPr>
      <t>: N en fertilizantes sintéticos</t>
    </r>
  </si>
  <si>
    <t xml:space="preserve">estiércol animal, compost, lodos cloacales </t>
  </si>
  <si>
    <r>
      <t>F</t>
    </r>
    <r>
      <rPr>
        <vertAlign val="subscript"/>
        <sz val="10"/>
        <rFont val="Calibri"/>
        <family val="2"/>
        <scheme val="minor"/>
      </rPr>
      <t>ON</t>
    </r>
    <r>
      <rPr>
        <sz val="10"/>
        <rFont val="Calibri"/>
        <family val="2"/>
        <scheme val="minor"/>
      </rPr>
      <t xml:space="preserve">: N en estiércol animal, compost, lodos cloacales, otros </t>
    </r>
  </si>
  <si>
    <t xml:space="preserve">residuos agrícolas </t>
  </si>
  <si>
    <r>
      <t>F</t>
    </r>
    <r>
      <rPr>
        <vertAlign val="subscript"/>
        <sz val="10"/>
        <rFont val="Calibri"/>
        <family val="2"/>
        <scheme val="minor"/>
      </rPr>
      <t>CR</t>
    </r>
    <r>
      <rPr>
        <sz val="10"/>
        <rFont val="Calibri"/>
        <family val="2"/>
        <scheme val="minor"/>
      </rPr>
      <t xml:space="preserve">: N en residuos agrícolas </t>
    </r>
  </si>
  <si>
    <t xml:space="preserve">cambio de uso o gestión de la tierra </t>
  </si>
  <si>
    <r>
      <t>F</t>
    </r>
    <r>
      <rPr>
        <vertAlign val="subscript"/>
        <sz val="10"/>
        <rFont val="Calibri"/>
        <family val="2"/>
        <scheme val="minor"/>
      </rPr>
      <t>SOM</t>
    </r>
    <r>
      <rPr>
        <sz val="10"/>
        <rFont val="Calibri"/>
        <family val="2"/>
        <scheme val="minor"/>
      </rPr>
      <t>: N en suelos minerales que estan minieralizados, relacionada con la pérdida de C del suelo como resultado de los cambios de uso o gestión de la tierra</t>
    </r>
  </si>
  <si>
    <r>
      <t>F</t>
    </r>
    <r>
      <rPr>
        <vertAlign val="subscript"/>
        <sz val="10"/>
        <rFont val="Calibri"/>
        <family val="2"/>
        <scheme val="minor"/>
      </rPr>
      <t>SN</t>
    </r>
    <r>
      <rPr>
        <sz val="10"/>
        <rFont val="Calibri"/>
        <family val="2"/>
        <scheme val="minor"/>
      </rPr>
      <t>: N  en fertilizantes sintéticos</t>
    </r>
  </si>
  <si>
    <t xml:space="preserve">FCR: N en residuos agrícolas </t>
  </si>
  <si>
    <t>FSOM: N en suelos minerales que estan minieralizados, relacionada con la pérdida de C del suelo como resultado de los cambios de uso o gestión de la tierra</t>
  </si>
  <si>
    <r>
      <t>Tipos de entradas de N antropogénico  para estimar las emisiones directas anuales de N</t>
    </r>
    <r>
      <rPr>
        <vertAlign val="subscript"/>
        <sz val="10"/>
        <rFont val="Calibri"/>
        <family val="2"/>
        <scheme val="minor"/>
      </rPr>
      <t>2</t>
    </r>
    <r>
      <rPr>
        <sz val="10"/>
        <rFont val="Calibri"/>
        <family val="2"/>
        <scheme val="minor"/>
      </rPr>
      <t>O-N producidas a partir del arroz inundado</t>
    </r>
  </si>
  <si>
    <r>
      <t>Tipo de entrada de N antropogénico</t>
    </r>
    <r>
      <rPr>
        <vertAlign val="superscript"/>
        <sz val="10"/>
        <rFont val="Calibri"/>
        <family val="2"/>
        <scheme val="minor"/>
      </rPr>
      <t>1,2</t>
    </r>
  </si>
  <si>
    <t>Superficie anual de sueos orgánicos drenado/ gestionados</t>
  </si>
  <si>
    <r>
      <t>Factor de emisión para emisiones de   N</t>
    </r>
    <r>
      <rPr>
        <vertAlign val="subscript"/>
        <sz val="10"/>
        <rFont val="Calibri"/>
        <family val="2"/>
        <scheme val="minor"/>
      </rPr>
      <t>2</t>
    </r>
    <r>
      <rPr>
        <sz val="10"/>
        <rFont val="Calibri"/>
        <family val="2"/>
        <scheme val="minor"/>
      </rPr>
      <t>O emissions de suelos orgánicos drenados/ gestionados</t>
    </r>
  </si>
  <si>
    <r>
      <t>Emisiones directas anuales de N</t>
    </r>
    <r>
      <rPr>
        <vertAlign val="subscript"/>
        <sz val="10"/>
        <rFont val="Calibri"/>
        <family val="2"/>
        <scheme val="minor"/>
      </rPr>
      <t>2</t>
    </r>
    <r>
      <rPr>
        <sz val="10"/>
        <rFont val="Calibri"/>
        <family val="2"/>
        <scheme val="minor"/>
      </rPr>
      <t>O-N de suelos orgánicos gestionados</t>
    </r>
  </si>
  <si>
    <t>Cantida de N  de la orina y el estiércol depositada por los animales en pastoreo sobre pasturas, prados y praderas</t>
  </si>
  <si>
    <r>
      <t>Factor de emisión para emisiones de  N</t>
    </r>
    <r>
      <rPr>
        <vertAlign val="subscript"/>
        <sz val="10"/>
        <rFont val="Calibri"/>
        <family val="2"/>
        <scheme val="minor"/>
      </rPr>
      <t>2</t>
    </r>
    <r>
      <rPr>
        <sz val="10"/>
        <rFont val="Calibri"/>
        <family val="2"/>
        <scheme val="minor"/>
      </rPr>
      <t>O del N de la orina y el estiércol depositado en pasturas, prados y praderas por animales en pastoreo</t>
    </r>
  </si>
  <si>
    <r>
      <t>Emisiones directas anuales de  N</t>
    </r>
    <r>
      <rPr>
        <vertAlign val="subscript"/>
        <sz val="10"/>
        <rFont val="Calibri"/>
        <family val="2"/>
        <scheme val="minor"/>
      </rPr>
      <t>2</t>
    </r>
    <r>
      <rPr>
        <sz val="10"/>
        <rFont val="Calibri"/>
        <family val="2"/>
        <scheme val="minor"/>
      </rPr>
      <t>O de aportes de orina y estiércol a tierras de pastoreo</t>
    </r>
  </si>
  <si>
    <r>
      <t>Emisiones directas anuales de  N</t>
    </r>
    <r>
      <rPr>
        <vertAlign val="subscript"/>
        <sz val="10"/>
        <rFont val="Calibri"/>
        <family val="2"/>
        <scheme val="minor"/>
      </rPr>
      <t>2</t>
    </r>
    <r>
      <rPr>
        <sz val="10"/>
        <rFont val="Calibri"/>
        <family val="2"/>
        <scheme val="minor"/>
      </rPr>
      <t xml:space="preserve">O producidas a partir de suelos gestionados </t>
    </r>
  </si>
  <si>
    <r>
      <t>(kg N</t>
    </r>
    <r>
      <rPr>
        <vertAlign val="subscript"/>
        <sz val="10"/>
        <rFont val="Calibri"/>
        <family val="2"/>
        <scheme val="minor"/>
      </rPr>
      <t>2</t>
    </r>
    <r>
      <rPr>
        <sz val="10"/>
        <rFont val="Calibri"/>
        <family val="2"/>
        <scheme val="minor"/>
      </rPr>
      <t>O-N año</t>
    </r>
    <r>
      <rPr>
        <vertAlign val="superscript"/>
        <sz val="10"/>
        <rFont val="Calibri"/>
        <family val="2"/>
        <scheme val="minor"/>
      </rPr>
      <t>-1</t>
    </r>
    <r>
      <rPr>
        <sz val="10"/>
        <rFont val="Calibri"/>
        <family val="2"/>
        <scheme val="minor"/>
      </rPr>
      <t>)</t>
    </r>
  </si>
  <si>
    <r>
      <t>ha</t>
    </r>
    <r>
      <rPr>
        <vertAlign val="superscript"/>
        <sz val="10"/>
        <rFont val="Calibri"/>
        <family val="2"/>
        <scheme val="minor"/>
      </rPr>
      <t>-1</t>
    </r>
    <r>
      <rPr>
        <sz val="10"/>
        <rFont val="Calibri"/>
        <family val="2"/>
        <scheme val="minor"/>
      </rPr>
      <t xml:space="preserve"> año</t>
    </r>
    <r>
      <rPr>
        <vertAlign val="superscript"/>
        <sz val="10"/>
        <rFont val="Calibri"/>
        <family val="2"/>
        <scheme val="minor"/>
      </rPr>
      <t>-1</t>
    </r>
    <r>
      <rPr>
        <sz val="10"/>
        <rFont val="Calibri"/>
        <family val="2"/>
        <scheme val="minor"/>
      </rPr>
      <t>)</t>
    </r>
  </si>
  <si>
    <r>
      <t>(kg apotes N)</t>
    </r>
    <r>
      <rPr>
        <vertAlign val="superscript"/>
        <sz val="10"/>
        <rFont val="Calibri"/>
        <family val="2"/>
        <scheme val="minor"/>
      </rPr>
      <t>-1</t>
    </r>
    <r>
      <rPr>
        <sz val="10"/>
        <rFont val="Calibri"/>
        <family val="2"/>
        <scheme val="minor"/>
      </rPr>
      <t>]</t>
    </r>
  </si>
  <si>
    <r>
      <t>N</t>
    </r>
    <r>
      <rPr>
        <vertAlign val="subscript"/>
        <sz val="10"/>
        <rFont val="Calibri"/>
        <family val="2"/>
        <scheme val="minor"/>
      </rPr>
      <t>2</t>
    </r>
    <r>
      <rPr>
        <sz val="10"/>
        <rFont val="Calibri"/>
        <family val="2"/>
        <scheme val="minor"/>
      </rPr>
      <t>O</t>
    </r>
    <r>
      <rPr>
        <vertAlign val="subscript"/>
        <sz val="10"/>
        <rFont val="Calibri"/>
        <family val="2"/>
        <scheme val="minor"/>
      </rPr>
      <t>Directo</t>
    </r>
    <r>
      <rPr>
        <sz val="10"/>
        <rFont val="Calibri"/>
        <family val="2"/>
        <scheme val="minor"/>
      </rPr>
      <t>-N = N</t>
    </r>
    <r>
      <rPr>
        <vertAlign val="subscript"/>
        <sz val="10"/>
        <rFont val="Calibri"/>
        <family val="2"/>
        <scheme val="minor"/>
      </rPr>
      <t>2</t>
    </r>
    <r>
      <rPr>
        <sz val="10"/>
        <rFont val="Calibri"/>
        <family val="2"/>
        <scheme val="minor"/>
      </rPr>
      <t>O-N</t>
    </r>
    <r>
      <rPr>
        <vertAlign val="subscript"/>
        <sz val="10"/>
        <rFont val="Calibri"/>
        <family val="2"/>
        <scheme val="minor"/>
      </rPr>
      <t>N input</t>
    </r>
    <r>
      <rPr>
        <sz val="10"/>
        <rFont val="Calibri"/>
        <family val="2"/>
        <scheme val="minor"/>
      </rPr>
      <t xml:space="preserve"> + N</t>
    </r>
    <r>
      <rPr>
        <vertAlign val="subscript"/>
        <sz val="10"/>
        <rFont val="Calibri"/>
        <family val="2"/>
        <scheme val="minor"/>
      </rPr>
      <t>2</t>
    </r>
    <r>
      <rPr>
        <sz val="10"/>
        <rFont val="Calibri"/>
        <family val="2"/>
        <scheme val="minor"/>
      </rPr>
      <t>O-N</t>
    </r>
    <r>
      <rPr>
        <vertAlign val="subscript"/>
        <sz val="10"/>
        <rFont val="Calibri"/>
        <family val="2"/>
        <scheme val="minor"/>
      </rPr>
      <t>OS</t>
    </r>
    <r>
      <rPr>
        <sz val="10"/>
        <rFont val="Calibri"/>
        <family val="2"/>
        <scheme val="minor"/>
      </rPr>
      <t xml:space="preserve"> + N</t>
    </r>
    <r>
      <rPr>
        <vertAlign val="subscript"/>
        <sz val="10"/>
        <rFont val="Calibri"/>
        <family val="2"/>
        <scheme val="minor"/>
      </rPr>
      <t>2</t>
    </r>
    <r>
      <rPr>
        <sz val="10"/>
        <rFont val="Calibri"/>
        <family val="2"/>
        <scheme val="minor"/>
      </rPr>
      <t>O-N</t>
    </r>
    <r>
      <rPr>
        <vertAlign val="subscript"/>
        <sz val="10"/>
        <rFont val="Calibri"/>
        <family val="2"/>
        <scheme val="minor"/>
      </rPr>
      <t>PRP</t>
    </r>
  </si>
  <si>
    <r>
      <t>N</t>
    </r>
    <r>
      <rPr>
        <b/>
        <vertAlign val="subscript"/>
        <sz val="10"/>
        <rFont val="Calibri"/>
        <family val="2"/>
        <scheme val="minor"/>
      </rPr>
      <t>2</t>
    </r>
    <r>
      <rPr>
        <b/>
        <sz val="10"/>
        <rFont val="Calibri"/>
        <family val="2"/>
        <scheme val="minor"/>
      </rPr>
      <t>O</t>
    </r>
    <r>
      <rPr>
        <b/>
        <vertAlign val="subscript"/>
        <sz val="10"/>
        <rFont val="Calibri"/>
        <family val="2"/>
        <scheme val="minor"/>
      </rPr>
      <t>Directo</t>
    </r>
    <r>
      <rPr>
        <b/>
        <sz val="10"/>
        <rFont val="Calibri"/>
        <family val="2"/>
        <scheme val="minor"/>
      </rPr>
      <t>-N</t>
    </r>
  </si>
  <si>
    <t xml:space="preserve">
Suelos orgánicos gestionados</t>
  </si>
  <si>
    <t>Insumos de orina y estiércol a suelos de pastoreo</t>
  </si>
  <si>
    <r>
      <t xml:space="preserve">1 </t>
    </r>
    <r>
      <rPr>
        <sz val="8"/>
        <rFont val="Calibri"/>
        <family val="2"/>
        <scheme val="minor"/>
      </rPr>
      <t>El área debe estar desagregada por las categorías de Tierras de cultivo y Pastizales (CG), Bosque (F), Templado (Temp), Tropical (Trop), Rico en nutrientes (NR) y Pobre de nutrientes (NP), respectivamente, ver Ecuación 11.1.</t>
    </r>
  </si>
  <si>
    <r>
      <t>2</t>
    </r>
    <r>
      <rPr>
        <sz val="8"/>
        <rFont val="Calibri"/>
        <family val="2"/>
        <scheme val="minor"/>
      </rPr>
      <t xml:space="preserve"> El monto debe ser desagregado por CPP y SO, que se refieren a Bovinos, Aves y Porcinos, y Ovinos y Otros animales, respectivamente. Ver Ecuación 11.1.</t>
    </r>
  </si>
  <si>
    <r>
      <t>Emisiones indirectas de N</t>
    </r>
    <r>
      <rPr>
        <b/>
        <vertAlign val="subscript"/>
        <sz val="10"/>
        <rFont val="Calibri"/>
        <family val="2"/>
        <scheme val="minor"/>
      </rPr>
      <t>2</t>
    </r>
    <r>
      <rPr>
        <b/>
        <sz val="10"/>
        <rFont val="Calibri"/>
        <family val="2"/>
        <scheme val="minor"/>
      </rPr>
      <t>O  de suelos gestionados: N</t>
    </r>
    <r>
      <rPr>
        <b/>
        <vertAlign val="subscript"/>
        <sz val="10"/>
        <rFont val="Calibri"/>
        <family val="2"/>
        <scheme val="minor"/>
      </rPr>
      <t>2</t>
    </r>
    <r>
      <rPr>
        <b/>
        <sz val="10"/>
        <rFont val="Calibri"/>
        <family val="2"/>
        <scheme val="minor"/>
      </rPr>
      <t xml:space="preserve">O producido por deposición atmosférica de N volatilizado de suelos gestionados </t>
    </r>
  </si>
  <si>
    <t>Ecuación 11.9</t>
  </si>
  <si>
    <t xml:space="preserve">Cantidad anual de N de fertilizante sintetico aplicado a los suelos </t>
  </si>
  <si>
    <t xml:space="preserve">Fracción de N de fertilizante sintético  que se volatiliza </t>
  </si>
  <si>
    <t>Cantidad anual de estiércol animal, compost, lodos cloacales y otros agregados de N orgánico aplicada a los suelos</t>
  </si>
  <si>
    <t>Cantidad anual de N de la orina y el estiércol depositada por animales de pastoreo en pasturas, prados y praderas</t>
  </si>
  <si>
    <t>Fracción de materiales fertilizantes de N orgánico (FON) y de N de orina y estiércol depositada por animales de pastoreo (FPRP) que se volatiliza</t>
  </si>
  <si>
    <r>
      <t>Factor de emision para emisiones de N</t>
    </r>
    <r>
      <rPr>
        <vertAlign val="subscript"/>
        <sz val="10"/>
        <rFont val="Calibri"/>
        <family val="2"/>
        <scheme val="minor"/>
      </rPr>
      <t>2</t>
    </r>
    <r>
      <rPr>
        <sz val="10"/>
        <rFont val="Calibri"/>
        <family val="2"/>
        <scheme val="minor"/>
      </rPr>
      <t>O por deposición atmosférica de N en los sueos y las superficies de agua</t>
    </r>
  </si>
  <si>
    <r>
      <t>Cantidad anual de N</t>
    </r>
    <r>
      <rPr>
        <vertAlign val="subscript"/>
        <sz val="10"/>
        <rFont val="Calibri"/>
        <family val="2"/>
        <scheme val="minor"/>
      </rPr>
      <t>2</t>
    </r>
    <r>
      <rPr>
        <sz val="10"/>
        <rFont val="Calibri"/>
        <family val="2"/>
        <scheme val="minor"/>
      </rPr>
      <t>O-N roducida por deposición atmosférica de N volatilizado de suelos gestionados</t>
    </r>
  </si>
  <si>
    <r>
      <t>(kg NH</t>
    </r>
    <r>
      <rPr>
        <vertAlign val="subscript"/>
        <sz val="10"/>
        <rFont val="Calibri"/>
        <family val="2"/>
        <scheme val="minor"/>
      </rPr>
      <t>3</t>
    </r>
    <r>
      <rPr>
        <sz val="10"/>
        <rFont val="Calibri"/>
        <family val="2"/>
        <scheme val="minor"/>
      </rPr>
      <t>-N + NO</t>
    </r>
    <r>
      <rPr>
        <vertAlign val="subscript"/>
        <sz val="10"/>
        <rFont val="Calibri"/>
        <family val="2"/>
        <scheme val="minor"/>
      </rPr>
      <t>x</t>
    </r>
    <r>
      <rPr>
        <sz val="10"/>
        <rFont val="Calibri"/>
        <family val="2"/>
        <scheme val="minor"/>
      </rPr>
      <t>-N) (kg de N aplicado)</t>
    </r>
    <r>
      <rPr>
        <vertAlign val="superscript"/>
        <sz val="10"/>
        <rFont val="Calibri"/>
        <family val="2"/>
        <scheme val="minor"/>
      </rPr>
      <t>-1</t>
    </r>
  </si>
  <si>
    <r>
      <t>(kg NH</t>
    </r>
    <r>
      <rPr>
        <vertAlign val="subscript"/>
        <sz val="10"/>
        <rFont val="Calibri"/>
        <family val="2"/>
        <scheme val="minor"/>
      </rPr>
      <t>3</t>
    </r>
    <r>
      <rPr>
        <sz val="10"/>
        <rFont val="Calibri"/>
        <family val="2"/>
        <scheme val="minor"/>
      </rPr>
      <t>-N + NO</t>
    </r>
    <r>
      <rPr>
        <vertAlign val="subscript"/>
        <sz val="10"/>
        <rFont val="Calibri"/>
        <family val="2"/>
        <scheme val="minor"/>
      </rPr>
      <t>x</t>
    </r>
    <r>
      <rPr>
        <sz val="10"/>
        <rFont val="Calibri"/>
        <family val="2"/>
        <scheme val="minor"/>
      </rPr>
      <t>-N) (kg de N aplicado o depositado)</t>
    </r>
    <r>
      <rPr>
        <vertAlign val="superscript"/>
        <sz val="10"/>
        <rFont val="Calibri"/>
        <family val="2"/>
        <scheme val="minor"/>
      </rPr>
      <t>-1</t>
    </r>
  </si>
  <si>
    <r>
      <t>(kg N</t>
    </r>
    <r>
      <rPr>
        <vertAlign val="subscript"/>
        <sz val="10"/>
        <rFont val="Calibri"/>
        <family val="2"/>
        <scheme val="minor"/>
      </rPr>
      <t>2</t>
    </r>
    <r>
      <rPr>
        <sz val="10"/>
        <rFont val="Calibri"/>
        <family val="2"/>
        <scheme val="minor"/>
      </rPr>
      <t>O-N) (kg NH</t>
    </r>
    <r>
      <rPr>
        <vertAlign val="subscript"/>
        <sz val="10"/>
        <rFont val="Calibri"/>
        <family val="2"/>
        <scheme val="minor"/>
      </rPr>
      <t>3</t>
    </r>
    <r>
      <rPr>
        <sz val="10"/>
        <rFont val="Calibri"/>
        <family val="2"/>
        <scheme val="minor"/>
      </rPr>
      <t>-N + NO</t>
    </r>
    <r>
      <rPr>
        <vertAlign val="subscript"/>
        <sz val="10"/>
        <rFont val="Calibri"/>
        <family val="2"/>
        <scheme val="minor"/>
      </rPr>
      <t>x</t>
    </r>
    <r>
      <rPr>
        <sz val="10"/>
        <rFont val="Calibri"/>
        <family val="2"/>
        <scheme val="minor"/>
      </rPr>
      <t>-N volatilizado)</t>
    </r>
    <r>
      <rPr>
        <vertAlign val="superscript"/>
        <sz val="10"/>
        <rFont val="Calibri"/>
        <family val="2"/>
        <scheme val="minor"/>
      </rPr>
      <t>-1</t>
    </r>
  </si>
  <si>
    <t>Tabla 11.3</t>
  </si>
  <si>
    <r>
      <t>Emisiones indirectas de N</t>
    </r>
    <r>
      <rPr>
        <b/>
        <vertAlign val="subscript"/>
        <sz val="10"/>
        <rFont val="Calibri"/>
        <family val="2"/>
        <scheme val="minor"/>
      </rPr>
      <t>2</t>
    </r>
    <r>
      <rPr>
        <b/>
        <sz val="10"/>
        <rFont val="Calibri"/>
        <family val="2"/>
        <scheme val="minor"/>
      </rPr>
      <t>O de suelos gestionados: N</t>
    </r>
    <r>
      <rPr>
        <b/>
        <vertAlign val="subscript"/>
        <sz val="10"/>
        <rFont val="Calibri"/>
        <family val="2"/>
        <scheme val="minor"/>
      </rPr>
      <t>2</t>
    </r>
    <r>
      <rPr>
        <b/>
        <sz val="10"/>
        <rFont val="Calibri"/>
        <family val="2"/>
        <scheme val="minor"/>
      </rPr>
      <t xml:space="preserve">O por lixiviación/escorrentía de suelos gestionados </t>
    </r>
  </si>
  <si>
    <t>Ecuación 11.10</t>
  </si>
  <si>
    <t xml:space="preserve">
Tipo de entrada de N antropogénico</t>
  </si>
  <si>
    <t>Cantidad anual de N de fertilizantes sintéticos aplicada a los suelos</t>
  </si>
  <si>
    <t>Cantidad anual de estiércol animal gestionado, compost, lodos cloacales y otros agregados de N orgánico aplicada a los suelos</t>
  </si>
  <si>
    <t>Cantidad anual de N de la orina y el estiércol depositada por los animales en pastoreo en pasturas, prados y praderas</t>
  </si>
  <si>
    <t>Cantidad de N en los residuos agrícolas (aéreos y subterráneos), incluyendo los cultivos fijadores de N y de la renovación de forraje/pastura, devuelta a los suelos anualmente</t>
  </si>
  <si>
    <t>Cantidad anual de N mineralizado en suelos minerales relacionada con la pérdida de C del suelo de la materia orgánica del suelo, como resultado de cambios en el uso o la gestión de la tierra</t>
  </si>
  <si>
    <t xml:space="preserve">Fracción de todo el N agregado en suelos gestionadosque se pierden por lixiviación y escorrentía </t>
  </si>
  <si>
    <r>
      <t>Factor de emisión para emisiones de N</t>
    </r>
    <r>
      <rPr>
        <vertAlign val="subscript"/>
        <sz val="10"/>
        <rFont val="Calibri"/>
        <family val="2"/>
        <scheme val="minor"/>
      </rPr>
      <t>2</t>
    </r>
    <r>
      <rPr>
        <sz val="10"/>
        <rFont val="Calibri"/>
        <family val="2"/>
        <scheme val="minor"/>
      </rPr>
      <t>O por lixiviación y escorrentía</t>
    </r>
  </si>
  <si>
    <r>
      <t>Cantidad anual de  N</t>
    </r>
    <r>
      <rPr>
        <vertAlign val="subscript"/>
        <sz val="10"/>
        <rFont val="Calibri"/>
        <family val="2"/>
        <scheme val="minor"/>
      </rPr>
      <t>2</t>
    </r>
    <r>
      <rPr>
        <sz val="10"/>
        <rFont val="Calibri"/>
        <family val="2"/>
        <scheme val="minor"/>
      </rPr>
      <t>O-N producido a partir de suelos gestionados en regiones donde se produce lixiviación y escorrentía</t>
    </r>
  </si>
  <si>
    <r>
      <t>[kg N (kg de N agregado)</t>
    </r>
    <r>
      <rPr>
        <vertAlign val="superscript"/>
        <sz val="10"/>
        <rFont val="Calibri"/>
        <family val="2"/>
        <scheme val="minor"/>
      </rPr>
      <t>-1</t>
    </r>
    <r>
      <rPr>
        <sz val="10"/>
        <rFont val="Calibri"/>
        <family val="2"/>
        <scheme val="minor"/>
      </rPr>
      <t>]</t>
    </r>
  </si>
  <si>
    <t xml:space="preserve">(kg N lixiviación y </t>
  </si>
  <si>
    <r>
      <t>escorrentía)</t>
    </r>
    <r>
      <rPr>
        <vertAlign val="superscript"/>
        <sz val="10"/>
        <rFont val="Calibri"/>
        <family val="2"/>
        <scheme val="minor"/>
      </rPr>
      <t>-1</t>
    </r>
    <r>
      <rPr>
        <sz val="10"/>
        <rFont val="Calibri"/>
        <family val="2"/>
        <scheme val="minor"/>
      </rPr>
      <t>]</t>
    </r>
  </si>
  <si>
    <r>
      <t>N</t>
    </r>
    <r>
      <rPr>
        <vertAlign val="subscript"/>
        <sz val="10"/>
        <rFont val="Calibri"/>
        <family val="2"/>
        <scheme val="minor"/>
      </rPr>
      <t>2</t>
    </r>
    <r>
      <rPr>
        <sz val="10"/>
        <rFont val="Calibri"/>
        <family val="2"/>
        <scheme val="minor"/>
      </rPr>
      <t>O</t>
    </r>
    <r>
      <rPr>
        <vertAlign val="subscript"/>
        <sz val="10"/>
        <rFont val="Calibri"/>
        <family val="2"/>
        <scheme val="minor"/>
      </rPr>
      <t>(L)</t>
    </r>
    <r>
      <rPr>
        <sz val="10"/>
        <rFont val="Calibri"/>
        <family val="2"/>
        <scheme val="minor"/>
      </rPr>
      <t>-N = (F</t>
    </r>
    <r>
      <rPr>
        <vertAlign val="subscript"/>
        <sz val="10"/>
        <rFont val="Calibri"/>
        <family val="2"/>
        <scheme val="minor"/>
      </rPr>
      <t>SN</t>
    </r>
    <r>
      <rPr>
        <sz val="10"/>
        <rFont val="Calibri"/>
        <family val="2"/>
        <scheme val="minor"/>
      </rPr>
      <t xml:space="preserve"> + F</t>
    </r>
    <r>
      <rPr>
        <vertAlign val="subscript"/>
        <sz val="10"/>
        <rFont val="Calibri"/>
        <family val="2"/>
        <scheme val="minor"/>
      </rPr>
      <t>ON</t>
    </r>
    <r>
      <rPr>
        <sz val="10"/>
        <rFont val="Calibri"/>
        <family val="2"/>
        <scheme val="minor"/>
      </rPr>
      <t xml:space="preserve"> + F</t>
    </r>
    <r>
      <rPr>
        <vertAlign val="subscript"/>
        <sz val="10"/>
        <rFont val="Calibri"/>
        <family val="2"/>
        <scheme val="minor"/>
      </rPr>
      <t>PRP</t>
    </r>
    <r>
      <rPr>
        <sz val="10"/>
        <rFont val="Calibri"/>
        <family val="2"/>
        <scheme val="minor"/>
      </rPr>
      <t xml:space="preserve"> + F</t>
    </r>
    <r>
      <rPr>
        <vertAlign val="subscript"/>
        <sz val="10"/>
        <rFont val="Calibri"/>
        <family val="2"/>
        <scheme val="minor"/>
      </rPr>
      <t>CR</t>
    </r>
    <r>
      <rPr>
        <sz val="10"/>
        <rFont val="Calibri"/>
        <family val="2"/>
        <scheme val="minor"/>
      </rPr>
      <t xml:space="preserve"> + F</t>
    </r>
    <r>
      <rPr>
        <vertAlign val="subscript"/>
        <sz val="10"/>
        <rFont val="Calibri"/>
        <family val="2"/>
        <scheme val="minor"/>
      </rPr>
      <t>SOM</t>
    </r>
    <r>
      <rPr>
        <sz val="10"/>
        <rFont val="Calibri"/>
        <family val="2"/>
        <scheme val="minor"/>
      </rPr>
      <t>) * Frac</t>
    </r>
    <r>
      <rPr>
        <vertAlign val="subscript"/>
        <sz val="10"/>
        <rFont val="Calibri"/>
        <family val="2"/>
        <scheme val="minor"/>
      </rPr>
      <t xml:space="preserve">LIXIVIACIÓN-(H) </t>
    </r>
    <r>
      <rPr>
        <sz val="10"/>
        <rFont val="Calibri"/>
        <family val="2"/>
        <scheme val="minor"/>
      </rPr>
      <t>* EF</t>
    </r>
    <r>
      <rPr>
        <vertAlign val="subscript"/>
        <sz val="10"/>
        <rFont val="Calibri"/>
        <family val="2"/>
        <scheme val="minor"/>
      </rPr>
      <t>5</t>
    </r>
  </si>
  <si>
    <r>
      <t>Frac</t>
    </r>
    <r>
      <rPr>
        <b/>
        <vertAlign val="subscript"/>
        <sz val="10"/>
        <rFont val="Calibri"/>
        <family val="2"/>
        <scheme val="minor"/>
      </rPr>
      <t>LIXIVIACIÓN-(H)</t>
    </r>
  </si>
  <si>
    <r>
      <t>Emisiones indirectas de N</t>
    </r>
    <r>
      <rPr>
        <b/>
        <vertAlign val="subscript"/>
        <sz val="10"/>
        <rFont val="Calibri"/>
        <family val="2"/>
        <scheme val="minor"/>
      </rPr>
      <t>2</t>
    </r>
    <r>
      <rPr>
        <b/>
        <sz val="10"/>
        <rFont val="Calibri"/>
        <family val="2"/>
        <scheme val="minor"/>
      </rPr>
      <t>O por manejo del estiércol</t>
    </r>
    <r>
      <rPr>
        <b/>
        <vertAlign val="superscript"/>
        <sz val="10"/>
        <rFont val="Calibri"/>
        <family val="2"/>
        <scheme val="minor"/>
      </rPr>
      <t>1</t>
    </r>
  </si>
  <si>
    <t>Ecuación 10.26</t>
  </si>
  <si>
    <t>Ecuación 10.27</t>
  </si>
  <si>
    <r>
      <t>Sistemas de Manejo del Estiércol (MMS)</t>
    </r>
    <r>
      <rPr>
        <vertAlign val="superscript"/>
        <sz val="10"/>
        <rFont val="Calibri"/>
        <family val="2"/>
        <scheme val="minor"/>
      </rPr>
      <t>1</t>
    </r>
  </si>
  <si>
    <r>
      <t>Especies/ Categorías de ganado</t>
    </r>
    <r>
      <rPr>
        <vertAlign val="superscript"/>
        <sz val="10"/>
        <rFont val="Calibri"/>
        <family val="2"/>
        <scheme val="minor"/>
      </rPr>
      <t>2</t>
    </r>
  </si>
  <si>
    <r>
      <t xml:space="preserve">Nitrógeno total excretado por MMS </t>
    </r>
    <r>
      <rPr>
        <vertAlign val="superscript"/>
        <sz val="10"/>
        <rFont val="Calibri"/>
        <family val="2"/>
        <scheme val="minor"/>
      </rPr>
      <t xml:space="preserve">3 </t>
    </r>
  </si>
  <si>
    <t>Fracción de nitrógeno del estiércol de ganado gestionado que se volatiliza</t>
  </si>
  <si>
    <r>
      <t>Cantidad de nitrógeno del estiércol que se pierde debido a la volatilización de  NH</t>
    </r>
    <r>
      <rPr>
        <vertAlign val="subscript"/>
        <sz val="10"/>
        <rFont val="Calibri"/>
        <family val="2"/>
        <scheme val="minor"/>
      </rPr>
      <t>3</t>
    </r>
    <r>
      <rPr>
        <sz val="10"/>
        <rFont val="Calibri"/>
        <family val="2"/>
        <scheme val="minor"/>
      </rPr>
      <t xml:space="preserve"> y NO</t>
    </r>
    <r>
      <rPr>
        <vertAlign val="subscript"/>
        <sz val="10"/>
        <rFont val="Calibri"/>
        <family val="2"/>
        <scheme val="minor"/>
      </rPr>
      <t>x</t>
    </r>
  </si>
  <si>
    <r>
      <t>Factor de emisión de emisiones N</t>
    </r>
    <r>
      <rPr>
        <vertAlign val="subscript"/>
        <sz val="10"/>
        <rFont val="Calibri"/>
        <family val="2"/>
        <scheme val="minor"/>
      </rPr>
      <t>2</t>
    </r>
    <r>
      <rPr>
        <sz val="10"/>
        <rFont val="Calibri"/>
        <family val="2"/>
        <scheme val="minor"/>
      </rPr>
      <t>O por deposición atmosférica de nitrógeno en suelos y superficies de agua</t>
    </r>
  </si>
  <si>
    <r>
      <t>Emisiones indirectas de N</t>
    </r>
    <r>
      <rPr>
        <vertAlign val="subscript"/>
        <sz val="10"/>
        <rFont val="Calibri"/>
        <family val="2"/>
        <scheme val="minor"/>
      </rPr>
      <t>2</t>
    </r>
    <r>
      <rPr>
        <sz val="10"/>
        <rFont val="Calibri"/>
        <family val="2"/>
        <scheme val="minor"/>
      </rPr>
      <t>O debido a la volatilización por Manejo del Estiércol</t>
    </r>
  </si>
  <si>
    <r>
      <t>Emisiones indirectas de N</t>
    </r>
    <r>
      <rPr>
        <b/>
        <vertAlign val="subscript"/>
        <sz val="10"/>
        <rFont val="Calibri"/>
        <family val="2"/>
        <scheme val="minor"/>
      </rPr>
      <t>2</t>
    </r>
    <r>
      <rPr>
        <b/>
        <sz val="10"/>
        <rFont val="Calibri"/>
        <family val="2"/>
        <scheme val="minor"/>
      </rPr>
      <t>O debido a la volatilización por Manejo del Estiércol</t>
    </r>
  </si>
  <si>
    <r>
      <t>kg N año</t>
    </r>
    <r>
      <rPr>
        <vertAlign val="superscript"/>
        <sz val="10"/>
        <rFont val="Calibri"/>
        <family val="2"/>
        <scheme val="minor"/>
      </rPr>
      <t>-1</t>
    </r>
  </si>
  <si>
    <r>
      <t>[kg N</t>
    </r>
    <r>
      <rPr>
        <vertAlign val="subscript"/>
        <sz val="10"/>
        <rFont val="Calibri"/>
        <family val="2"/>
        <scheme val="minor"/>
      </rPr>
      <t>2</t>
    </r>
    <r>
      <rPr>
        <sz val="10"/>
        <rFont val="Calibri"/>
        <family val="2"/>
        <scheme val="minor"/>
      </rPr>
      <t>O-N (kg NH</t>
    </r>
    <r>
      <rPr>
        <vertAlign val="subscript"/>
        <sz val="10"/>
        <rFont val="Calibri"/>
        <family val="2"/>
        <scheme val="minor"/>
      </rPr>
      <t>3</t>
    </r>
    <r>
      <rPr>
        <sz val="10"/>
        <rFont val="Calibri"/>
        <family val="2"/>
        <scheme val="minor"/>
      </rPr>
      <t>-N + NO</t>
    </r>
    <r>
      <rPr>
        <vertAlign val="subscript"/>
        <sz val="10"/>
        <rFont val="Calibri"/>
        <family val="2"/>
        <scheme val="minor"/>
      </rPr>
      <t>x</t>
    </r>
    <r>
      <rPr>
        <sz val="10"/>
        <rFont val="Calibri"/>
        <family val="2"/>
        <scheme val="minor"/>
      </rPr>
      <t>-N volatilizado)</t>
    </r>
    <r>
      <rPr>
        <vertAlign val="superscript"/>
        <sz val="10"/>
        <rFont val="Calibri"/>
        <family val="2"/>
        <scheme val="minor"/>
      </rPr>
      <t>-1</t>
    </r>
    <r>
      <rPr>
        <sz val="10"/>
        <rFont val="Calibri"/>
        <family val="2"/>
        <scheme val="minor"/>
      </rPr>
      <t>]</t>
    </r>
  </si>
  <si>
    <t>Tabla 10.22</t>
  </si>
  <si>
    <r>
      <t>N</t>
    </r>
    <r>
      <rPr>
        <vertAlign val="subscript"/>
        <sz val="10"/>
        <rFont val="Calibri"/>
        <family val="2"/>
        <scheme val="minor"/>
      </rPr>
      <t>volatilización-MMS</t>
    </r>
    <r>
      <rPr>
        <sz val="10"/>
        <rFont val="Calibri"/>
        <family val="2"/>
        <scheme val="minor"/>
      </rPr>
      <t xml:space="preserve"> =</t>
    </r>
  </si>
  <si>
    <r>
      <t>N</t>
    </r>
    <r>
      <rPr>
        <vertAlign val="subscript"/>
        <sz val="10"/>
        <rFont val="Calibri"/>
        <family val="2"/>
        <scheme val="minor"/>
      </rPr>
      <t>2</t>
    </r>
    <r>
      <rPr>
        <sz val="10"/>
        <rFont val="Calibri"/>
        <family val="2"/>
        <scheme val="minor"/>
      </rPr>
      <t>O</t>
    </r>
    <r>
      <rPr>
        <vertAlign val="subscript"/>
        <sz val="10"/>
        <rFont val="Calibri"/>
        <family val="2"/>
        <scheme val="minor"/>
      </rPr>
      <t>G(mm)</t>
    </r>
    <r>
      <rPr>
        <sz val="10"/>
        <rFont val="Calibri"/>
        <family val="2"/>
        <scheme val="minor"/>
      </rPr>
      <t xml:space="preserve">  = NE</t>
    </r>
    <r>
      <rPr>
        <vertAlign val="subscript"/>
        <sz val="10"/>
        <rFont val="Calibri"/>
        <family val="2"/>
        <scheme val="minor"/>
      </rPr>
      <t>volatilización-MMS</t>
    </r>
    <r>
      <rPr>
        <sz val="10"/>
        <rFont val="Calibri"/>
        <family val="2"/>
        <scheme val="minor"/>
      </rPr>
      <t xml:space="preserve"> * EF</t>
    </r>
    <r>
      <rPr>
        <vertAlign val="subscript"/>
        <sz val="10"/>
        <rFont val="Calibri"/>
        <family val="2"/>
        <scheme val="minor"/>
      </rPr>
      <t>4</t>
    </r>
    <r>
      <rPr>
        <sz val="10"/>
        <rFont val="Calibri"/>
        <family val="2"/>
        <scheme val="minor"/>
      </rPr>
      <t xml:space="preserve"> * 44/28</t>
    </r>
  </si>
  <si>
    <r>
      <t xml:space="preserve">1 </t>
    </r>
    <r>
      <rPr>
        <sz val="10"/>
        <rFont val="Calibri"/>
        <family val="2"/>
        <scheme val="minor"/>
      </rPr>
      <t>Los cálculos deben ser realizados por el Sistema de Manejo de Estiércol, y para cada sistema de manejo, se debe seleccionar la(s) categoría(s) de especie/ ganado relevante. Para los sistemas de manejo de estiércol, consulte la Tabla 10.18.</t>
    </r>
  </si>
  <si>
    <r>
      <t>3</t>
    </r>
    <r>
      <rPr>
        <sz val="10"/>
        <rFont val="Calibri"/>
        <family val="2"/>
        <scheme val="minor"/>
      </rPr>
      <t xml:space="preserve"> Consulte la hoja de trabajo para N</t>
    </r>
    <r>
      <rPr>
        <vertAlign val="subscript"/>
        <sz val="10"/>
        <rFont val="Calibri"/>
        <family val="2"/>
        <scheme val="minor"/>
      </rPr>
      <t>2</t>
    </r>
    <r>
      <rPr>
        <sz val="10"/>
        <rFont val="Calibri"/>
        <family val="2"/>
        <scheme val="minor"/>
      </rPr>
      <t>O directo de la gestión del estiércol (3A2) para conocer el valor de la excreción de N total para el MMS (NEMMS).</t>
    </r>
  </si>
  <si>
    <t>Ecuación 10.34</t>
  </si>
  <si>
    <r>
      <t>Sistemas de Manejo del Estiercol (MMS)</t>
    </r>
    <r>
      <rPr>
        <vertAlign val="superscript"/>
        <sz val="10"/>
        <rFont val="Calibri"/>
        <family val="2"/>
        <scheme val="minor"/>
      </rPr>
      <t>2</t>
    </r>
  </si>
  <si>
    <r>
      <t>Especies/ Categorías de ganado</t>
    </r>
    <r>
      <rPr>
        <vertAlign val="superscript"/>
        <sz val="10"/>
        <rFont val="Calibri"/>
        <family val="2"/>
        <scheme val="minor"/>
      </rPr>
      <t xml:space="preserve"> 3</t>
    </r>
  </si>
  <si>
    <t>cantidad de nitrógeno del estiércol gestionado para la categoría de ganado T que se pierde en el MMS</t>
  </si>
  <si>
    <t>Número de animales</t>
  </si>
  <si>
    <t xml:space="preserve">Fracción de la excreción total anual de nitrógeno en el MMS de cada especie/categoría de ganado </t>
  </si>
  <si>
    <t>Cantidad de nitrógeno de las camas</t>
  </si>
  <si>
    <t>cantidad de nitrógeno de estiércol gestionado disponible para su aplicación en suelos gestionados o para alimento, combustible o para la construcción</t>
  </si>
  <si>
    <t>(por ciento)</t>
  </si>
  <si>
    <t>(cabeza)</t>
  </si>
  <si>
    <r>
      <t>(kg N animal</t>
    </r>
    <r>
      <rPr>
        <vertAlign val="superscript"/>
        <sz val="10"/>
        <rFont val="Calibri"/>
        <family val="2"/>
        <scheme val="minor"/>
      </rPr>
      <t>-1</t>
    </r>
    <r>
      <rPr>
        <sz val="10"/>
        <rFont val="Calibri"/>
        <family val="2"/>
        <scheme val="minor"/>
      </rPr>
      <t xml:space="preserve"> año</t>
    </r>
    <r>
      <rPr>
        <vertAlign val="superscript"/>
        <sz val="10"/>
        <rFont val="Calibri"/>
        <family val="2"/>
        <scheme val="minor"/>
      </rPr>
      <t>-1</t>
    </r>
    <r>
      <rPr>
        <sz val="10"/>
        <rFont val="Calibri"/>
        <family val="2"/>
        <scheme val="minor"/>
      </rPr>
      <t>)</t>
    </r>
  </si>
  <si>
    <t>Tabla 10.23</t>
  </si>
  <si>
    <t>(Si es aplicable a MMS, consulte el texto de la Ecuación 10.34)</t>
  </si>
  <si>
    <r>
      <t>N</t>
    </r>
    <r>
      <rPr>
        <vertAlign val="subscript"/>
        <sz val="10"/>
        <rFont val="Calibri"/>
        <family val="2"/>
        <scheme val="minor"/>
      </rPr>
      <t>MMS_Avb</t>
    </r>
    <r>
      <rPr>
        <sz val="10"/>
        <rFont val="Calibri"/>
        <family val="2"/>
        <scheme val="minor"/>
      </rPr>
      <t xml:space="preserve"> = NE</t>
    </r>
    <r>
      <rPr>
        <vertAlign val="subscript"/>
        <sz val="10"/>
        <rFont val="Calibri"/>
        <family val="2"/>
        <scheme val="minor"/>
      </rPr>
      <t>MMS</t>
    </r>
    <r>
      <rPr>
        <sz val="10"/>
        <rFont val="Calibri"/>
        <family val="2"/>
        <scheme val="minor"/>
      </rPr>
      <t xml:space="preserve"> * (1- Frac</t>
    </r>
    <r>
      <rPr>
        <vertAlign val="subscript"/>
        <sz val="10"/>
        <rFont val="Calibri"/>
        <family val="2"/>
        <scheme val="minor"/>
      </rPr>
      <t>PérdidaMS</t>
    </r>
    <r>
      <rPr>
        <sz val="10"/>
        <rFont val="Calibri"/>
        <family val="2"/>
        <scheme val="minor"/>
      </rPr>
      <t xml:space="preserve"> * 10</t>
    </r>
    <r>
      <rPr>
        <vertAlign val="superscript"/>
        <sz val="10"/>
        <rFont val="Calibri"/>
        <family val="2"/>
        <scheme val="minor"/>
      </rPr>
      <t>-2</t>
    </r>
    <r>
      <rPr>
        <sz val="10"/>
        <rFont val="Calibri"/>
        <family val="2"/>
        <scheme val="minor"/>
      </rPr>
      <t>) + N</t>
    </r>
    <r>
      <rPr>
        <vertAlign val="subscript"/>
        <sz val="10"/>
        <rFont val="Calibri"/>
        <family val="2"/>
        <scheme val="minor"/>
      </rPr>
      <t>(T)</t>
    </r>
    <r>
      <rPr>
        <sz val="10"/>
        <rFont val="Calibri"/>
        <family val="2"/>
        <scheme val="minor"/>
      </rPr>
      <t xml:space="preserve"> * MS</t>
    </r>
    <r>
      <rPr>
        <vertAlign val="subscript"/>
        <sz val="10"/>
        <rFont val="Calibri"/>
        <family val="2"/>
        <scheme val="minor"/>
      </rPr>
      <t>(T,S)</t>
    </r>
    <r>
      <rPr>
        <sz val="10"/>
        <rFont val="Calibri"/>
        <family val="2"/>
        <scheme val="minor"/>
      </rPr>
      <t xml:space="preserve"> * N</t>
    </r>
    <r>
      <rPr>
        <vertAlign val="subscript"/>
        <sz val="10"/>
        <rFont val="Calibri"/>
        <family val="2"/>
        <scheme val="minor"/>
      </rPr>
      <t>camaMS</t>
    </r>
  </si>
  <si>
    <r>
      <t>Frac</t>
    </r>
    <r>
      <rPr>
        <b/>
        <vertAlign val="subscript"/>
        <sz val="10"/>
        <rFont val="Calibri"/>
        <family val="2"/>
        <scheme val="minor"/>
      </rPr>
      <t>(PérdidasMS)</t>
    </r>
  </si>
  <si>
    <r>
      <t>N</t>
    </r>
    <r>
      <rPr>
        <b/>
        <vertAlign val="subscript"/>
        <sz val="10"/>
        <rFont val="Calibri"/>
        <family val="2"/>
        <scheme val="minor"/>
      </rPr>
      <t>camasMS</t>
    </r>
  </si>
  <si>
    <r>
      <t xml:space="preserve">1 </t>
    </r>
    <r>
      <rPr>
        <sz val="10"/>
        <rFont val="Calibri"/>
        <family val="2"/>
        <scheme val="minor"/>
      </rPr>
      <t>Los datos de nitrógeno disponibles que se estimarán en esta hoja de trabajo son necesarios para coordinar con el cálculo y el informe de las emisiones de N</t>
    </r>
    <r>
      <rPr>
        <vertAlign val="subscript"/>
        <sz val="10"/>
        <rFont val="Calibri"/>
        <family val="2"/>
        <scheme val="minor"/>
      </rPr>
      <t>2</t>
    </r>
    <r>
      <rPr>
        <sz val="10"/>
        <rFont val="Calibri"/>
        <family val="2"/>
        <scheme val="minor"/>
      </rPr>
      <t>O de los suelos gestionados (consulte el Capítulo 11).</t>
    </r>
  </si>
  <si>
    <r>
      <t xml:space="preserve">2 </t>
    </r>
    <r>
      <rPr>
        <sz val="10"/>
        <rFont val="Calibri"/>
        <family val="2"/>
        <scheme val="minor"/>
      </rPr>
      <t>Los cálculos deben ser realizados por el Sistema de Manejo de Estiércol, y para cada sistema de manejo, se debe seleccionar la (s) categoría (s) de especie / ganado relevante, y se debe usar el mismo conjunto de hojas de trabajo para todos los sistemas de manejo. Para los sistemas de manejo de estiércol, consulte la Tabla 10.18.</t>
    </r>
  </si>
  <si>
    <r>
      <t>3</t>
    </r>
    <r>
      <rPr>
        <sz val="10"/>
        <rFont val="Calibri"/>
        <family val="2"/>
        <scheme val="minor"/>
      </rPr>
      <t xml:space="preserve"> Especifique las categorías de ganado según sea necesario utilizando líneas adicionales (por ejemplo, llamas, alpacas, renos, conejos, animales con pieles, etc.)</t>
    </r>
  </si>
  <si>
    <r>
      <t>Cultivo de Arroz: Emsiones anuales de CH</t>
    </r>
    <r>
      <rPr>
        <b/>
        <vertAlign val="subscript"/>
        <sz val="10"/>
        <rFont val="Calibri"/>
        <family val="2"/>
        <scheme val="minor"/>
      </rPr>
      <t>4</t>
    </r>
    <r>
      <rPr>
        <b/>
        <sz val="10"/>
        <rFont val="Calibri"/>
        <family val="2"/>
        <scheme val="minor"/>
      </rPr>
      <t xml:space="preserve"> por arroz</t>
    </r>
  </si>
  <si>
    <t>Ecuación  5.1</t>
  </si>
  <si>
    <t>Ecuación 5.2</t>
  </si>
  <si>
    <t>Ecuación 5.3</t>
  </si>
  <si>
    <t>Ecosistema de arroz</t>
  </si>
  <si>
    <r>
      <t>Subcategorias para el año de notificación</t>
    </r>
    <r>
      <rPr>
        <vertAlign val="superscript"/>
        <sz val="10"/>
        <rFont val="Calibri"/>
        <family val="2"/>
        <scheme val="minor"/>
      </rPr>
      <t>1</t>
    </r>
    <r>
      <rPr>
        <sz val="10"/>
        <rFont val="Calibri"/>
        <family val="2"/>
        <scheme val="minor"/>
      </rPr>
      <t> </t>
    </r>
  </si>
  <si>
    <t>Superficie anual cosechada</t>
  </si>
  <si>
    <t>Periodo de cultivo del arroz</t>
  </si>
  <si>
    <t>Factor de emisión básico para tierras inundadas permanentemente sin abonos orgánicos</t>
  </si>
  <si>
    <t>Factor de ajuste para compensar las diferencias del régimen hídrico durante el período de cultivo</t>
  </si>
  <si>
    <t>Factor de ajuste para compensar las diferencias del régimen hídrico durante la temporada previa al</t>
  </si>
  <si>
    <t>Tasa de aplicación de abonos orgánicos en peso fresco</t>
  </si>
  <si>
    <t>Factor de conversión para abono orgánico</t>
  </si>
  <si>
    <t>Factor de ajuste para tipo y cantidad de abono orgánico aplicado</t>
  </si>
  <si>
    <r>
      <t>(ha año</t>
    </r>
    <r>
      <rPr>
        <vertAlign val="superscript"/>
        <sz val="10"/>
        <rFont val="Calibri"/>
        <family val="2"/>
        <scheme val="minor"/>
      </rPr>
      <t>-1</t>
    </r>
    <r>
      <rPr>
        <sz val="10"/>
        <rFont val="Calibri"/>
        <family val="2"/>
        <scheme val="minor"/>
      </rPr>
      <t>)</t>
    </r>
  </si>
  <si>
    <t>(día)</t>
  </si>
  <si>
    <r>
      <t>kg CH</t>
    </r>
    <r>
      <rPr>
        <vertAlign val="subscript"/>
        <sz val="10"/>
        <rFont val="Calibri"/>
        <family val="2"/>
        <scheme val="minor"/>
      </rPr>
      <t xml:space="preserve">4 </t>
    </r>
    <r>
      <rPr>
        <sz val="10"/>
        <rFont val="Calibri"/>
        <family val="2"/>
        <scheme val="minor"/>
      </rPr>
      <t>ha</t>
    </r>
    <r>
      <rPr>
        <vertAlign val="superscript"/>
        <sz val="10"/>
        <rFont val="Calibri"/>
        <family val="2"/>
        <scheme val="minor"/>
      </rPr>
      <t>-1</t>
    </r>
    <r>
      <rPr>
        <sz val="10"/>
        <rFont val="Calibri"/>
        <family val="2"/>
        <scheme val="minor"/>
      </rPr>
      <t xml:space="preserve"> día</t>
    </r>
    <r>
      <rPr>
        <vertAlign val="superscript"/>
        <sz val="10"/>
        <rFont val="Calibri"/>
        <family val="2"/>
        <scheme val="minor"/>
      </rPr>
      <t>-1</t>
    </r>
  </si>
  <si>
    <t>cultivo</t>
  </si>
  <si>
    <t>Tabla 5.11</t>
  </si>
  <si>
    <t>Tabla 5.12</t>
  </si>
  <si>
    <t>Tabla 5.13</t>
  </si>
  <si>
    <t>Tabla 5.14</t>
  </si>
  <si>
    <t xml:space="preserve">Irrigadas </t>
  </si>
  <si>
    <t xml:space="preserve">De secano y aguas profundas </t>
  </si>
  <si>
    <r>
      <t xml:space="preserve">1 </t>
    </r>
    <r>
      <rPr>
        <sz val="8"/>
        <rFont val="Times New Roman"/>
        <family val="1"/>
      </rPr>
      <t>El ecosistema del arroz se puede estratificar según los regímenes hídricos, el tipo y la cantidad de enmiendas orgánicas y otras condiciones bajo las cuales las emisiones de CH</t>
    </r>
    <r>
      <rPr>
        <vertAlign val="subscript"/>
        <sz val="8"/>
        <rFont val="Times New Roman"/>
        <family val="1"/>
      </rPr>
      <t>4</t>
    </r>
    <r>
      <rPr>
        <sz val="8"/>
        <rFont val="Times New Roman"/>
        <family val="1"/>
      </rPr>
      <t xml:space="preserve">  del arroz pueden variar </t>
    </r>
  </si>
  <si>
    <r>
      <t>Cultivo de arroz: Emisiones anuales de CH</t>
    </r>
    <r>
      <rPr>
        <b/>
        <vertAlign val="subscript"/>
        <sz val="10"/>
        <rFont val="Calibri"/>
        <family val="2"/>
        <scheme val="minor"/>
      </rPr>
      <t>4</t>
    </r>
    <r>
      <rPr>
        <b/>
        <sz val="10"/>
        <rFont val="Calibri"/>
        <family val="2"/>
        <scheme val="minor"/>
      </rPr>
      <t xml:space="preserve"> por arroz</t>
    </r>
  </si>
  <si>
    <t>Factor de escala por tipo de suelo, cultivo de arroz, etc., si está disponible</t>
  </si>
  <si>
    <t>Factor de emisión diario ajustado para un área cosechada en particular</t>
  </si>
  <si>
    <r>
      <t>Emisiones anuales de CH</t>
    </r>
    <r>
      <rPr>
        <vertAlign val="subscript"/>
        <sz val="10"/>
        <rFont val="Calibri"/>
        <family val="2"/>
        <scheme val="minor"/>
      </rPr>
      <t>4</t>
    </r>
    <r>
      <rPr>
        <sz val="10"/>
        <rFont val="Calibri"/>
        <family val="2"/>
        <scheme val="minor"/>
      </rPr>
      <t xml:space="preserve"> por el cultivo de arroz</t>
    </r>
  </si>
  <si>
    <r>
      <t>(kg CH</t>
    </r>
    <r>
      <rPr>
        <vertAlign val="subscript"/>
        <sz val="10"/>
        <rFont val="Calibri"/>
        <family val="2"/>
        <scheme val="minor"/>
      </rPr>
      <t>4</t>
    </r>
    <r>
      <rPr>
        <sz val="10"/>
        <rFont val="Calibri"/>
        <family val="2"/>
        <scheme val="minor"/>
      </rPr>
      <t xml:space="preserve"> ha</t>
    </r>
    <r>
      <rPr>
        <vertAlign val="superscript"/>
        <sz val="10"/>
        <rFont val="Calibri"/>
        <family val="2"/>
        <scheme val="minor"/>
      </rPr>
      <t>-1</t>
    </r>
    <r>
      <rPr>
        <sz val="10"/>
        <rFont val="Calibri"/>
        <family val="2"/>
        <scheme val="minor"/>
      </rPr>
      <t xml:space="preserve"> día</t>
    </r>
    <r>
      <rPr>
        <vertAlign val="superscript"/>
        <sz val="10"/>
        <rFont val="Calibri"/>
        <family val="2"/>
        <scheme val="minor"/>
      </rPr>
      <t>-1</t>
    </r>
    <r>
      <rPr>
        <sz val="10"/>
        <rFont val="Calibri"/>
        <family val="2"/>
        <scheme val="minor"/>
      </rPr>
      <t>)</t>
    </r>
  </si>
  <si>
    <r>
      <t>Gg CH</t>
    </r>
    <r>
      <rPr>
        <vertAlign val="subscript"/>
        <sz val="10"/>
        <rFont val="Calibri"/>
        <family val="2"/>
        <scheme val="minor"/>
      </rPr>
      <t>4</t>
    </r>
    <r>
      <rPr>
        <sz val="10"/>
        <rFont val="Calibri"/>
        <family val="2"/>
        <scheme val="minor"/>
      </rPr>
      <t xml:space="preserve"> año</t>
    </r>
    <r>
      <rPr>
        <vertAlign val="superscript"/>
        <sz val="10"/>
        <rFont val="Calibri"/>
        <family val="2"/>
        <scheme val="minor"/>
      </rPr>
      <t>-1</t>
    </r>
  </si>
  <si>
    <r>
      <t>CH</t>
    </r>
    <r>
      <rPr>
        <b/>
        <vertAlign val="subscript"/>
        <sz val="10"/>
        <rFont val="Calibri"/>
        <family val="2"/>
        <scheme val="minor"/>
      </rPr>
      <t>4Arroz</t>
    </r>
  </si>
  <si>
    <t>De secano y aguas profundas</t>
  </si>
  <si>
    <r>
      <t xml:space="preserve">1 </t>
    </r>
    <r>
      <rPr>
        <sz val="8"/>
        <rFont val="Times New Roman"/>
        <family val="1"/>
      </rPr>
      <t>La tierra debe estratificarse según los ecosistemas, los regímenes hídricos, el tipo y la cantidad de enmiendas orgánicas y otras condiciones en las que las emisiones de CH</t>
    </r>
    <r>
      <rPr>
        <vertAlign val="subscript"/>
        <sz val="8"/>
        <rFont val="Times New Roman"/>
        <family val="1"/>
      </rPr>
      <t xml:space="preserve">4 </t>
    </r>
    <r>
      <rPr>
        <sz val="8"/>
        <rFont val="Times New Roman"/>
        <family val="1"/>
      </rPr>
      <t>del arroz pueden variar. El desglose del área de cosecha anual de arroz debe realizarse al menos para tres regímenes de agua de referencia, incluidos los de regadío, de secano y de secano. Dentro de cada estrato, los subestratos deben estar separados para cada tipo de enmienda orgánica (ver Ecuación 5.3).</t>
    </r>
  </si>
  <si>
    <t>Dictamen de Experto. Correo eletrónico de Rolando Barahona. Fecha: 17-09-2020</t>
  </si>
  <si>
    <t>Dictamen de Experto (Carlos Gómez) Correo electrónico de fecha 11-09-2021</t>
  </si>
  <si>
    <t>Dictamen de Experto (Carlos Gómez) Correo electrónico de fecha 11-09-2022</t>
  </si>
  <si>
    <t>Dictamen de Experto (Carlos Gómez) Correo electrónico de fecha 11-09-2023</t>
  </si>
  <si>
    <t>Dictamen de Experto (Carlos Gómez) Correo electrónico de fecha 11-09-2024</t>
  </si>
  <si>
    <t>Dictamen de Experto (Carlos Gómez) Correo electrónico de fecha 11-09-2025</t>
  </si>
  <si>
    <t>Dictamen de Experto (Carlos Gómez) Correo electrónico de fecha 11-09-2026</t>
  </si>
  <si>
    <t>[no-TC]</t>
  </si>
  <si>
    <t>Cultivo de arroz</t>
  </si>
  <si>
    <t>Emisiones GEI</t>
  </si>
  <si>
    <t>Fuentes agregadas y emisiones no-CO2 en otras tierras</t>
  </si>
  <si>
    <t>Emisiones por quemado de biomasa</t>
  </si>
  <si>
    <t>Leyenda:  O - Original, A - Actual, Δ[%] - Variación de la estimación actual con respecto a la estimación original
Nota 1: Los valores negativos de la columna de variación (∆%) indican una reducción del valor de las emisiones/absorciones respecto al cálculo del RAGEI 2014.</t>
  </si>
  <si>
    <t>GRÁFICAS RAGEI</t>
  </si>
  <si>
    <t>GRÁFICAS INGEI</t>
  </si>
  <si>
    <t>Serie temporal de emisiones originales y actualizadas para el sector Agricultura (GL1996 Vs GL2006)</t>
  </si>
  <si>
    <r>
      <t>[GgCO</t>
    </r>
    <r>
      <rPr>
        <b/>
        <vertAlign val="subscript"/>
        <sz val="10"/>
        <color rgb="FFFFFFFF"/>
        <rFont val="Calibri"/>
        <family val="2"/>
        <scheme val="minor"/>
      </rPr>
      <t>2</t>
    </r>
    <r>
      <rPr>
        <b/>
        <sz val="10"/>
        <color rgb="FFFFFFFF"/>
        <rFont val="Calibri"/>
        <family val="2"/>
        <scheme val="minor"/>
      </rPr>
      <t>eq]</t>
    </r>
  </si>
  <si>
    <r>
      <t>Emisiones directas de N</t>
    </r>
    <r>
      <rPr>
        <vertAlign val="subscript"/>
        <sz val="10"/>
        <color theme="1"/>
        <rFont val="Calibri"/>
        <family val="2"/>
        <scheme val="minor"/>
      </rPr>
      <t>2</t>
    </r>
    <r>
      <rPr>
        <sz val="10"/>
        <color theme="1"/>
        <rFont val="Calibri"/>
        <family val="2"/>
        <scheme val="minor"/>
      </rPr>
      <t>O de suelos gestionados</t>
    </r>
  </si>
  <si>
    <r>
      <t>Emisiones indirectas de N</t>
    </r>
    <r>
      <rPr>
        <vertAlign val="subscript"/>
        <sz val="10"/>
        <color theme="1"/>
        <rFont val="Calibri"/>
        <family val="2"/>
        <scheme val="minor"/>
      </rPr>
      <t>2</t>
    </r>
    <r>
      <rPr>
        <sz val="10"/>
        <color theme="1"/>
        <rFont val="Calibri"/>
        <family val="2"/>
        <scheme val="minor"/>
      </rPr>
      <t>O de suelos gestionados</t>
    </r>
  </si>
  <si>
    <r>
      <t>Emisiones indirectas de N</t>
    </r>
    <r>
      <rPr>
        <vertAlign val="subscript"/>
        <sz val="10"/>
        <color theme="1"/>
        <rFont val="Calibri"/>
        <family val="2"/>
        <scheme val="minor"/>
      </rPr>
      <t>2</t>
    </r>
    <r>
      <rPr>
        <sz val="10"/>
        <color theme="1"/>
        <rFont val="Calibri"/>
        <family val="2"/>
        <scheme val="minor"/>
      </rPr>
      <t>O por manejo de estiércol</t>
    </r>
  </si>
  <si>
    <t>Serie temporal de emisiones originales y actualizadas para el sector Agricultura (RAGEI 2014 vs RAGEI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</si>
</sst>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 * #,##0.00_ ;_ * \-#,##0.00_ ;_ * &quot;-&quot;??_ ;_ @_ "/>
    <numFmt numFmtId="165" formatCode="#,##0.00_ ;\-#,##0.00\ "/>
    <numFmt numFmtId="166" formatCode="_ * #,##0.00_ ;_ * \-#,##0.00_ ;_ * \-??_ ;_ @_ "/>
    <numFmt numFmtId="167" formatCode="_ * #,##0.0_ ;_ * \-#,##0.0_ ;_ * \-?_ ;_ @_ "/>
    <numFmt numFmtId="168" formatCode="0.000"/>
    <numFmt numFmtId="169" formatCode="#,##0.0"/>
    <numFmt numFmtId="170" formatCode="#,##0.000"/>
    <numFmt numFmtId="171" formatCode="0\ %"/>
    <numFmt numFmtId="172" formatCode="0.0"/>
    <numFmt numFmtId="173" formatCode="_-* #,##0.0000_-;\-* #,##0.0000_-;_-* &quot;-&quot;??_-;_-@_-"/>
    <numFmt numFmtId="174" formatCode="0.00\ %"/>
  </numFmts>
  <fonts count="144">
    <font>
      <sz val="11"/>
      <color theme="1"/>
      <name val="Calibri"/>
      <family val="2"/>
      <scheme val="minor"/>
    </font>
    <font>
      <sz val="10"/>
      <name val="Arial"/>
      <family val="2"/>
    </font>
    <font>
      <b/>
      <sz val="9"/>
      <name val="Arial"/>
      <family val="2"/>
    </font>
    <font>
      <sz val="9"/>
      <name val="Arial"/>
      <family val="2"/>
    </font>
    <font>
      <b/>
      <sz val="10"/>
      <name val="Arial"/>
      <family val="2"/>
    </font>
    <font>
      <vertAlign val="superscript"/>
      <sz val="8"/>
      <name val="Times New Roman"/>
      <family val="1"/>
    </font>
    <font>
      <sz val="8"/>
      <name val="Times New Roman"/>
      <family val="1"/>
    </font>
    <font>
      <vertAlign val="subscript"/>
      <sz val="8"/>
      <name val="Times New Roman"/>
      <family val="1"/>
    </font>
    <font>
      <sz val="10"/>
      <name val="Calibri"/>
      <family val="2"/>
    </font>
    <font>
      <sz val="9"/>
      <color theme="1"/>
      <name val="Arial"/>
      <family val="2"/>
    </font>
    <font>
      <u val="single"/>
      <sz val="11"/>
      <color theme="10"/>
      <name val="Calibri"/>
      <family val="2"/>
      <scheme val="minor"/>
    </font>
    <font>
      <sz val="9"/>
      <name val="Tahoma"/>
      <family val="2"/>
    </font>
    <font>
      <sz val="10"/>
      <color rgb="FF000000"/>
      <name val="Calibri"/>
      <family val="2"/>
    </font>
    <font>
      <sz val="10"/>
      <color rgb="FFFF0000"/>
      <name val="Calibri"/>
      <family val="2"/>
    </font>
    <font>
      <b/>
      <sz val="10"/>
      <color rgb="FF000000"/>
      <name val="Calibri"/>
      <family val="2"/>
    </font>
    <font>
      <sz val="10"/>
      <color indexed="22"/>
      <name val="Calibri"/>
      <family val="2"/>
    </font>
    <font>
      <vertAlign val="subscript"/>
      <sz val="10"/>
      <color indexed="22"/>
      <name val="Calibri"/>
      <family val="2"/>
    </font>
    <font>
      <b/>
      <sz val="10"/>
      <color rgb="FF002060"/>
      <name val="Calibri"/>
      <family val="2"/>
    </font>
    <font>
      <b/>
      <sz val="10"/>
      <color rgb="FF2F5597"/>
      <name val="Calibri"/>
      <family val="2"/>
    </font>
    <font>
      <sz val="10"/>
      <color rgb="FFAFABAB"/>
      <name val="Calibri"/>
      <family val="2"/>
    </font>
    <font>
      <sz val="11"/>
      <color rgb="FF000000"/>
      <name val="Calibri"/>
      <family val="2"/>
    </font>
    <font>
      <sz val="10"/>
      <color rgb="FF000000"/>
      <name val="Arial"/>
      <family val="2"/>
    </font>
    <font>
      <b/>
      <sz val="12"/>
      <color rgb="FF000000"/>
      <name val="Calibri"/>
      <family val="2"/>
    </font>
    <font>
      <b/>
      <sz val="10"/>
      <color rgb="FF000000"/>
      <name val="Arial"/>
      <family val="2"/>
    </font>
    <font>
      <i/>
      <sz val="10"/>
      <color rgb="FF000000"/>
      <name val="Calibri"/>
      <family val="2"/>
    </font>
    <font>
      <vertAlign val="subscript"/>
      <sz val="10"/>
      <color rgb="FF000000"/>
      <name val="Calibri"/>
      <family val="2"/>
    </font>
    <font>
      <vertAlign val="superscript"/>
      <sz val="10"/>
      <color rgb="FF000000"/>
      <name val="Calibri"/>
      <family val="2"/>
    </font>
    <font>
      <b/>
      <sz val="10"/>
      <color rgb="FFFF0000"/>
      <name val="Calibri"/>
      <family val="2"/>
    </font>
    <font>
      <sz val="10"/>
      <color rgb="FF7030A0"/>
      <name val="Calibri"/>
      <family val="2"/>
    </font>
    <font>
      <sz val="10"/>
      <color rgb="FF333F50"/>
      <name val="Calibri"/>
      <family val="2"/>
    </font>
    <font>
      <b/>
      <sz val="10"/>
      <color rgb="FFFFFFFF"/>
      <name val="Calibri"/>
      <family val="2"/>
    </font>
    <font>
      <b/>
      <u val="single"/>
      <sz val="10"/>
      <color rgb="FF5B9BD5"/>
      <name val="Calibri"/>
      <family val="2"/>
    </font>
    <font>
      <b/>
      <u val="single"/>
      <sz val="10"/>
      <color rgb="FF000000"/>
      <name val="Calibri"/>
      <family val="2"/>
    </font>
    <font>
      <u val="single"/>
      <sz val="11"/>
      <color rgb="FF0563C1"/>
      <name val="Calibri"/>
      <family val="2"/>
    </font>
    <font>
      <u val="single"/>
      <sz val="10"/>
      <color rgb="FF0563C1"/>
      <name val="Calibri"/>
      <family val="2"/>
    </font>
    <font>
      <b/>
      <sz val="10"/>
      <color rgb="FF0582FF"/>
      <name val="Calibri"/>
      <family val="2"/>
    </font>
    <font>
      <sz val="12"/>
      <color rgb="FF000000"/>
      <name val="Calibri"/>
      <family val="2"/>
    </font>
    <font>
      <sz val="14"/>
      <color rgb="FF000000"/>
      <name val="Calibri"/>
      <family val="2"/>
    </font>
    <font>
      <b/>
      <sz val="14"/>
      <color rgb="FF000000"/>
      <name val="Calibri"/>
      <family val="2"/>
    </font>
    <font>
      <sz val="9"/>
      <color rgb="FF000000"/>
      <name val="Calibri"/>
      <family val="2"/>
    </font>
    <font>
      <sz val="9"/>
      <color rgb="FF7030A0"/>
      <name val="Calibri"/>
      <family val="2"/>
    </font>
    <font>
      <b/>
      <sz val="10"/>
      <name val="Calibri"/>
      <family val="2"/>
      <scheme val="minor"/>
    </font>
    <font>
      <sz val="10"/>
      <color theme="1"/>
      <name val="Calibri"/>
      <family val="2"/>
      <scheme val="minor"/>
    </font>
    <font>
      <u val="single"/>
      <sz val="10"/>
      <color theme="10"/>
      <name val="Calibri"/>
      <family val="2"/>
      <scheme val="minor"/>
    </font>
    <font>
      <sz val="10"/>
      <name val="Calibri"/>
      <family val="2"/>
      <scheme val="minor"/>
    </font>
    <font>
      <b/>
      <u val="single"/>
      <sz val="10"/>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sz val="10"/>
      <color rgb="FFFF0000"/>
      <name val="Calibri"/>
      <family val="2"/>
      <scheme val="minor"/>
    </font>
    <font>
      <vertAlign val="superscript"/>
      <sz val="10"/>
      <name val="Calibri"/>
      <family val="2"/>
      <scheme val="minor"/>
    </font>
    <font>
      <sz val="10"/>
      <color theme="0" tint="-0.4999699890613556"/>
      <name val="Calibri"/>
      <family val="2"/>
      <scheme val="minor"/>
    </font>
    <font>
      <i/>
      <sz val="10"/>
      <color theme="1"/>
      <name val="Calibri"/>
      <family val="2"/>
      <scheme val="minor"/>
    </font>
    <font>
      <b/>
      <vertAlign val="subscript"/>
      <sz val="10"/>
      <name val="Calibri"/>
      <family val="2"/>
      <scheme val="minor"/>
    </font>
    <font>
      <b/>
      <vertAlign val="superscript"/>
      <sz val="10"/>
      <name val="Calibri"/>
      <family val="2"/>
      <scheme val="minor"/>
    </font>
    <font>
      <vertAlign val="subscript"/>
      <sz val="10"/>
      <name val="Calibri"/>
      <family val="2"/>
      <scheme val="minor"/>
    </font>
    <font>
      <vertAlign val="subscript"/>
      <sz val="10"/>
      <color indexed="8"/>
      <name val="Calibri"/>
      <family val="2"/>
      <scheme val="minor"/>
    </font>
    <font>
      <sz val="10"/>
      <color indexed="8"/>
      <name val="Calibri"/>
      <family val="2"/>
      <scheme val="minor"/>
    </font>
    <font>
      <b/>
      <vertAlign val="subscript"/>
      <sz val="10"/>
      <color indexed="8"/>
      <name val="Calibri"/>
      <family val="2"/>
      <scheme val="minor"/>
    </font>
    <font>
      <b/>
      <sz val="10"/>
      <color indexed="8"/>
      <name val="Calibri"/>
      <family val="2"/>
      <scheme val="minor"/>
    </font>
    <font>
      <b/>
      <vertAlign val="subscript"/>
      <sz val="10"/>
      <color rgb="FF2F5597"/>
      <name val="Calibri"/>
      <family val="2"/>
    </font>
    <font>
      <b/>
      <vertAlign val="subscript"/>
      <sz val="10"/>
      <color rgb="FF000000"/>
      <name val="Calibri"/>
      <family val="2"/>
    </font>
    <font>
      <sz val="10"/>
      <color theme="0" tint="-0.24997000396251678"/>
      <name val="Calibri"/>
      <family val="2"/>
    </font>
    <font>
      <vertAlign val="subscript"/>
      <sz val="10"/>
      <color theme="0" tint="-0.24997000396251678"/>
      <name val="Calibri"/>
      <family val="2"/>
    </font>
    <font>
      <b/>
      <sz val="10"/>
      <color indexed="63"/>
      <name val="Calibri"/>
      <family val="2"/>
    </font>
    <font>
      <sz val="10"/>
      <color rgb="FF002060"/>
      <name val="Calibri"/>
      <family val="2"/>
    </font>
    <font>
      <sz val="10"/>
      <color theme="1"/>
      <name val="Calibri"/>
      <family val="2"/>
    </font>
    <font>
      <sz val="10"/>
      <color rgb="FF0070C0"/>
      <name val="Calibri"/>
      <family val="2"/>
      <scheme val="minor"/>
    </font>
    <font>
      <vertAlign val="subscript"/>
      <sz val="10"/>
      <color rgb="FF0070C0"/>
      <name val="Calibri"/>
      <family val="2"/>
      <scheme val="minor"/>
    </font>
    <font>
      <b/>
      <sz val="10"/>
      <color rgb="FF002060"/>
      <name val="Calibri"/>
      <family val="2"/>
      <scheme val="minor"/>
    </font>
    <font>
      <b/>
      <sz val="10"/>
      <color rgb="FF2F5597"/>
      <name val="Calibri"/>
      <family val="2"/>
      <scheme val="minor"/>
    </font>
    <font>
      <i/>
      <sz val="10"/>
      <color rgb="FF000000"/>
      <name val="Calibri"/>
      <family val="2"/>
      <scheme val="minor"/>
    </font>
    <font>
      <sz val="10"/>
      <color rgb="FFAFABAB"/>
      <name val="Calibri"/>
      <family val="2"/>
      <scheme val="minor"/>
    </font>
    <font>
      <b/>
      <vertAlign val="subscript"/>
      <sz val="10"/>
      <color rgb="FF2F5597"/>
      <name val="Calibri"/>
      <family val="2"/>
      <scheme val="minor"/>
    </font>
    <font>
      <b/>
      <vertAlign val="subscript"/>
      <sz val="10"/>
      <color rgb="FF000000"/>
      <name val="Calibri"/>
      <family val="2"/>
      <scheme val="minor"/>
    </font>
    <font>
      <sz val="10"/>
      <color indexed="22"/>
      <name val="Calibri"/>
      <family val="2"/>
      <scheme val="minor"/>
    </font>
    <font>
      <vertAlign val="subscript"/>
      <sz val="10"/>
      <color indexed="22"/>
      <name val="Calibri"/>
      <family val="2"/>
      <scheme val="minor"/>
    </font>
    <font>
      <sz val="10"/>
      <color rgb="FF002060"/>
      <name val="Calibri"/>
      <family val="2"/>
      <scheme val="minor"/>
    </font>
    <font>
      <sz val="10"/>
      <color theme="0" tint="-0.24997000396251678"/>
      <name val="Calibri"/>
      <family val="2"/>
      <scheme val="minor"/>
    </font>
    <font>
      <vertAlign val="subscript"/>
      <sz val="10"/>
      <color theme="0" tint="-0.24997000396251678"/>
      <name val="Calibri"/>
      <family val="2"/>
      <scheme val="minor"/>
    </font>
    <font>
      <b/>
      <sz val="10"/>
      <color indexed="63"/>
      <name val="Calibri"/>
      <family val="2"/>
      <scheme val="minor"/>
    </font>
    <font>
      <sz val="9"/>
      <color theme="0" tint="-0.4999699890613556"/>
      <name val="Arial"/>
      <family val="2"/>
    </font>
    <font>
      <sz val="11"/>
      <color theme="0" tint="-0.4999699890613556"/>
      <name val="Calibri"/>
      <family val="2"/>
      <scheme val="minor"/>
    </font>
    <font>
      <vertAlign val="subscript"/>
      <sz val="10"/>
      <color theme="1"/>
      <name val="Calibri"/>
      <family val="2"/>
      <scheme val="minor"/>
    </font>
    <font>
      <sz val="8"/>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2"/>
      <color theme="0"/>
      <name val="Calibri"/>
      <family val="2"/>
      <scheme val="minor"/>
    </font>
    <font>
      <sz val="11"/>
      <color theme="8" tint="-0.4999699890613556"/>
      <name val="Calibri"/>
      <family val="2"/>
      <scheme val="minor"/>
    </font>
    <font>
      <sz val="16"/>
      <color theme="1"/>
      <name val="Calibri"/>
      <family val="2"/>
      <scheme val="minor"/>
    </font>
    <font>
      <sz val="16"/>
      <color theme="8" tint="-0.4999699890613556"/>
      <name val="Calibri"/>
      <family val="2"/>
      <scheme val="minor"/>
    </font>
    <font>
      <b/>
      <sz val="16"/>
      <color theme="0"/>
      <name val="Calibri"/>
      <family val="2"/>
      <scheme val="minor"/>
    </font>
    <font>
      <sz val="9"/>
      <name val="Calibri"/>
      <family val="2"/>
      <scheme val="minor"/>
    </font>
    <font>
      <vertAlign val="subscript"/>
      <sz val="9"/>
      <name val="Calibri"/>
      <family val="2"/>
      <scheme val="minor"/>
    </font>
    <font>
      <vertAlign val="superscript"/>
      <sz val="9"/>
      <name val="Calibri"/>
      <family val="2"/>
      <scheme val="minor"/>
    </font>
    <font>
      <b/>
      <vertAlign val="subscript"/>
      <sz val="16"/>
      <color theme="0"/>
      <name val="Calibri"/>
      <family val="2"/>
      <scheme val="minor"/>
    </font>
    <font>
      <vertAlign val="subscript"/>
      <sz val="9"/>
      <color theme="1"/>
      <name val="Calibri"/>
      <family val="2"/>
      <scheme val="minor"/>
    </font>
    <font>
      <sz val="9"/>
      <color theme="1"/>
      <name val="Calibri"/>
      <family val="2"/>
      <scheme val="minor"/>
    </font>
    <font>
      <vertAlign val="superscript"/>
      <sz val="9"/>
      <color theme="1"/>
      <name val="Calibri"/>
      <family val="2"/>
      <scheme val="minor"/>
    </font>
    <font>
      <sz val="11"/>
      <color rgb="FF000000"/>
      <name val="Calibri"/>
      <family val="2"/>
      <scheme val="minor"/>
    </font>
    <font>
      <vertAlign val="subscript"/>
      <sz val="11"/>
      <color theme="1"/>
      <name val="Calibri"/>
      <family val="2"/>
      <scheme val="minor"/>
    </font>
    <font>
      <sz val="12"/>
      <color theme="1"/>
      <name val="Calibri"/>
      <family val="2"/>
      <scheme val="minor"/>
    </font>
    <font>
      <vertAlign val="subscript"/>
      <sz val="11"/>
      <name val="Calibri"/>
      <family val="2"/>
      <scheme val="minor"/>
    </font>
    <font>
      <vertAlign val="superscript"/>
      <sz val="11"/>
      <name val="Calibri"/>
      <family val="2"/>
      <scheme val="minor"/>
    </font>
    <font>
      <sz val="11"/>
      <color theme="1"/>
      <name val="Calibri"/>
      <family val="2"/>
    </font>
    <font>
      <b/>
      <sz val="10"/>
      <color rgb="FF4472C4"/>
      <name val="Calibri"/>
      <family val="2"/>
    </font>
    <font>
      <b/>
      <sz val="9"/>
      <color rgb="FF000000"/>
      <name val="Arial"/>
      <family val="2"/>
    </font>
    <font>
      <b/>
      <vertAlign val="subscript"/>
      <sz val="12"/>
      <color theme="0"/>
      <name val="Calibri"/>
      <family val="2"/>
      <scheme val="minor"/>
    </font>
    <font>
      <b/>
      <sz val="11"/>
      <color theme="1"/>
      <name val="Calibri"/>
      <family val="2"/>
      <scheme val="minor"/>
    </font>
    <font>
      <b/>
      <sz val="11"/>
      <name val="Calibri"/>
      <family val="2"/>
      <scheme val="minor"/>
    </font>
    <font>
      <b/>
      <vertAlign val="subscript"/>
      <sz val="11"/>
      <color theme="1"/>
      <name val="Calibri"/>
      <family val="2"/>
      <scheme val="minor"/>
    </font>
    <font>
      <b/>
      <vertAlign val="subscript"/>
      <sz val="11"/>
      <name val="Calibri"/>
      <family val="2"/>
      <scheme val="minor"/>
    </font>
    <font>
      <sz val="11"/>
      <color theme="2" tint="-0.24997000396251678"/>
      <name val="Calibri"/>
      <family val="2"/>
      <scheme val="minor"/>
    </font>
    <font>
      <b/>
      <sz val="11"/>
      <color rgb="FF000000"/>
      <name val="Calibri"/>
      <family val="2"/>
      <scheme val="minor"/>
    </font>
    <font>
      <b/>
      <sz val="16"/>
      <color rgb="FF002060"/>
      <name val="Calibri"/>
      <family val="2"/>
      <scheme val="minor"/>
    </font>
    <font>
      <b/>
      <sz val="14"/>
      <color rgb="FF002060"/>
      <name val="Calibri"/>
      <family val="2"/>
      <scheme val="minor"/>
    </font>
    <font>
      <b/>
      <sz val="10"/>
      <color theme="0"/>
      <name val="Calibri"/>
      <family val="2"/>
      <scheme val="minor"/>
    </font>
    <font>
      <b/>
      <sz val="8"/>
      <color theme="0"/>
      <name val="Calibri"/>
      <family val="2"/>
      <scheme val="minor"/>
    </font>
    <font>
      <b/>
      <sz val="8"/>
      <color rgb="FFFFFFFF"/>
      <name val="Calibri"/>
      <family val="2"/>
      <scheme val="minor"/>
    </font>
    <font>
      <b/>
      <sz val="9"/>
      <name val="Calibri"/>
      <family val="2"/>
      <scheme val="minor"/>
    </font>
    <font>
      <b/>
      <vertAlign val="subscript"/>
      <sz val="9"/>
      <name val="Calibri"/>
      <family val="2"/>
      <scheme val="minor"/>
    </font>
    <font>
      <vertAlign val="superscript"/>
      <sz val="8"/>
      <name val="Calibri"/>
      <family val="2"/>
      <scheme val="minor"/>
    </font>
    <font>
      <b/>
      <sz val="10"/>
      <color rgb="FFFFFFFF"/>
      <name val="Calibri"/>
      <family val="2"/>
      <scheme val="minor"/>
    </font>
    <font>
      <b/>
      <vertAlign val="subscript"/>
      <sz val="10"/>
      <color rgb="FFFFFFFF"/>
      <name val="Calibri"/>
      <family val="2"/>
      <scheme val="minor"/>
    </font>
    <font>
      <sz val="9"/>
      <color theme="1" tint="0.25"/>
      <name val="Calibri"/>
      <family val="2"/>
    </font>
    <font>
      <sz val="9"/>
      <color theme="1" tint="0.35"/>
      <name val="+mn-cs"/>
      <family val="2"/>
    </font>
    <font>
      <sz val="10"/>
      <color theme="1" tint="0.35"/>
      <name val="Calibri"/>
      <family val="2"/>
    </font>
    <font>
      <sz val="9"/>
      <color theme="1" tint="0.35"/>
      <name val="Calibri"/>
      <family val="2"/>
    </font>
    <font>
      <sz val="12"/>
      <color theme="1" tint="0.35"/>
      <name val="Calibri"/>
      <family val="2"/>
    </font>
    <font>
      <sz val="10"/>
      <color rgb="FF000000" tint="0.35"/>
      <name val="+mn-cs"/>
      <family val="2"/>
    </font>
    <font>
      <sz val="9"/>
      <color rgb="FF000000"/>
      <name val="Arial"/>
      <family val="2"/>
    </font>
    <font>
      <sz val="10"/>
      <color theme="0"/>
      <name val="Calibri"/>
      <family val="2"/>
    </font>
    <font>
      <sz val="10"/>
      <color rgb="FFFFFFFF"/>
      <name val="Calibri"/>
      <family val="2"/>
    </font>
    <font>
      <sz val="10"/>
      <color theme="0"/>
      <name val="+mn-cs"/>
      <family val="2"/>
    </font>
    <font>
      <sz val="10"/>
      <name val="+mn-cs"/>
      <family val="2"/>
    </font>
    <font>
      <sz val="14"/>
      <color rgb="FF000000"/>
      <name val="Arial"/>
      <family val="2"/>
    </font>
    <font>
      <b/>
      <sz val="11"/>
      <color rgb="FF000000"/>
      <name val="Calibri"/>
      <family val="2"/>
    </font>
    <font>
      <sz val="9"/>
      <color rgb="FFFFFFFF"/>
      <name val="Arial"/>
      <family val="2"/>
    </font>
    <font>
      <i/>
      <sz val="8"/>
      <color rgb="FF808080"/>
      <name val="Arial"/>
      <family val="2"/>
    </font>
    <font>
      <sz val="14"/>
      <color rgb="FF000000"/>
      <name val="Cambria Math"/>
      <family val="2"/>
    </font>
    <font>
      <b/>
      <sz val="9"/>
      <color rgb="FFFFFFFF"/>
      <name val="Arial"/>
      <family val="2"/>
    </font>
    <font>
      <i/>
      <sz val="11"/>
      <color rgb="FF000000"/>
      <name val="Calibri"/>
      <family val="2"/>
    </font>
    <font>
      <b/>
      <sz val="8"/>
      <name val="Calibri"/>
      <family val="2"/>
    </font>
  </fonts>
  <fills count="55">
    <fill>
      <patternFill/>
    </fill>
    <fill>
      <patternFill patternType="gray125"/>
    </fill>
    <fill>
      <patternFill patternType="solid">
        <fgColor theme="0" tint="-0.24997000396251678"/>
        <bgColor indexed="64"/>
      </patternFill>
    </fill>
    <fill>
      <patternFill patternType="solid">
        <fgColor rgb="FFFFFFFF"/>
        <bgColor indexed="64"/>
      </patternFill>
    </fill>
    <fill>
      <patternFill patternType="solid">
        <fgColor indexed="22"/>
        <bgColor indexed="64"/>
      </patternFill>
    </fill>
    <fill>
      <patternFill patternType="solid">
        <fgColor rgb="FFD6DCE5"/>
        <bgColor indexed="64"/>
      </patternFill>
    </fill>
    <fill>
      <patternFill patternType="solid">
        <fgColor rgb="FFBFBFBF"/>
        <bgColor indexed="64"/>
      </patternFill>
    </fill>
    <fill>
      <patternFill patternType="solid">
        <fgColor theme="0"/>
        <bgColor indexed="64"/>
      </patternFill>
    </fill>
    <fill>
      <patternFill patternType="solid">
        <fgColor rgb="FF7DDDFF"/>
        <bgColor indexed="64"/>
      </patternFill>
    </fill>
    <fill>
      <patternFill patternType="solid">
        <fgColor rgb="FFA6A6A6"/>
        <bgColor indexed="64"/>
      </patternFill>
    </fill>
    <fill>
      <patternFill patternType="solid">
        <fgColor rgb="FFD9D9D9"/>
        <bgColor indexed="64"/>
      </patternFill>
    </fill>
    <fill>
      <patternFill patternType="solid">
        <fgColor rgb="FF5A7F2B"/>
        <bgColor indexed="64"/>
      </patternFill>
    </fill>
    <fill>
      <patternFill patternType="solid">
        <fgColor rgb="FF336699"/>
        <bgColor indexed="64"/>
      </patternFill>
    </fill>
    <fill>
      <patternFill patternType="solid">
        <fgColor rgb="FF9EC3E6"/>
        <bgColor indexed="64"/>
      </patternFill>
    </fill>
    <fill>
      <patternFill patternType="solid">
        <fgColor rgb="FFFF9999"/>
        <bgColor indexed="64"/>
      </patternFill>
    </fill>
    <fill>
      <patternFill patternType="solid">
        <fgColor rgb="FF6B95C7"/>
        <bgColor indexed="64"/>
      </patternFill>
    </fill>
    <fill>
      <patternFill patternType="solid">
        <fgColor theme="0" tint="-0.24997000396251678"/>
        <bgColor indexed="64"/>
      </patternFill>
    </fill>
    <fill>
      <patternFill patternType="solid">
        <fgColor theme="0"/>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rgb="FF7DDDFF"/>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7DDDFF"/>
        <bgColor indexed="64"/>
      </patternFill>
    </fill>
    <fill>
      <patternFill patternType="solid">
        <fgColor theme="9" tint="-0.24997000396251678"/>
        <bgColor indexed="64"/>
      </patternFill>
    </fill>
    <fill>
      <patternFill patternType="solid">
        <fgColor theme="4" tint="-0.4999699890613556"/>
        <bgColor indexed="64"/>
      </patternFill>
    </fill>
    <fill>
      <patternFill patternType="solid">
        <fgColor theme="7" tint="-0.24997000396251678"/>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rgb="FFFBE5D6"/>
        <bgColor indexed="64"/>
      </patternFill>
    </fill>
    <fill>
      <patternFill patternType="solid">
        <fgColor theme="0"/>
        <bgColor indexed="64"/>
      </patternFill>
    </fill>
    <fill>
      <patternFill patternType="solid">
        <fgColor rgb="FFFFFF00"/>
        <bgColor indexed="64"/>
      </patternFill>
    </fill>
    <fill>
      <patternFill patternType="solid">
        <fgColor rgb="FFFBE5D6"/>
        <bgColor indexed="64"/>
      </patternFill>
    </fill>
    <fill>
      <patternFill patternType="solid">
        <fgColor theme="4" tint="0.39998000860214233"/>
        <bgColor indexed="64"/>
      </patternFill>
    </fill>
    <fill>
      <patternFill patternType="solid">
        <fgColor rgb="FFE2EFD6"/>
        <bgColor indexed="64"/>
      </patternFill>
    </fill>
    <fill>
      <patternFill patternType="solid">
        <fgColor rgb="FF00B0F0"/>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rgb="FF7394A9"/>
        <bgColor indexed="64"/>
      </patternFill>
    </fill>
    <fill>
      <patternFill patternType="solid">
        <fgColor rgb="FF7394A9"/>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rgb="FFA6A6A6"/>
        <bgColor indexed="64"/>
      </patternFill>
    </fill>
    <fill>
      <patternFill patternType="solid">
        <fgColor rgb="FF000000"/>
        <bgColor indexed="64"/>
      </patternFill>
    </fill>
    <fill>
      <patternFill patternType="solid">
        <fgColor rgb="FF00B0F0"/>
        <bgColor indexed="64"/>
      </patternFill>
    </fill>
    <fill>
      <patternFill patternType="solid">
        <fgColor rgb="FF37CBFF"/>
        <bgColor indexed="64"/>
      </patternFill>
    </fill>
    <fill>
      <patternFill patternType="solid">
        <fgColor rgb="FF00B0F0"/>
        <bgColor indexed="64"/>
      </patternFill>
    </fill>
  </fills>
  <borders count="125">
    <border>
      <left/>
      <right/>
      <top/>
      <bottom/>
      <diagonal/>
    </border>
    <border>
      <left style="thin"/>
      <right style="thin"/>
      <top style="thin"/>
      <bottom style="thin"/>
    </border>
    <border>
      <left/>
      <right style="medium"/>
      <top/>
      <bottom style="medium"/>
    </border>
    <border>
      <left style="thin">
        <color rgb="FF9EC3E6"/>
      </left>
      <right style="thin">
        <color rgb="FF9EC3E6"/>
      </right>
      <top style="thin"/>
      <bottom style="thin">
        <color rgb="FF9EC3E6"/>
      </bottom>
    </border>
    <border>
      <left/>
      <right style="thin">
        <color rgb="FF9EC3E6"/>
      </right>
      <top style="thin"/>
      <bottom style="thin">
        <color rgb="FF9EC3E6"/>
      </bottom>
    </border>
    <border>
      <left style="thin">
        <color rgb="FF9EC3E6"/>
      </left>
      <right/>
      <top/>
      <bottom/>
    </border>
    <border>
      <left style="thin"/>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color rgb="FF9EC3E6"/>
      </right>
      <top style="thin"/>
      <bottom style="thin">
        <color rgb="FF9EC3E6"/>
      </bottom>
    </border>
    <border>
      <left style="medium"/>
      <right style="thin">
        <color rgb="FF9EC3E6"/>
      </right>
      <top/>
      <bottom/>
    </border>
    <border>
      <left/>
      <right style="thin"/>
      <top style="thin"/>
      <bottom style="medium"/>
    </border>
    <border>
      <left style="thin"/>
      <right/>
      <top style="thin"/>
      <bottom style="medium"/>
    </border>
    <border>
      <left/>
      <right style="medium"/>
      <top/>
      <bottom/>
    </border>
    <border>
      <left/>
      <right style="thin"/>
      <top/>
      <bottom style="thin"/>
    </border>
    <border>
      <left/>
      <right/>
      <top/>
      <bottom style="thin"/>
    </border>
    <border>
      <left style="thin"/>
      <right style="thin"/>
      <top/>
      <bottom style="thin"/>
    </border>
    <border>
      <left/>
      <right style="thin"/>
      <top/>
      <bottom/>
    </border>
    <border>
      <left style="thin"/>
      <right style="thin"/>
      <top/>
      <bottom/>
    </border>
    <border>
      <left/>
      <right style="thin"/>
      <top style="thin"/>
      <bottom/>
    </border>
    <border>
      <left/>
      <right/>
      <top style="thin"/>
      <bottom/>
    </border>
    <border>
      <left style="thin"/>
      <right style="thin"/>
      <top style="thin"/>
      <bottom/>
    </border>
    <border>
      <left/>
      <right style="medium"/>
      <top/>
      <bottom style="double"/>
    </border>
    <border>
      <left style="medium"/>
      <right style="medium"/>
      <top style="medium"/>
      <bottom style="medium"/>
    </border>
    <border>
      <left/>
      <right style="medium"/>
      <top/>
      <bottom style="medium">
        <color indexed="8"/>
      </bottom>
    </border>
    <border>
      <left style="medium"/>
      <right style="medium"/>
      <top/>
      <bottom style="double"/>
    </border>
    <border>
      <left style="medium"/>
      <right style="medium"/>
      <top/>
      <bottom style="medium"/>
    </border>
    <border>
      <left/>
      <right style="medium"/>
      <top style="medium"/>
      <bottom style="medium"/>
    </border>
    <border>
      <left style="thin"/>
      <right/>
      <top style="medium"/>
      <bottom style="thin"/>
    </border>
    <border>
      <left style="thin"/>
      <right style="medium"/>
      <top style="medium"/>
      <bottom style="thin"/>
    </border>
    <border>
      <left/>
      <right style="thin"/>
      <top style="medium"/>
      <bottom style="thin"/>
    </border>
    <border>
      <left style="medium"/>
      <right style="medium"/>
      <top style="medium"/>
      <bottom style="thin"/>
    </border>
    <border>
      <left/>
      <right/>
      <top style="thin">
        <color rgb="FF9EC3E6"/>
      </top>
      <bottom style="thin">
        <color rgb="FFBDD7EE"/>
      </bottom>
    </border>
    <border>
      <left style="medium"/>
      <right style="thin">
        <color rgb="FF9EC3E6"/>
      </right>
      <top style="thin">
        <color rgb="FF9EC3E6"/>
      </top>
      <bottom style="thin">
        <color rgb="FFBDD7EE"/>
      </bottom>
    </border>
    <border>
      <left/>
      <right/>
      <top/>
      <bottom style="thin">
        <color rgb="FFBDD7EE"/>
      </bottom>
    </border>
    <border>
      <left style="thin">
        <color rgb="FF9EC3E6"/>
      </left>
      <right style="thin"/>
      <top style="thin">
        <color rgb="FF9EC3E6"/>
      </top>
      <bottom style="thin">
        <color rgb="FFBDD7EE"/>
      </bottom>
    </border>
    <border>
      <left style="medium"/>
      <right style="thin">
        <color rgb="FF9EC3E6"/>
      </right>
      <top/>
      <bottom style="thin">
        <color rgb="FFBDD7EE"/>
      </bottom>
    </border>
    <border>
      <left style="thin">
        <color rgb="FF9EC3E6"/>
      </left>
      <right style="thin"/>
      <top/>
      <bottom style="thin">
        <color rgb="FFBDD7EE"/>
      </bottom>
    </border>
    <border>
      <left style="medium"/>
      <right style="thin">
        <color rgb="FF9EC3E6"/>
      </right>
      <top style="thin">
        <color rgb="FFBDD7EE"/>
      </top>
      <bottom style="thin">
        <color rgb="FFBDD7EE"/>
      </bottom>
    </border>
    <border>
      <left/>
      <right/>
      <top style="thin">
        <color rgb="FFBDD7EE"/>
      </top>
      <bottom style="thin">
        <color rgb="FFBDD7EE"/>
      </bottom>
    </border>
    <border>
      <left style="thin">
        <color rgb="FF9EC3E6"/>
      </left>
      <right style="thin"/>
      <top style="thin">
        <color rgb="FFBDD7EE"/>
      </top>
      <bottom style="thin">
        <color rgb="FFBDD7EE"/>
      </bottom>
    </border>
    <border>
      <left style="medium"/>
      <right style="thin">
        <color rgb="FF9EC3E6"/>
      </right>
      <top style="thin">
        <color rgb="FFBDD7EE"/>
      </top>
      <bottom style="medium"/>
    </border>
    <border>
      <left/>
      <right/>
      <top style="thin">
        <color rgb="FFBDD7EE"/>
      </top>
      <bottom style="medium"/>
    </border>
    <border>
      <left/>
      <right/>
      <top/>
      <bottom style="medium"/>
    </border>
    <border>
      <left style="thin">
        <color rgb="FF9EC3E6"/>
      </left>
      <right style="thin"/>
      <top style="thin">
        <color rgb="FFBDD7EE"/>
      </top>
      <bottom style="medium"/>
    </border>
    <border>
      <left style="medium"/>
      <right style="thin">
        <color rgb="FF9EC3E6"/>
      </right>
      <top/>
      <bottom style="thin">
        <color rgb="FF9EC3E6"/>
      </bottom>
    </border>
    <border>
      <left/>
      <right style="thin">
        <color rgb="FF9EC3E6"/>
      </right>
      <top/>
      <bottom style="thin">
        <color rgb="FF9EC3E6"/>
      </bottom>
    </border>
    <border>
      <left style="thin">
        <color rgb="FF9EC3E6"/>
      </left>
      <right style="thin">
        <color rgb="FF9EC3E6"/>
      </right>
      <top/>
      <bottom style="thin">
        <color rgb="FF9EC3E6"/>
      </bottom>
    </border>
    <border>
      <left style="thin"/>
      <right/>
      <top/>
      <bottom style="thin"/>
    </border>
    <border>
      <left style="medium"/>
      <right style="medium"/>
      <top style="thin"/>
      <bottom style="thin"/>
    </border>
    <border>
      <left style="medium"/>
      <right style="medium"/>
      <top/>
      <bottom style="thin"/>
    </border>
    <border>
      <left style="medium"/>
      <right style="medium"/>
      <top style="thin"/>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border>
    <border>
      <left/>
      <right/>
      <top style="thin"/>
      <bottom style="thin"/>
    </border>
    <border>
      <left/>
      <right style="medium"/>
      <top style="thin"/>
      <bottom style="thin"/>
    </border>
    <border>
      <left/>
      <right/>
      <top/>
      <bottom style="double"/>
    </border>
    <border>
      <left style="medium"/>
      <right style="thin"/>
      <top style="medium"/>
      <bottom style="medium"/>
    </border>
    <border>
      <left style="medium"/>
      <right style="thin">
        <color rgb="FF9EC3E6"/>
      </right>
      <top style="medium"/>
      <bottom style="thin">
        <color rgb="FF9EC3E6"/>
      </bottom>
    </border>
    <border>
      <left style="medium"/>
      <right style="thin">
        <color rgb="FF9EC3E6"/>
      </right>
      <top/>
      <bottom style="medium"/>
    </border>
    <border>
      <left style="medium"/>
      <right/>
      <top style="medium"/>
      <bottom style="medium"/>
    </border>
    <border>
      <left style="medium"/>
      <right/>
      <top style="medium"/>
      <bottom style="thin">
        <color rgb="FF9EC3E6"/>
      </bottom>
    </border>
    <border>
      <left style="medium"/>
      <right/>
      <top/>
      <bottom style="medium"/>
    </border>
    <border>
      <left style="thin"/>
      <right style="thin"/>
      <top style="medium"/>
      <bottom/>
    </border>
    <border>
      <left style="medium"/>
      <right/>
      <top/>
      <bottom/>
    </border>
    <border>
      <left style="thin"/>
      <right style="medium"/>
      <top/>
      <bottom style="thin"/>
    </border>
    <border>
      <left style="thin"/>
      <right style="medium"/>
      <top style="thin"/>
      <bottom/>
    </border>
    <border>
      <left style="medium"/>
      <right style="thin"/>
      <top style="thin"/>
      <bottom/>
    </border>
    <border>
      <left style="medium"/>
      <right style="medium"/>
      <top style="medium"/>
      <bottom/>
    </border>
    <border>
      <left style="thin"/>
      <right style="medium"/>
      <top/>
      <bottom/>
    </border>
    <border>
      <left style="medium"/>
      <right style="thin">
        <color rgb="FF9EC3E6"/>
      </right>
      <top style="thin">
        <color rgb="FFBDD7EE"/>
      </top>
      <bottom/>
    </border>
    <border>
      <left style="thin">
        <color rgb="FF9EC3E6"/>
      </left>
      <right style="thin"/>
      <top style="thin">
        <color rgb="FFBDD7EE"/>
      </top>
      <bottom/>
    </border>
    <border>
      <left style="thin">
        <color rgb="FF9EC3E6"/>
      </left>
      <right style="thin"/>
      <top/>
      <bottom/>
    </border>
    <border>
      <left style="medium"/>
      <right style="medium"/>
      <top/>
      <bottom/>
    </border>
    <border>
      <left style="thin">
        <color rgb="FF9EC3E6"/>
      </left>
      <right style="thin"/>
      <top style="thin">
        <color rgb="FF9EC3E6"/>
      </top>
      <bottom/>
    </border>
    <border>
      <left style="thin"/>
      <right/>
      <top style="thin"/>
      <bottom/>
    </border>
    <border>
      <left/>
      <right/>
      <top style="medium"/>
      <bottom/>
    </border>
    <border>
      <left/>
      <right style="medium"/>
      <top style="medium"/>
      <bottom/>
    </border>
    <border>
      <left style="medium"/>
      <right/>
      <top style="medium"/>
      <bottom/>
    </border>
    <border>
      <left style="medium"/>
      <right style="medium"/>
      <top style="medium">
        <color indexed="8"/>
      </top>
      <bottom/>
    </border>
    <border>
      <left/>
      <right/>
      <top style="medium"/>
      <bottom style="medium"/>
    </border>
    <border>
      <left style="medium"/>
      <right style="medium"/>
      <top style="double"/>
      <bottom/>
    </border>
    <border>
      <left/>
      <right style="medium">
        <color indexed="8"/>
      </right>
      <top style="medium"/>
      <bottom style="medium"/>
    </border>
    <border>
      <left/>
      <right style="medium">
        <color indexed="8"/>
      </right>
      <top style="medium"/>
      <bottom/>
    </border>
    <border>
      <left style="medium"/>
      <right/>
      <top style="medium"/>
      <bottom style="medium">
        <color indexed="8"/>
      </bottom>
    </border>
    <border>
      <left/>
      <right style="medium"/>
      <top style="medium"/>
      <bottom style="medium">
        <color indexed="8"/>
      </bottom>
    </border>
    <border>
      <left/>
      <right/>
      <top style="medium"/>
      <bottom style="medium">
        <color indexed="8"/>
      </bottom>
    </border>
    <border>
      <left/>
      <right style="medium">
        <color indexed="8"/>
      </right>
      <top style="medium"/>
      <bottom style="medium">
        <color indexed="8"/>
      </bottom>
    </border>
    <border>
      <left style="medium">
        <color indexed="8"/>
      </left>
      <right/>
      <top style="medium"/>
      <bottom style="medium">
        <color indexed="8"/>
      </bottom>
    </border>
    <border>
      <left style="medium"/>
      <right style="medium"/>
      <top/>
      <bottom style="medium">
        <color indexed="8"/>
      </bottom>
    </border>
    <border>
      <left style="medium"/>
      <right/>
      <top style="medium"/>
      <bottom style="double"/>
    </border>
    <border>
      <left/>
      <right style="medium"/>
      <top style="medium"/>
      <bottom style="double"/>
    </border>
    <border>
      <left/>
      <right style="medium">
        <color indexed="8"/>
      </right>
      <top/>
      <bottom/>
    </border>
    <border>
      <left style="medium"/>
      <right/>
      <top/>
      <bottom style="medium">
        <color indexed="8"/>
      </bottom>
    </border>
    <border>
      <left/>
      <right/>
      <top/>
      <bottom style="medium">
        <color indexed="8"/>
      </bottom>
    </border>
    <border>
      <left/>
      <right style="medium">
        <color indexed="8"/>
      </right>
      <top/>
      <bottom style="medium">
        <color indexed="8"/>
      </bottom>
    </border>
    <border>
      <left style="medium"/>
      <right/>
      <top style="medium">
        <color indexed="8"/>
      </top>
      <bottom/>
    </border>
    <border>
      <left/>
      <right/>
      <top style="medium">
        <color indexed="8"/>
      </top>
      <bottom/>
    </border>
    <border>
      <left/>
      <right style="medium"/>
      <top style="medium">
        <color indexed="8"/>
      </top>
      <bottom/>
    </border>
    <border>
      <left style="medium"/>
      <right/>
      <top/>
      <bottom style="double"/>
    </border>
    <border>
      <left/>
      <right style="medium">
        <color indexed="8"/>
      </right>
      <top/>
      <bottom style="double"/>
    </border>
    <border>
      <left style="medium">
        <color indexed="8"/>
      </left>
      <right/>
      <top style="medium"/>
      <bottom style="medium"/>
    </border>
    <border>
      <left style="medium">
        <color indexed="8"/>
      </left>
      <right/>
      <top style="medium"/>
      <bottom/>
    </border>
    <border>
      <left style="medium">
        <color indexed="8"/>
      </left>
      <right/>
      <top style="medium"/>
      <bottom style="double"/>
    </border>
    <border>
      <left/>
      <right style="medium">
        <color indexed="8"/>
      </right>
      <top style="medium"/>
      <bottom style="double"/>
    </border>
    <border>
      <left/>
      <right style="medium">
        <color indexed="8"/>
      </right>
      <top/>
      <bottom style="medium"/>
    </border>
    <border>
      <left style="thin"/>
      <right style="thin"/>
      <top style="medium"/>
      <bottom style="medium"/>
    </border>
    <border>
      <left style="thin"/>
      <right/>
      <top/>
      <bottom/>
    </border>
    <border>
      <left style="medium"/>
      <right/>
      <top style="thin"/>
      <bottom style="thin"/>
    </border>
    <border>
      <left style="medium"/>
      <right style="thin"/>
      <top/>
      <bottom style="thin"/>
    </border>
    <border>
      <left/>
      <right style="medium"/>
      <top style="medium"/>
      <bottom style="thin"/>
    </border>
    <border>
      <left style="medium"/>
      <right style="thin"/>
      <top style="medium"/>
      <bottom/>
    </border>
    <border>
      <left style="medium"/>
      <right/>
      <top style="medium"/>
      <bottom style="thin"/>
    </border>
    <border>
      <left/>
      <right/>
      <top style="medium"/>
      <bottom style="thin"/>
    </border>
    <border>
      <left style="thin"/>
      <right style="medium"/>
      <top/>
      <bottom style="medium"/>
    </border>
    <border>
      <left style="thin"/>
      <right style="thin"/>
      <top/>
      <bottom style="medium"/>
    </border>
    <border>
      <left style="medium"/>
      <right/>
      <top style="thin"/>
      <bottom/>
    </border>
    <border>
      <left style="medium"/>
      <right/>
      <top/>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 fillId="0" borderId="0">
      <alignment/>
      <protection/>
    </xf>
    <xf numFmtId="0" fontId="20" fillId="0" borderId="0">
      <alignment/>
      <protection/>
    </xf>
    <xf numFmtId="166" fontId="20" fillId="0" borderId="0" applyBorder="0" applyProtection="0">
      <alignment/>
    </xf>
    <xf numFmtId="171" fontId="20" fillId="0" borderId="0" applyBorder="0" applyProtection="0">
      <alignment/>
    </xf>
    <xf numFmtId="0" fontId="33" fillId="0" borderId="0" applyBorder="0" applyProtection="0">
      <alignment/>
    </xf>
    <xf numFmtId="43" fontId="0" fillId="0" borderId="0" applyFont="0" applyFill="0" applyBorder="0" applyAlignment="0" applyProtection="0"/>
    <xf numFmtId="0" fontId="20" fillId="0" borderId="0">
      <alignment/>
      <protection/>
    </xf>
  </cellStyleXfs>
  <cellXfs count="1667">
    <xf numFmtId="0" fontId="0" fillId="0" borderId="0" xfId="0"/>
    <xf numFmtId="0" fontId="9" fillId="0" borderId="0" xfId="0" applyFont="1"/>
    <xf numFmtId="0" fontId="0" fillId="0" borderId="0" xfId="0" applyAlignment="1">
      <alignment/>
    </xf>
    <xf numFmtId="0" fontId="2" fillId="2" borderId="1" xfId="0" applyFont="1" applyFill="1" applyBorder="1" applyAlignment="1">
      <alignment horizontal="right" wrapText="1"/>
    </xf>
    <xf numFmtId="4" fontId="2" fillId="2" borderId="1" xfId="0" applyNumberFormat="1" applyFont="1" applyFill="1" applyBorder="1" applyAlignment="1">
      <alignment horizontal="right" wrapText="1"/>
    </xf>
    <xf numFmtId="0" fontId="0" fillId="0" borderId="0" xfId="0" applyAlignment="1">
      <alignment vertical="center"/>
    </xf>
    <xf numFmtId="0" fontId="12" fillId="3" borderId="0" xfId="0" applyFont="1" applyFill="1"/>
    <xf numFmtId="4" fontId="3" fillId="4" borderId="2" xfId="0" applyNumberFormat="1" applyFont="1" applyFill="1" applyBorder="1" applyAlignment="1">
      <alignment wrapText="1"/>
    </xf>
    <xf numFmtId="165" fontId="3" fillId="0" borderId="1" xfId="20" applyNumberFormat="1" applyFont="1" applyFill="1" applyBorder="1" applyAlignment="1" applyProtection="1">
      <alignment horizontal="right"/>
      <protection/>
    </xf>
    <xf numFmtId="0" fontId="14" fillId="3" borderId="0" xfId="0" applyFont="1" applyFill="1" applyAlignment="1">
      <alignment wrapText="1"/>
    </xf>
    <xf numFmtId="0" fontId="17" fillId="5" borderId="3" xfId="0" applyFont="1" applyFill="1" applyBorder="1" applyAlignment="1">
      <alignment horizontal="center" vertical="center"/>
    </xf>
    <xf numFmtId="43" fontId="12" fillId="6" borderId="1" xfId="20" applyFont="1" applyFill="1" applyBorder="1" applyAlignment="1" applyProtection="1">
      <alignment horizontal="right" vertical="top" wrapText="1"/>
      <protection/>
    </xf>
    <xf numFmtId="43" fontId="12" fillId="3" borderId="1" xfId="20" applyFont="1" applyFill="1" applyBorder="1" applyAlignment="1" applyProtection="1">
      <alignment/>
      <protection/>
    </xf>
    <xf numFmtId="43" fontId="13" fillId="7" borderId="0" xfId="20" applyFont="1" applyFill="1" applyBorder="1" applyAlignment="1" applyProtection="1">
      <alignment/>
      <protection/>
    </xf>
    <xf numFmtId="0" fontId="12" fillId="3" borderId="0" xfId="0" applyFont="1" applyFill="1" applyAlignment="1">
      <alignment wrapText="1"/>
    </xf>
    <xf numFmtId="43" fontId="12" fillId="3" borderId="0" xfId="20" applyFont="1" applyFill="1" applyBorder="1" applyAlignment="1" applyProtection="1">
      <alignment/>
      <protection/>
    </xf>
    <xf numFmtId="0" fontId="12" fillId="7" borderId="0" xfId="0" applyFont="1" applyFill="1" applyBorder="1"/>
    <xf numFmtId="0" fontId="17" fillId="5" borderId="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5" xfId="0" applyFont="1" applyFill="1" applyBorder="1" applyAlignment="1">
      <alignment horizontal="center" vertical="center"/>
    </xf>
    <xf numFmtId="4" fontId="2" fillId="4" borderId="2" xfId="0" applyNumberFormat="1" applyFont="1" applyFill="1" applyBorder="1" applyAlignment="1">
      <alignment wrapText="1"/>
    </xf>
    <xf numFmtId="43" fontId="14" fillId="3" borderId="1" xfId="20" applyFont="1" applyFill="1" applyBorder="1" applyAlignment="1" applyProtection="1">
      <alignment/>
      <protection/>
    </xf>
    <xf numFmtId="0" fontId="21" fillId="3" borderId="0" xfId="24" applyFont="1" applyFill="1">
      <alignment/>
      <protection/>
    </xf>
    <xf numFmtId="0" fontId="23" fillId="3" borderId="0" xfId="24" applyFont="1" applyFill="1" applyAlignment="1">
      <alignment wrapText="1"/>
      <protection/>
    </xf>
    <xf numFmtId="0" fontId="20" fillId="0" borderId="0" xfId="24">
      <alignment/>
      <protection/>
    </xf>
    <xf numFmtId="43" fontId="14" fillId="6" borderId="1" xfId="20" applyFont="1" applyFill="1" applyBorder="1" applyAlignment="1" applyProtection="1">
      <alignment horizontal="right" vertical="top" wrapText="1"/>
      <protection/>
    </xf>
    <xf numFmtId="43" fontId="24" fillId="3" borderId="1" xfId="20" applyFont="1" applyFill="1" applyBorder="1" applyAlignment="1" applyProtection="1">
      <alignment/>
      <protection/>
    </xf>
    <xf numFmtId="0" fontId="18" fillId="3" borderId="6" xfId="0" applyFont="1" applyFill="1" applyBorder="1" applyAlignment="1">
      <alignment horizontal="left" vertical="center"/>
    </xf>
    <xf numFmtId="0" fontId="19" fillId="3" borderId="6" xfId="0" applyFont="1" applyFill="1" applyBorder="1" applyAlignment="1">
      <alignment horizontal="left" vertical="center"/>
    </xf>
    <xf numFmtId="0" fontId="12" fillId="3" borderId="6" xfId="0" applyFont="1" applyFill="1" applyBorder="1" applyAlignment="1">
      <alignment horizontal="left" vertical="center"/>
    </xf>
    <xf numFmtId="0" fontId="8" fillId="3" borderId="6" xfId="0" applyFont="1" applyFill="1" applyBorder="1" applyAlignment="1">
      <alignment horizontal="left" vertical="center"/>
    </xf>
    <xf numFmtId="43" fontId="12" fillId="6" borderId="7" xfId="20" applyFont="1" applyFill="1" applyBorder="1" applyAlignment="1" applyProtection="1">
      <alignment horizontal="right" vertical="top" wrapText="1"/>
      <protection/>
    </xf>
    <xf numFmtId="43" fontId="12" fillId="6" borderId="8" xfId="20" applyFont="1" applyFill="1" applyBorder="1" applyAlignment="1" applyProtection="1">
      <alignment horizontal="right" vertical="top" wrapText="1"/>
      <protection/>
    </xf>
    <xf numFmtId="43" fontId="12" fillId="6" borderId="9" xfId="20" applyFont="1" applyFill="1" applyBorder="1" applyAlignment="1" applyProtection="1">
      <alignment horizontal="right" vertical="top" wrapText="1"/>
      <protection/>
    </xf>
    <xf numFmtId="43" fontId="14" fillId="3" borderId="9" xfId="20" applyFont="1" applyFill="1" applyBorder="1" applyAlignment="1" applyProtection="1">
      <alignment/>
      <protection/>
    </xf>
    <xf numFmtId="43" fontId="24" fillId="3" borderId="9" xfId="20" applyFont="1" applyFill="1" applyBorder="1" applyAlignment="1" applyProtection="1">
      <alignment/>
      <protection/>
    </xf>
    <xf numFmtId="43" fontId="12" fillId="3" borderId="9" xfId="20" applyFont="1" applyFill="1" applyBorder="1" applyAlignment="1" applyProtection="1">
      <alignment/>
      <protection/>
    </xf>
    <xf numFmtId="43" fontId="14" fillId="6" borderId="8" xfId="20" applyFont="1" applyFill="1" applyBorder="1" applyAlignment="1" applyProtection="1">
      <alignment horizontal="right" vertical="top" wrapText="1"/>
      <protection/>
    </xf>
    <xf numFmtId="43" fontId="14" fillId="6" borderId="9" xfId="20" applyFont="1" applyFill="1" applyBorder="1" applyAlignment="1" applyProtection="1">
      <alignment horizontal="right" vertical="top" wrapText="1"/>
      <protection/>
    </xf>
    <xf numFmtId="43" fontId="14" fillId="3" borderId="8" xfId="20" applyFont="1" applyFill="1" applyBorder="1" applyAlignment="1" applyProtection="1">
      <alignment/>
      <protection/>
    </xf>
    <xf numFmtId="43" fontId="14" fillId="6" borderId="10" xfId="20" applyFont="1" applyFill="1" applyBorder="1" applyAlignment="1" applyProtection="1">
      <alignment horizontal="right" vertical="top" wrapText="1"/>
      <protection/>
    </xf>
    <xf numFmtId="43" fontId="14" fillId="3" borderId="11" xfId="20" applyFont="1" applyFill="1" applyBorder="1" applyAlignment="1" applyProtection="1">
      <alignment/>
      <protection/>
    </xf>
    <xf numFmtId="43" fontId="14" fillId="6" borderId="12" xfId="20" applyFont="1" applyFill="1" applyBorder="1" applyAlignment="1" applyProtection="1">
      <alignment horizontal="right" vertical="top" wrapText="1"/>
      <protection/>
    </xf>
    <xf numFmtId="43" fontId="12" fillId="6" borderId="6" xfId="20" applyFont="1" applyFill="1" applyBorder="1" applyAlignment="1" applyProtection="1">
      <alignment horizontal="right" vertical="top" wrapText="1"/>
      <protection/>
    </xf>
    <xf numFmtId="0" fontId="17" fillId="5" borderId="13" xfId="0" applyFont="1" applyFill="1" applyBorder="1" applyAlignment="1">
      <alignment horizontal="center" vertical="center"/>
    </xf>
    <xf numFmtId="0" fontId="17" fillId="5" borderId="14" xfId="0" applyFont="1" applyFill="1" applyBorder="1" applyAlignment="1">
      <alignment horizontal="center" vertical="center"/>
    </xf>
    <xf numFmtId="43" fontId="12" fillId="6" borderId="15" xfId="20" applyFont="1" applyFill="1" applyBorder="1" applyAlignment="1" applyProtection="1">
      <alignment horizontal="right" vertical="top" wrapText="1"/>
      <protection/>
    </xf>
    <xf numFmtId="43" fontId="12" fillId="6" borderId="11" xfId="20" applyFont="1" applyFill="1" applyBorder="1" applyAlignment="1" applyProtection="1">
      <alignment horizontal="right" vertical="top" wrapText="1"/>
      <protection/>
    </xf>
    <xf numFmtId="43" fontId="12" fillId="6" borderId="16" xfId="20" applyFont="1" applyFill="1" applyBorder="1" applyAlignment="1" applyProtection="1">
      <alignment horizontal="right" vertical="top" wrapText="1"/>
      <protection/>
    </xf>
    <xf numFmtId="43" fontId="18" fillId="3" borderId="1" xfId="20" applyFont="1" applyFill="1" applyBorder="1" applyAlignment="1">
      <alignment/>
    </xf>
    <xf numFmtId="43" fontId="18" fillId="3" borderId="7" xfId="20" applyFont="1" applyFill="1" applyBorder="1" applyAlignment="1">
      <alignment/>
    </xf>
    <xf numFmtId="43" fontId="12" fillId="3" borderId="17" xfId="20" applyFont="1" applyFill="1" applyBorder="1"/>
    <xf numFmtId="43" fontId="18" fillId="3" borderId="8" xfId="20" applyFont="1" applyFill="1" applyBorder="1" applyAlignment="1">
      <alignment/>
    </xf>
    <xf numFmtId="43" fontId="18" fillId="3" borderId="9" xfId="20" applyFont="1" applyFill="1" applyBorder="1" applyAlignment="1">
      <alignment/>
    </xf>
    <xf numFmtId="43" fontId="12" fillId="0" borderId="1" xfId="20" applyFont="1" applyFill="1" applyBorder="1" applyAlignment="1" applyProtection="1">
      <alignment horizontal="right" vertical="top" wrapText="1"/>
      <protection/>
    </xf>
    <xf numFmtId="0" fontId="12" fillId="0" borderId="6" xfId="0" applyFont="1" applyFill="1" applyBorder="1" applyAlignment="1">
      <alignment horizontal="left" vertical="center"/>
    </xf>
    <xf numFmtId="0" fontId="14" fillId="8" borderId="0" xfId="0" applyFont="1" applyFill="1" applyBorder="1" applyAlignment="1">
      <alignment horizontal="center"/>
    </xf>
    <xf numFmtId="0" fontId="12" fillId="0" borderId="0" xfId="0" applyFont="1" applyFill="1" applyBorder="1"/>
    <xf numFmtId="0" fontId="19" fillId="0" borderId="6" xfId="0" applyFont="1" applyFill="1" applyBorder="1" applyAlignment="1">
      <alignment horizontal="left" vertical="center"/>
    </xf>
    <xf numFmtId="0" fontId="8" fillId="0" borderId="6" xfId="0" applyFont="1" applyFill="1" applyBorder="1" applyAlignment="1">
      <alignment horizontal="left" vertical="center"/>
    </xf>
    <xf numFmtId="0" fontId="12" fillId="3" borderId="0" xfId="24" applyFont="1" applyFill="1">
      <alignment/>
      <protection/>
    </xf>
    <xf numFmtId="0" fontId="8" fillId="3" borderId="0" xfId="24" applyFont="1" applyFill="1">
      <alignment/>
      <protection/>
    </xf>
    <xf numFmtId="0" fontId="13" fillId="3" borderId="0" xfId="24" applyFont="1" applyFill="1" applyAlignment="1">
      <alignment vertical="top" wrapText="1"/>
      <protection/>
    </xf>
    <xf numFmtId="49" fontId="12" fillId="3" borderId="0" xfId="24" applyNumberFormat="1" applyFont="1" applyFill="1">
      <alignment/>
      <protection/>
    </xf>
    <xf numFmtId="0" fontId="27" fillId="3" borderId="0" xfId="24" applyFont="1" applyFill="1">
      <alignment/>
      <protection/>
    </xf>
    <xf numFmtId="0" fontId="12" fillId="3" borderId="0" xfId="24" applyFont="1" applyFill="1" applyBorder="1">
      <alignment/>
      <protection/>
    </xf>
    <xf numFmtId="0" fontId="13" fillId="3" borderId="0" xfId="24" applyFont="1" applyFill="1" applyBorder="1" applyAlignment="1">
      <alignment vertical="top" wrapText="1"/>
      <protection/>
    </xf>
    <xf numFmtId="0" fontId="13" fillId="3" borderId="0" xfId="24" applyFont="1" applyFill="1" applyBorder="1" applyAlignment="1">
      <alignment vertical="top"/>
      <protection/>
    </xf>
    <xf numFmtId="0" fontId="20" fillId="3" borderId="0" xfId="24" applyFont="1" applyFill="1">
      <alignment/>
      <protection/>
    </xf>
    <xf numFmtId="0" fontId="12" fillId="3" borderId="18" xfId="24" applyFont="1" applyFill="1" applyBorder="1">
      <alignment/>
      <protection/>
    </xf>
    <xf numFmtId="0" fontId="12" fillId="3" borderId="19" xfId="24" applyFont="1" applyFill="1" applyBorder="1">
      <alignment/>
      <protection/>
    </xf>
    <xf numFmtId="0" fontId="12" fillId="9" borderId="20" xfId="24" applyFont="1" applyFill="1" applyBorder="1">
      <alignment/>
      <protection/>
    </xf>
    <xf numFmtId="0" fontId="12" fillId="3" borderId="21" xfId="24" applyFont="1" applyFill="1" applyBorder="1">
      <alignment/>
      <protection/>
    </xf>
    <xf numFmtId="0" fontId="12" fillId="10" borderId="22" xfId="24" applyFont="1" applyFill="1" applyBorder="1">
      <alignment/>
      <protection/>
    </xf>
    <xf numFmtId="0" fontId="8" fillId="3" borderId="0" xfId="24" applyFont="1" applyFill="1" applyBorder="1">
      <alignment/>
      <protection/>
    </xf>
    <xf numFmtId="0" fontId="12" fillId="11" borderId="22" xfId="24" applyFont="1" applyFill="1" applyBorder="1">
      <alignment/>
      <protection/>
    </xf>
    <xf numFmtId="0" fontId="28" fillId="3" borderId="0" xfId="24" applyFont="1" applyFill="1" applyBorder="1">
      <alignment/>
      <protection/>
    </xf>
    <xf numFmtId="0" fontId="29" fillId="12" borderId="22" xfId="24" applyFont="1" applyFill="1" applyBorder="1">
      <alignment/>
      <protection/>
    </xf>
    <xf numFmtId="0" fontId="12" fillId="13" borderId="22" xfId="24" applyFont="1" applyFill="1" applyBorder="1">
      <alignment/>
      <protection/>
    </xf>
    <xf numFmtId="0" fontId="12" fillId="3" borderId="23" xfId="24" applyFont="1" applyFill="1" applyBorder="1">
      <alignment/>
      <protection/>
    </xf>
    <xf numFmtId="0" fontId="12" fillId="3" borderId="24" xfId="24" applyFont="1" applyFill="1" applyBorder="1">
      <alignment/>
      <protection/>
    </xf>
    <xf numFmtId="0" fontId="8" fillId="3" borderId="24" xfId="24" applyFont="1" applyFill="1" applyBorder="1">
      <alignment/>
      <protection/>
    </xf>
    <xf numFmtId="0" fontId="12" fillId="14" borderId="25" xfId="24" applyFont="1" applyFill="1" applyBorder="1">
      <alignment/>
      <protection/>
    </xf>
    <xf numFmtId="0" fontId="30" fillId="15" borderId="25" xfId="24" applyFont="1" applyFill="1" applyBorder="1">
      <alignment/>
      <protection/>
    </xf>
    <xf numFmtId="0" fontId="31" fillId="3" borderId="0" xfId="24" applyFont="1" applyFill="1">
      <alignment/>
      <protection/>
    </xf>
    <xf numFmtId="0" fontId="20" fillId="0" borderId="0" xfId="24" applyFont="1">
      <alignment/>
      <protection/>
    </xf>
    <xf numFmtId="0" fontId="12" fillId="3" borderId="0" xfId="24" applyFont="1" applyFill="1" applyBorder="1" applyAlignment="1">
      <alignment horizontal="left"/>
      <protection/>
    </xf>
    <xf numFmtId="0" fontId="12" fillId="3" borderId="0" xfId="24" applyFont="1" applyFill="1" applyBorder="1" applyAlignment="1">
      <alignment vertical="top"/>
      <protection/>
    </xf>
    <xf numFmtId="0" fontId="12" fillId="3" borderId="0" xfId="24" applyFont="1" applyFill="1" applyBorder="1" applyAlignment="1">
      <alignment/>
      <protection/>
    </xf>
    <xf numFmtId="0" fontId="32" fillId="3" borderId="0" xfId="24" applyFont="1" applyFill="1" applyBorder="1">
      <alignment/>
      <protection/>
    </xf>
    <xf numFmtId="0" fontId="12" fillId="3" borderId="0" xfId="24" applyFont="1" applyFill="1" applyAlignment="1">
      <alignment vertical="center" wrapText="1"/>
      <protection/>
    </xf>
    <xf numFmtId="0" fontId="33" fillId="3" borderId="0" xfId="27" applyFont="1" applyFill="1" applyBorder="1" applyAlignment="1" applyProtection="1">
      <alignment horizontal="left" vertical="top" wrapText="1"/>
      <protection/>
    </xf>
    <xf numFmtId="0" fontId="8" fillId="3" borderId="0" xfId="24" applyFont="1" applyFill="1" applyAlignment="1">
      <alignment horizontal="left" wrapText="1"/>
      <protection/>
    </xf>
    <xf numFmtId="0" fontId="8" fillId="3" borderId="0" xfId="24" applyFont="1" applyFill="1" applyAlignment="1">
      <alignment wrapText="1"/>
      <protection/>
    </xf>
    <xf numFmtId="0" fontId="36" fillId="3" borderId="0" xfId="24" applyFont="1" applyFill="1">
      <alignment/>
      <protection/>
    </xf>
    <xf numFmtId="0" fontId="13" fillId="3" borderId="0" xfId="24" applyFont="1" applyFill="1">
      <alignment/>
      <protection/>
    </xf>
    <xf numFmtId="0" fontId="37" fillId="3" borderId="0" xfId="24" applyFont="1" applyFill="1">
      <alignment/>
      <protection/>
    </xf>
    <xf numFmtId="0" fontId="39" fillId="3" borderId="0" xfId="24" applyFont="1" applyFill="1">
      <alignment/>
      <protection/>
    </xf>
    <xf numFmtId="0" fontId="40" fillId="3" borderId="0" xfId="24" applyFont="1" applyFill="1">
      <alignment/>
      <protection/>
    </xf>
    <xf numFmtId="0" fontId="12" fillId="0" borderId="1" xfId="24" applyFont="1" applyBorder="1" applyAlignment="1">
      <alignment horizontal="left" vertical="top" wrapText="1"/>
      <protection/>
    </xf>
    <xf numFmtId="0" fontId="12" fillId="3" borderId="0" xfId="24" applyFont="1" applyFill="1" applyAlignment="1">
      <alignment horizontal="center" wrapText="1"/>
      <protection/>
    </xf>
    <xf numFmtId="0" fontId="22" fillId="8" borderId="0" xfId="24" applyFont="1" applyFill="1" applyAlignment="1">
      <alignment/>
      <protection/>
    </xf>
    <xf numFmtId="0" fontId="41" fillId="2" borderId="1" xfId="0" applyFont="1" applyFill="1" applyBorder="1" applyAlignment="1">
      <alignment horizontal="left" vertical="center"/>
    </xf>
    <xf numFmtId="0" fontId="42" fillId="0" borderId="0" xfId="0" applyFont="1"/>
    <xf numFmtId="0" fontId="41" fillId="2" borderId="6" xfId="0" applyFont="1" applyFill="1" applyBorder="1" applyAlignment="1">
      <alignment horizontal="left" vertical="center" wrapText="1"/>
    </xf>
    <xf numFmtId="0" fontId="41" fillId="2" borderId="1" xfId="0" applyFont="1" applyFill="1" applyBorder="1" applyAlignment="1">
      <alignment horizontal="center" wrapText="1"/>
    </xf>
    <xf numFmtId="0" fontId="41" fillId="2" borderId="1" xfId="0" applyFont="1" applyFill="1" applyBorder="1" applyAlignment="1">
      <alignment horizontal="center" wrapText="1"/>
    </xf>
    <xf numFmtId="165" fontId="41" fillId="2" borderId="1" xfId="20" applyNumberFormat="1" applyFont="1" applyFill="1" applyBorder="1" applyAlignment="1" applyProtection="1">
      <alignment horizontal="center" wrapText="1"/>
      <protection/>
    </xf>
    <xf numFmtId="0" fontId="44" fillId="0" borderId="1" xfId="0" applyFont="1" applyFill="1" applyBorder="1" applyAlignment="1" applyProtection="1">
      <alignment horizontal="left"/>
      <protection/>
    </xf>
    <xf numFmtId="165" fontId="44" fillId="0" borderId="1" xfId="20" applyNumberFormat="1" applyFont="1" applyFill="1" applyBorder="1" applyAlignment="1" applyProtection="1">
      <alignment horizontal="right"/>
      <protection/>
    </xf>
    <xf numFmtId="165" fontId="44" fillId="0" borderId="1" xfId="20" applyNumberFormat="1" applyFont="1" applyFill="1" applyBorder="1" applyAlignment="1" applyProtection="1">
      <alignment horizontal="right" vertical="center"/>
      <protection/>
    </xf>
    <xf numFmtId="4" fontId="42" fillId="0" borderId="0" xfId="0" applyNumberFormat="1" applyFont="1"/>
    <xf numFmtId="0" fontId="44" fillId="0" borderId="1" xfId="0" applyFont="1" applyFill="1" applyBorder="1"/>
    <xf numFmtId="0" fontId="44" fillId="0" borderId="0" xfId="0" applyFont="1" applyFill="1"/>
    <xf numFmtId="0" fontId="44" fillId="0" borderId="0" xfId="0" applyFont="1" applyFill="1" applyAlignment="1">
      <alignment vertical="center"/>
    </xf>
    <xf numFmtId="43" fontId="44" fillId="0" borderId="0" xfId="20" applyFont="1" applyFill="1" applyBorder="1" applyAlignment="1" applyProtection="1">
      <alignment/>
      <protection/>
    </xf>
    <xf numFmtId="0" fontId="44" fillId="0" borderId="0" xfId="0" applyFont="1" applyFill="1" applyAlignment="1">
      <alignment/>
    </xf>
    <xf numFmtId="4" fontId="44" fillId="0" borderId="1" xfId="20" applyNumberFormat="1" applyFont="1" applyFill="1" applyBorder="1" applyAlignment="1" applyProtection="1">
      <alignment horizontal="right"/>
      <protection/>
    </xf>
    <xf numFmtId="0" fontId="44" fillId="0" borderId="0" xfId="0" applyFont="1" applyFill="1" applyBorder="1" applyAlignment="1" applyProtection="1">
      <alignment horizontal="left"/>
      <protection/>
    </xf>
    <xf numFmtId="0" fontId="42" fillId="0" borderId="0" xfId="0" applyFont="1" applyAlignment="1">
      <alignment wrapText="1"/>
    </xf>
    <xf numFmtId="0" fontId="44" fillId="0" borderId="0" xfId="0" applyFont="1" applyFill="1" applyAlignment="1">
      <alignment vertical="top" wrapText="1"/>
    </xf>
    <xf numFmtId="0" fontId="45" fillId="2" borderId="1" xfId="0" applyFont="1" applyFill="1" applyBorder="1" applyAlignment="1">
      <alignment/>
    </xf>
    <xf numFmtId="3" fontId="41" fillId="2" borderId="1" xfId="20" applyNumberFormat="1" applyFont="1" applyFill="1" applyBorder="1" applyAlignment="1" applyProtection="1">
      <alignment horizontal="center"/>
      <protection/>
    </xf>
    <xf numFmtId="165" fontId="41" fillId="2" borderId="1" xfId="20" applyNumberFormat="1" applyFont="1" applyFill="1" applyBorder="1" applyAlignment="1" applyProtection="1">
      <alignment horizontal="right" vertical="center" wrapText="1"/>
      <protection/>
    </xf>
    <xf numFmtId="167" fontId="44" fillId="0" borderId="0" xfId="0" applyNumberFormat="1" applyFont="1" applyFill="1" applyAlignment="1">
      <alignment vertical="center"/>
    </xf>
    <xf numFmtId="4" fontId="44" fillId="0" borderId="1" xfId="20" applyNumberFormat="1" applyFont="1" applyFill="1" applyBorder="1" applyAlignment="1" applyProtection="1">
      <alignment/>
      <protection/>
    </xf>
    <xf numFmtId="168" fontId="44" fillId="0" borderId="0" xfId="0" applyNumberFormat="1" applyFont="1" applyFill="1" applyAlignment="1">
      <alignment vertical="center"/>
    </xf>
    <xf numFmtId="0" fontId="41" fillId="2" borderId="25" xfId="0" applyFont="1" applyFill="1" applyBorder="1" applyAlignment="1">
      <alignment horizontal="center" wrapText="1"/>
    </xf>
    <xf numFmtId="169" fontId="44" fillId="0" borderId="1" xfId="0" applyNumberFormat="1" applyFont="1" applyFill="1" applyBorder="1" applyAlignment="1">
      <alignment horizontal="center" vertical="center"/>
    </xf>
    <xf numFmtId="4" fontId="46" fillId="0" borderId="1" xfId="0" applyNumberFormat="1" applyFont="1" applyFill="1" applyBorder="1" applyAlignment="1">
      <alignment horizontal="right" vertical="center"/>
    </xf>
    <xf numFmtId="4" fontId="46" fillId="3" borderId="1" xfId="0" applyNumberFormat="1" applyFont="1" applyFill="1" applyBorder="1" applyAlignment="1">
      <alignment horizontal="right" vertical="center"/>
    </xf>
    <xf numFmtId="0" fontId="42" fillId="0" borderId="0" xfId="0" applyFont="1" applyAlignment="1">
      <alignment vertical="center"/>
    </xf>
    <xf numFmtId="0" fontId="41" fillId="0" borderId="0" xfId="0" applyFont="1" applyFill="1" applyBorder="1" applyAlignment="1">
      <alignment horizontal="left" vertical="center" wrapText="1"/>
    </xf>
    <xf numFmtId="0" fontId="41" fillId="2" borderId="1" xfId="0" applyFont="1" applyFill="1" applyBorder="1" applyAlignment="1">
      <alignment horizontal="right" wrapText="1"/>
    </xf>
    <xf numFmtId="4" fontId="41" fillId="2" borderId="1" xfId="0" applyNumberFormat="1" applyFont="1" applyFill="1" applyBorder="1" applyAlignment="1">
      <alignment horizontal="right" wrapText="1"/>
    </xf>
    <xf numFmtId="0" fontId="44" fillId="0" borderId="1" xfId="0" applyFont="1" applyFill="1" applyBorder="1" applyAlignment="1" applyProtection="1">
      <alignment horizontal="left" vertical="center"/>
      <protection/>
    </xf>
    <xf numFmtId="0" fontId="44" fillId="0" borderId="1" xfId="0" applyFont="1" applyFill="1" applyBorder="1" applyAlignment="1" applyProtection="1">
      <alignment horizontal="left" vertical="center" wrapText="1"/>
      <protection/>
    </xf>
    <xf numFmtId="0" fontId="42" fillId="0" borderId="0" xfId="0" applyFont="1" applyAlignment="1">
      <alignment horizontal="right"/>
    </xf>
    <xf numFmtId="0" fontId="41" fillId="16" borderId="1" xfId="0" applyFont="1" applyFill="1" applyBorder="1" applyAlignment="1">
      <alignment horizontal="center" vertical="center" wrapText="1"/>
    </xf>
    <xf numFmtId="0" fontId="47" fillId="3" borderId="1" xfId="0" applyFont="1" applyFill="1" applyBorder="1" applyAlignment="1">
      <alignment horizontal="left" vertical="center"/>
    </xf>
    <xf numFmtId="4" fontId="47" fillId="3" borderId="1" xfId="0" applyNumberFormat="1" applyFont="1" applyFill="1" applyBorder="1" applyAlignment="1">
      <alignment horizontal="right" vertical="center" wrapText="1"/>
    </xf>
    <xf numFmtId="0" fontId="46" fillId="3" borderId="1" xfId="0" applyFont="1" applyFill="1" applyBorder="1" applyAlignment="1">
      <alignment vertical="center"/>
    </xf>
    <xf numFmtId="0" fontId="42" fillId="0" borderId="1" xfId="0" applyFont="1" applyBorder="1" applyAlignment="1">
      <alignment horizontal="left" vertical="center"/>
    </xf>
    <xf numFmtId="0" fontId="42" fillId="0" borderId="1" xfId="0" applyFont="1" applyBorder="1" applyAlignment="1">
      <alignment horizontal="left" vertical="center" wrapText="1"/>
    </xf>
    <xf numFmtId="0" fontId="43" fillId="0" borderId="1" xfId="22" applyFont="1" applyBorder="1" applyAlignment="1">
      <alignment horizontal="left" vertical="center"/>
    </xf>
    <xf numFmtId="14" fontId="42" fillId="0" borderId="1" xfId="0" applyNumberFormat="1" applyFont="1" applyBorder="1" applyAlignment="1">
      <alignment horizontal="left" vertical="center"/>
    </xf>
    <xf numFmtId="165" fontId="44" fillId="0" borderId="1" xfId="20" applyNumberFormat="1" applyFont="1" applyFill="1" applyBorder="1" applyAlignment="1" applyProtection="1">
      <alignment horizontal="right"/>
      <protection/>
    </xf>
    <xf numFmtId="0" fontId="48" fillId="0" borderId="0" xfId="0" applyFont="1"/>
    <xf numFmtId="0" fontId="42" fillId="0" borderId="1" xfId="0" applyFont="1" applyFill="1" applyBorder="1" applyAlignment="1">
      <alignment horizontal="left" vertical="center"/>
    </xf>
    <xf numFmtId="0" fontId="42" fillId="0" borderId="1" xfId="0" applyFont="1" applyFill="1" applyBorder="1" applyAlignment="1">
      <alignment horizontal="left" vertical="center" wrapText="1"/>
    </xf>
    <xf numFmtId="0" fontId="43" fillId="0" borderId="1" xfId="22" applyFont="1" applyFill="1" applyBorder="1" applyAlignment="1">
      <alignment horizontal="left" vertical="center" wrapText="1"/>
    </xf>
    <xf numFmtId="0" fontId="42" fillId="0" borderId="0" xfId="0" applyFont="1" applyFill="1"/>
    <xf numFmtId="0" fontId="46" fillId="17" borderId="1" xfId="0" applyFont="1" applyFill="1" applyBorder="1" applyAlignment="1">
      <alignment horizontal="left" vertical="top" wrapText="1"/>
    </xf>
    <xf numFmtId="0" fontId="46" fillId="0" borderId="0" xfId="0" applyFont="1" applyFill="1" applyBorder="1" applyAlignment="1">
      <alignment vertical="top" wrapText="1"/>
    </xf>
    <xf numFmtId="0" fontId="43" fillId="0" borderId="1" xfId="22" applyFont="1" applyBorder="1" applyAlignment="1">
      <alignment horizontal="left" vertical="center"/>
    </xf>
    <xf numFmtId="0" fontId="43" fillId="0" borderId="0" xfId="22" applyFont="1" applyFill="1" applyBorder="1" applyAlignment="1">
      <alignment vertical="center"/>
    </xf>
    <xf numFmtId="14" fontId="42" fillId="0" borderId="1" xfId="0" applyNumberFormat="1" applyFont="1" applyBorder="1" applyAlignment="1">
      <alignment horizontal="left" vertical="center"/>
    </xf>
    <xf numFmtId="14" fontId="42" fillId="0" borderId="0" xfId="0" applyNumberFormat="1" applyFont="1" applyFill="1" applyBorder="1" applyAlignment="1">
      <alignment vertical="center"/>
    </xf>
    <xf numFmtId="0" fontId="44" fillId="3" borderId="1" xfId="0" applyFont="1" applyFill="1" applyBorder="1" applyAlignment="1" applyProtection="1">
      <alignment horizontal="left" vertical="center"/>
      <protection/>
    </xf>
    <xf numFmtId="0" fontId="44" fillId="7" borderId="1" xfId="0" applyFont="1" applyFill="1" applyBorder="1" applyAlignment="1" applyProtection="1">
      <alignment horizontal="left" vertical="center" wrapText="1"/>
      <protection/>
    </xf>
    <xf numFmtId="0" fontId="44" fillId="7" borderId="1" xfId="0" applyFont="1" applyFill="1" applyBorder="1" applyAlignment="1" applyProtection="1">
      <alignment horizontal="left" vertical="center"/>
      <protection/>
    </xf>
    <xf numFmtId="0" fontId="41" fillId="2" borderId="1" xfId="0" applyFont="1" applyFill="1" applyBorder="1" applyAlignment="1">
      <alignment horizontal="left" vertical="center" wrapText="1"/>
    </xf>
    <xf numFmtId="0" fontId="46" fillId="0" borderId="1" xfId="0" applyFont="1" applyBorder="1" applyAlignment="1">
      <alignment vertical="center"/>
    </xf>
    <xf numFmtId="0" fontId="41" fillId="2" borderId="1" xfId="0" applyFont="1" applyFill="1" applyBorder="1" applyAlignment="1">
      <alignment horizontal="center" vertical="top" wrapText="1"/>
    </xf>
    <xf numFmtId="0" fontId="41" fillId="2" borderId="1" xfId="0" applyFont="1" applyFill="1" applyBorder="1" applyAlignment="1">
      <alignment horizontal="right" vertical="top" wrapText="1"/>
    </xf>
    <xf numFmtId="4" fontId="41" fillId="2" borderId="1" xfId="0" applyNumberFormat="1" applyFont="1" applyFill="1" applyBorder="1" applyAlignment="1">
      <alignment horizontal="right" vertical="top" wrapText="1"/>
    </xf>
    <xf numFmtId="0" fontId="44" fillId="3" borderId="1" xfId="0" applyFont="1" applyFill="1" applyBorder="1" applyAlignment="1" applyProtection="1">
      <alignment horizontal="right" vertical="center"/>
      <protection/>
    </xf>
    <xf numFmtId="0" fontId="48" fillId="0" borderId="0" xfId="0" applyFont="1" applyBorder="1" applyAlignment="1">
      <alignment/>
    </xf>
    <xf numFmtId="165" fontId="44" fillId="0" borderId="0" xfId="20" applyNumberFormat="1" applyFont="1" applyFill="1" applyBorder="1" applyAlignment="1" applyProtection="1">
      <alignment horizontal="right"/>
      <protection/>
    </xf>
    <xf numFmtId="4" fontId="44" fillId="0" borderId="0" xfId="20" applyNumberFormat="1" applyFont="1" applyFill="1" applyBorder="1" applyAlignment="1" applyProtection="1">
      <alignment horizontal="right"/>
      <protection/>
    </xf>
    <xf numFmtId="165" fontId="44" fillId="0" borderId="0" xfId="20" applyNumberFormat="1" applyFont="1" applyFill="1" applyBorder="1" applyAlignment="1" applyProtection="1">
      <alignment horizontal="right" vertical="center"/>
      <protection/>
    </xf>
    <xf numFmtId="0" fontId="41" fillId="2" borderId="20" xfId="0" applyFont="1" applyFill="1" applyBorder="1" applyAlignment="1">
      <alignment horizontal="center" wrapText="1"/>
    </xf>
    <xf numFmtId="165" fontId="41" fillId="2" borderId="20" xfId="20" applyNumberFormat="1" applyFont="1" applyFill="1" applyBorder="1" applyAlignment="1" applyProtection="1">
      <alignment horizontal="right" vertical="center" wrapText="1"/>
      <protection/>
    </xf>
    <xf numFmtId="0" fontId="48" fillId="0" borderId="19" xfId="0" applyFont="1" applyBorder="1" applyAlignment="1">
      <alignment/>
    </xf>
    <xf numFmtId="0" fontId="41" fillId="2" borderId="1" xfId="0" applyFont="1" applyFill="1" applyBorder="1" applyAlignment="1">
      <alignment horizontal="left" vertical="top"/>
    </xf>
    <xf numFmtId="0" fontId="44" fillId="0" borderId="1" xfId="0" applyFont="1" applyBorder="1" applyAlignment="1">
      <alignment horizontal="left"/>
    </xf>
    <xf numFmtId="0" fontId="44" fillId="0" borderId="0" xfId="0" applyFont="1" applyBorder="1" applyAlignment="1">
      <alignment horizontal="left" vertical="top"/>
    </xf>
    <xf numFmtId="4" fontId="44" fillId="0" borderId="0" xfId="0" applyNumberFormat="1" applyFont="1" applyBorder="1" applyAlignment="1">
      <alignment horizontal="left" vertical="top"/>
    </xf>
    <xf numFmtId="0" fontId="41" fillId="0" borderId="0" xfId="0" applyFont="1" applyFill="1" applyBorder="1" applyAlignment="1" applyProtection="1">
      <alignment horizontal="left"/>
      <protection/>
    </xf>
    <xf numFmtId="169" fontId="44" fillId="18" borderId="1" xfId="0" applyNumberFormat="1" applyFont="1" applyFill="1" applyBorder="1" applyAlignment="1">
      <alignment horizontal="center" vertical="center"/>
    </xf>
    <xf numFmtId="169" fontId="44" fillId="19" borderId="1" xfId="0" applyNumberFormat="1" applyFont="1" applyFill="1" applyBorder="1" applyAlignment="1">
      <alignment horizontal="center" vertical="center"/>
    </xf>
    <xf numFmtId="169" fontId="44" fillId="19" borderId="1" xfId="0" applyNumberFormat="1" applyFont="1" applyFill="1" applyBorder="1" applyAlignment="1">
      <alignment horizontal="center" vertical="center" wrapText="1"/>
    </xf>
    <xf numFmtId="169" fontId="44" fillId="20" borderId="1" xfId="0" applyNumberFormat="1" applyFont="1" applyFill="1" applyBorder="1" applyAlignment="1">
      <alignment horizontal="center" vertical="center"/>
    </xf>
    <xf numFmtId="0" fontId="42" fillId="0" borderId="0" xfId="0" applyFont="1" applyBorder="1" applyAlignment="1">
      <alignment/>
    </xf>
    <xf numFmtId="0" fontId="41" fillId="2" borderId="1" xfId="0" applyFont="1" applyFill="1" applyBorder="1" applyAlignment="1">
      <alignment horizontal="left"/>
    </xf>
    <xf numFmtId="0" fontId="44" fillId="19" borderId="1" xfId="0" applyFont="1" applyFill="1" applyBorder="1" applyAlignment="1">
      <alignment horizontal="left" vertical="top"/>
    </xf>
    <xf numFmtId="4" fontId="44" fillId="19" borderId="1" xfId="0" applyNumberFormat="1" applyFont="1" applyFill="1" applyBorder="1" applyAlignment="1">
      <alignment horizontal="right"/>
    </xf>
    <xf numFmtId="0" fontId="41" fillId="2" borderId="1" xfId="0" applyFont="1" applyFill="1" applyBorder="1" applyAlignment="1">
      <alignment horizontal="right" vertical="top"/>
    </xf>
    <xf numFmtId="4" fontId="41" fillId="2" borderId="1" xfId="0" applyNumberFormat="1" applyFont="1" applyFill="1" applyBorder="1" applyAlignment="1">
      <alignment horizontal="right"/>
    </xf>
    <xf numFmtId="0" fontId="44" fillId="18" borderId="1" xfId="0" applyFont="1" applyFill="1" applyBorder="1" applyAlignment="1">
      <alignment horizontal="left" vertical="top"/>
    </xf>
    <xf numFmtId="4" fontId="44" fillId="18" borderId="1" xfId="0" applyNumberFormat="1" applyFont="1" applyFill="1" applyBorder="1" applyAlignment="1">
      <alignment horizontal="right"/>
    </xf>
    <xf numFmtId="0" fontId="44" fillId="20" borderId="1" xfId="0" applyFont="1" applyFill="1" applyBorder="1" applyAlignment="1">
      <alignment horizontal="left" vertical="top"/>
    </xf>
    <xf numFmtId="4" fontId="44" fillId="20" borderId="1" xfId="0" applyNumberFormat="1" applyFont="1" applyFill="1" applyBorder="1" applyAlignment="1">
      <alignment horizontal="right"/>
    </xf>
    <xf numFmtId="4" fontId="41" fillId="2" borderId="1" xfId="0" applyNumberFormat="1" applyFont="1" applyFill="1" applyBorder="1" applyAlignment="1">
      <alignment horizontal="left" vertical="top"/>
    </xf>
    <xf numFmtId="0" fontId="41" fillId="2" borderId="1" xfId="0" applyFont="1" applyFill="1" applyBorder="1" applyAlignment="1">
      <alignment horizontal="left" vertical="top" wrapText="1"/>
    </xf>
    <xf numFmtId="9" fontId="44" fillId="19" borderId="1" xfId="21" applyFont="1" applyFill="1" applyBorder="1" applyAlignment="1">
      <alignment horizontal="right"/>
    </xf>
    <xf numFmtId="9" fontId="44" fillId="18" borderId="1" xfId="21" applyFont="1" applyFill="1" applyBorder="1" applyAlignment="1">
      <alignment horizontal="right"/>
    </xf>
    <xf numFmtId="9" fontId="44" fillId="20" borderId="1" xfId="21" applyFont="1" applyFill="1" applyBorder="1" applyAlignment="1">
      <alignment horizontal="right"/>
    </xf>
    <xf numFmtId="9" fontId="41" fillId="2" borderId="1" xfId="21" applyFont="1" applyFill="1" applyBorder="1" applyAlignment="1">
      <alignment horizontal="right"/>
    </xf>
    <xf numFmtId="4" fontId="47" fillId="21" borderId="20" xfId="0" applyNumberFormat="1" applyFont="1" applyFill="1" applyBorder="1" applyAlignment="1">
      <alignment horizontal="right" vertical="center" wrapText="1"/>
    </xf>
    <xf numFmtId="4" fontId="47" fillId="0" borderId="1" xfId="0" applyNumberFormat="1" applyFont="1" applyFill="1" applyBorder="1" applyAlignment="1">
      <alignment horizontal="right" vertical="center" wrapText="1"/>
    </xf>
    <xf numFmtId="0" fontId="41" fillId="16" borderId="1" xfId="0" applyFont="1" applyFill="1" applyBorder="1" applyAlignment="1">
      <alignment vertical="center" wrapText="1"/>
    </xf>
    <xf numFmtId="9" fontId="46" fillId="0" borderId="1" xfId="21" applyFont="1" applyFill="1" applyBorder="1" applyAlignment="1">
      <alignment horizontal="right" vertical="center"/>
    </xf>
    <xf numFmtId="0" fontId="48" fillId="0" borderId="0" xfId="0" applyFont="1" applyFill="1"/>
    <xf numFmtId="165" fontId="42" fillId="0" borderId="0" xfId="0" applyNumberFormat="1" applyFont="1"/>
    <xf numFmtId="165" fontId="44" fillId="17" borderId="1" xfId="20" applyNumberFormat="1" applyFont="1" applyFill="1" applyBorder="1" applyAlignment="1" applyProtection="1">
      <alignment horizontal="right"/>
      <protection/>
    </xf>
    <xf numFmtId="0" fontId="47" fillId="3" borderId="1" xfId="0" applyFont="1" applyFill="1" applyBorder="1" applyAlignment="1">
      <alignment horizontal="right"/>
    </xf>
    <xf numFmtId="165" fontId="41" fillId="2" borderId="1" xfId="20" applyNumberFormat="1" applyFont="1" applyFill="1" applyBorder="1" applyAlignment="1" applyProtection="1">
      <alignment horizontal="right"/>
      <protection/>
    </xf>
    <xf numFmtId="0" fontId="44" fillId="7" borderId="0" xfId="0" applyFont="1" applyFill="1" applyBorder="1" applyAlignment="1" applyProtection="1">
      <alignment horizontal="left" vertical="center"/>
      <protection/>
    </xf>
    <xf numFmtId="0" fontId="44" fillId="0" borderId="1" xfId="0" applyFont="1" applyFill="1" applyBorder="1" applyAlignment="1" applyProtection="1">
      <alignment horizontal="right"/>
      <protection/>
    </xf>
    <xf numFmtId="165" fontId="44" fillId="0" borderId="1" xfId="20" applyNumberFormat="1" applyFont="1" applyFill="1" applyBorder="1" applyAlignment="1" applyProtection="1">
      <alignment horizontal="center"/>
      <protection/>
    </xf>
    <xf numFmtId="0" fontId="42" fillId="0" borderId="0" xfId="0" applyFont="1" applyAlignment="1">
      <alignment/>
    </xf>
    <xf numFmtId="0" fontId="44" fillId="0" borderId="1" xfId="0" applyFont="1" applyBorder="1" applyAlignment="1">
      <alignment horizontal="left" vertical="top"/>
    </xf>
    <xf numFmtId="0" fontId="41" fillId="2" borderId="1" xfId="0" applyFont="1" applyFill="1" applyBorder="1" applyAlignment="1">
      <alignment horizontal="left" wrapText="1"/>
    </xf>
    <xf numFmtId="0" fontId="44" fillId="0" borderId="0" xfId="0" applyFont="1" applyFill="1" applyBorder="1" applyAlignment="1">
      <alignment horizontal="left" vertical="top"/>
    </xf>
    <xf numFmtId="165" fontId="41" fillId="0" borderId="0" xfId="20" applyNumberFormat="1" applyFont="1" applyFill="1" applyBorder="1" applyAlignment="1" applyProtection="1">
      <alignment horizontal="right"/>
      <protection/>
    </xf>
    <xf numFmtId="0" fontId="41" fillId="0" borderId="1" xfId="0" applyFont="1" applyFill="1" applyBorder="1" applyAlignment="1">
      <alignment horizontal="right" wrapText="1"/>
    </xf>
    <xf numFmtId="4" fontId="44" fillId="0" borderId="1" xfId="0" applyNumberFormat="1" applyFont="1" applyFill="1" applyBorder="1" applyAlignment="1">
      <alignment horizontal="right" wrapText="1"/>
    </xf>
    <xf numFmtId="0" fontId="41" fillId="0" borderId="0" xfId="0" applyFont="1" applyFill="1" applyBorder="1" applyAlignment="1">
      <alignment horizontal="right" wrapText="1"/>
    </xf>
    <xf numFmtId="4" fontId="44" fillId="0" borderId="0" xfId="0" applyNumberFormat="1" applyFont="1" applyFill="1" applyBorder="1" applyAlignment="1">
      <alignment horizontal="right" wrapText="1"/>
    </xf>
    <xf numFmtId="4" fontId="41" fillId="0" borderId="1" xfId="0" applyNumberFormat="1" applyFont="1" applyFill="1" applyBorder="1" applyAlignment="1">
      <alignment horizontal="right" wrapText="1"/>
    </xf>
    <xf numFmtId="4" fontId="44" fillId="0" borderId="1" xfId="0" applyNumberFormat="1" applyFont="1" applyFill="1" applyBorder="1" applyAlignment="1">
      <alignment horizontal="left" vertical="top" wrapText="1"/>
    </xf>
    <xf numFmtId="4" fontId="44" fillId="0" borderId="1" xfId="0" applyNumberFormat="1" applyFont="1" applyFill="1" applyBorder="1" applyAlignment="1">
      <alignment vertical="top" wrapText="1"/>
    </xf>
    <xf numFmtId="4" fontId="44" fillId="0" borderId="1" xfId="0" applyNumberFormat="1" applyFont="1" applyFill="1" applyBorder="1" applyAlignment="1">
      <alignment horizontal="right" vertical="top" wrapText="1"/>
    </xf>
    <xf numFmtId="0" fontId="46" fillId="3" borderId="0" xfId="0" applyFont="1" applyFill="1"/>
    <xf numFmtId="0" fontId="49" fillId="3" borderId="0" xfId="0" applyFont="1" applyFill="1"/>
    <xf numFmtId="0" fontId="44" fillId="3" borderId="0" xfId="0" applyFont="1" applyFill="1"/>
    <xf numFmtId="0" fontId="41" fillId="0" borderId="0" xfId="0" applyFont="1" applyAlignment="1">
      <alignment/>
    </xf>
    <xf numFmtId="10" fontId="46" fillId="0" borderId="1" xfId="21" applyNumberFormat="1" applyFont="1" applyFill="1" applyBorder="1" applyAlignment="1" applyProtection="1">
      <alignment horizontal="center"/>
      <protection/>
    </xf>
    <xf numFmtId="166" fontId="46" fillId="3" borderId="1" xfId="0" applyNumberFormat="1" applyFont="1" applyFill="1" applyBorder="1"/>
    <xf numFmtId="0" fontId="44" fillId="0" borderId="6" xfId="0" applyFont="1" applyBorder="1" applyAlignment="1">
      <alignment horizontal="right" vertical="center" wrapText="1"/>
    </xf>
    <xf numFmtId="0" fontId="44" fillId="0" borderId="1" xfId="0" applyFont="1" applyBorder="1" applyAlignment="1">
      <alignment horizontal="right" vertical="center" wrapText="1"/>
    </xf>
    <xf numFmtId="4" fontId="44" fillId="0" borderId="1" xfId="0" applyNumberFormat="1" applyFont="1" applyBorder="1" applyAlignment="1">
      <alignment horizontal="left" vertical="top" wrapText="1"/>
    </xf>
    <xf numFmtId="43" fontId="46" fillId="0" borderId="1" xfId="20" applyFont="1" applyFill="1" applyBorder="1" applyAlignment="1" applyProtection="1">
      <alignment horizontal="left" vertical="top"/>
      <protection/>
    </xf>
    <xf numFmtId="0" fontId="42" fillId="0" borderId="0" xfId="0" applyFont="1" applyFill="1" applyAlignment="1">
      <alignment wrapText="1"/>
    </xf>
    <xf numFmtId="0" fontId="51" fillId="0" borderId="1" xfId="0" applyFont="1" applyFill="1" applyBorder="1" applyAlignment="1">
      <alignment horizontal="left" vertical="top" wrapText="1"/>
    </xf>
    <xf numFmtId="0" fontId="44" fillId="0" borderId="1" xfId="0" applyFont="1" applyBorder="1" applyAlignment="1">
      <alignment horizontal="right" vertical="top"/>
    </xf>
    <xf numFmtId="0" fontId="42" fillId="0" borderId="0" xfId="0" applyFont="1" applyFill="1" applyBorder="1" applyAlignment="1">
      <alignment horizontal="left" vertical="top" wrapText="1"/>
    </xf>
    <xf numFmtId="0" fontId="42" fillId="0" borderId="0" xfId="0" applyFont="1" applyBorder="1" applyAlignment="1">
      <alignment horizontal="left" vertical="top" wrapText="1"/>
    </xf>
    <xf numFmtId="0" fontId="44" fillId="0" borderId="1" xfId="0" applyFont="1" applyFill="1" applyBorder="1" applyAlignment="1">
      <alignment vertical="top" wrapText="1"/>
    </xf>
    <xf numFmtId="0" fontId="42" fillId="0" borderId="1" xfId="0" applyFont="1" applyBorder="1"/>
    <xf numFmtId="0" fontId="44" fillId="0" borderId="25" xfId="0" applyFont="1" applyFill="1" applyBorder="1" applyAlignment="1">
      <alignment vertical="top" wrapText="1"/>
    </xf>
    <xf numFmtId="4" fontId="51" fillId="0" borderId="1" xfId="0" applyNumberFormat="1" applyFont="1" applyFill="1" applyBorder="1" applyAlignment="1">
      <alignment horizontal="left" vertical="top" wrapText="1"/>
    </xf>
    <xf numFmtId="0" fontId="51" fillId="0" borderId="1" xfId="0" applyFont="1" applyFill="1" applyBorder="1" applyAlignment="1">
      <alignment vertical="top" wrapText="1"/>
    </xf>
    <xf numFmtId="0" fontId="44" fillId="0" borderId="1" xfId="0" applyFont="1" applyFill="1" applyBorder="1" applyAlignment="1">
      <alignment horizontal="left" vertical="top"/>
    </xf>
    <xf numFmtId="9" fontId="44" fillId="0" borderId="1" xfId="21" applyFont="1" applyFill="1" applyBorder="1" applyAlignment="1">
      <alignment horizontal="right" vertical="top"/>
    </xf>
    <xf numFmtId="0" fontId="44" fillId="0" borderId="1" xfId="0" applyFont="1" applyFill="1" applyBorder="1" applyAlignment="1">
      <alignment horizontal="left" vertical="top"/>
    </xf>
    <xf numFmtId="0" fontId="44" fillId="3" borderId="1" xfId="0" applyFont="1" applyFill="1" applyBorder="1" applyAlignment="1">
      <alignment wrapText="1"/>
    </xf>
    <xf numFmtId="0" fontId="44" fillId="0" borderId="0" xfId="0" applyFont="1" applyBorder="1" applyAlignment="1">
      <alignment horizontal="left" vertical="top" wrapText="1"/>
    </xf>
    <xf numFmtId="0" fontId="42" fillId="0" borderId="0" xfId="0" applyFont="1" applyBorder="1" applyAlignment="1">
      <alignment wrapText="1"/>
    </xf>
    <xf numFmtId="170" fontId="44" fillId="0" borderId="1" xfId="0" applyNumberFormat="1" applyFont="1" applyFill="1" applyBorder="1" applyAlignment="1">
      <alignment horizontal="left" vertical="top" wrapText="1"/>
    </xf>
    <xf numFmtId="0" fontId="42" fillId="0" borderId="0" xfId="0" applyFont="1" applyFill="1" applyBorder="1"/>
    <xf numFmtId="170" fontId="44" fillId="0" borderId="1" xfId="0" applyNumberFormat="1" applyFont="1" applyFill="1" applyBorder="1" applyAlignment="1">
      <alignment horizontal="left" vertical="top" wrapText="1"/>
    </xf>
    <xf numFmtId="0" fontId="41" fillId="21" borderId="1" xfId="0" applyFont="1" applyFill="1" applyBorder="1"/>
    <xf numFmtId="0" fontId="44" fillId="3" borderId="1" xfId="0" applyFont="1" applyFill="1" applyBorder="1"/>
    <xf numFmtId="9" fontId="42" fillId="0" borderId="1" xfId="21" applyFont="1" applyBorder="1"/>
    <xf numFmtId="4" fontId="44" fillId="0" borderId="1" xfId="0" applyNumberFormat="1" applyFont="1" applyFill="1" applyBorder="1" applyAlignment="1">
      <alignment horizontal="left" vertical="center" wrapText="1"/>
    </xf>
    <xf numFmtId="2" fontId="42" fillId="0" borderId="1" xfId="0" applyNumberFormat="1" applyFont="1" applyBorder="1"/>
    <xf numFmtId="9" fontId="44" fillId="0" borderId="0" xfId="21" applyFont="1" applyFill="1" applyBorder="1" applyAlignment="1">
      <alignment horizontal="right" vertical="top"/>
    </xf>
    <xf numFmtId="4" fontId="44" fillId="0" borderId="1" xfId="0" applyNumberFormat="1" applyFont="1" applyBorder="1" applyAlignment="1">
      <alignment horizontal="center" vertical="center" wrapText="1"/>
    </xf>
    <xf numFmtId="4" fontId="44" fillId="0" borderId="1" xfId="0" applyNumberFormat="1" applyFont="1" applyFill="1" applyBorder="1" applyAlignment="1">
      <alignment horizontal="center" vertical="center" wrapText="1"/>
    </xf>
    <xf numFmtId="0" fontId="42" fillId="0" borderId="1" xfId="0" applyFont="1" applyFill="1" applyBorder="1"/>
    <xf numFmtId="0" fontId="42" fillId="2" borderId="1" xfId="0" applyFont="1" applyFill="1" applyBorder="1" applyAlignment="1">
      <alignment wrapText="1"/>
    </xf>
    <xf numFmtId="0" fontId="48" fillId="2" borderId="1" xfId="0" applyFont="1" applyFill="1" applyBorder="1" applyAlignment="1">
      <alignment horizontal="center" wrapText="1"/>
    </xf>
    <xf numFmtId="0" fontId="48" fillId="2" borderId="1" xfId="0" applyFont="1" applyFill="1" applyBorder="1" applyAlignment="1">
      <alignment wrapText="1"/>
    </xf>
    <xf numFmtId="0" fontId="42" fillId="0" borderId="1" xfId="0" applyFont="1" applyFill="1" applyBorder="1" applyAlignment="1">
      <alignment wrapText="1"/>
    </xf>
    <xf numFmtId="0" fontId="42" fillId="0" borderId="1" xfId="0" applyFont="1" applyFill="1" applyBorder="1" applyAlignment="1">
      <alignment horizontal="center" wrapText="1"/>
    </xf>
    <xf numFmtId="0" fontId="52" fillId="0" borderId="1" xfId="0" applyFont="1" applyFill="1" applyBorder="1" applyAlignment="1">
      <alignment wrapText="1"/>
    </xf>
    <xf numFmtId="0" fontId="41" fillId="2" borderId="1" xfId="0" applyFont="1" applyFill="1" applyBorder="1" applyAlignment="1">
      <alignment horizontal="left" vertical="center" wrapText="1"/>
    </xf>
    <xf numFmtId="170" fontId="42" fillId="0" borderId="1" xfId="0" applyNumberFormat="1" applyFont="1" applyFill="1" applyBorder="1" applyAlignment="1">
      <alignment horizontal="left" vertical="top" wrapText="1"/>
    </xf>
    <xf numFmtId="170" fontId="51" fillId="0" borderId="1" xfId="0" applyNumberFormat="1" applyFont="1" applyFill="1" applyBorder="1" applyAlignment="1">
      <alignment horizontal="left" vertical="top" wrapText="1"/>
    </xf>
    <xf numFmtId="0" fontId="44" fillId="0" borderId="0" xfId="0" applyFont="1" applyFill="1" applyAlignment="1">
      <alignment wrapText="1"/>
    </xf>
    <xf numFmtId="0" fontId="44" fillId="0" borderId="1" xfId="0" applyFont="1" applyFill="1" applyBorder="1" applyAlignment="1">
      <alignment horizontal="left" vertical="top" wrapText="1"/>
    </xf>
    <xf numFmtId="4" fontId="44" fillId="19" borderId="1" xfId="0" applyNumberFormat="1" applyFont="1" applyFill="1" applyBorder="1" applyAlignment="1">
      <alignment horizontal="left" vertical="top" wrapText="1"/>
    </xf>
    <xf numFmtId="4" fontId="44" fillId="18" borderId="1" xfId="0" applyNumberFormat="1" applyFont="1" applyFill="1" applyBorder="1" applyAlignment="1">
      <alignment horizontal="left" vertical="top" wrapText="1"/>
    </xf>
    <xf numFmtId="4" fontId="44" fillId="20" borderId="1" xfId="0" applyNumberFormat="1" applyFont="1" applyFill="1" applyBorder="1" applyAlignment="1">
      <alignment horizontal="left" vertical="top" wrapText="1"/>
    </xf>
    <xf numFmtId="4" fontId="51" fillId="19" borderId="1" xfId="0" applyNumberFormat="1" applyFont="1" applyFill="1" applyBorder="1" applyAlignment="1">
      <alignment horizontal="left" vertical="top" wrapText="1"/>
    </xf>
    <xf numFmtId="4" fontId="51" fillId="18" borderId="1" xfId="0" applyNumberFormat="1" applyFont="1" applyFill="1" applyBorder="1" applyAlignment="1">
      <alignment horizontal="left" vertical="top" wrapText="1"/>
    </xf>
    <xf numFmtId="4" fontId="51" fillId="20" borderId="1" xfId="0" applyNumberFormat="1" applyFont="1" applyFill="1" applyBorder="1" applyAlignment="1">
      <alignment horizontal="left" vertical="top" wrapText="1"/>
    </xf>
    <xf numFmtId="0" fontId="44" fillId="0" borderId="1" xfId="0" applyFont="1" applyFill="1" applyBorder="1" applyAlignment="1" applyProtection="1">
      <alignment horizontal="left" vertical="top"/>
      <protection/>
    </xf>
    <xf numFmtId="4" fontId="42" fillId="0" borderId="1" xfId="0" applyNumberFormat="1" applyFont="1" applyFill="1" applyBorder="1" applyAlignment="1">
      <alignment horizontal="left" vertical="top" wrapText="1"/>
    </xf>
    <xf numFmtId="0" fontId="41" fillId="0" borderId="0" xfId="0" applyFont="1" applyFill="1" applyAlignment="1">
      <alignment/>
    </xf>
    <xf numFmtId="0" fontId="44" fillId="0" borderId="1" xfId="0" applyFont="1" applyFill="1" applyBorder="1" applyAlignment="1" applyProtection="1">
      <alignment horizontal="left" vertical="top" wrapText="1"/>
      <protection/>
    </xf>
    <xf numFmtId="0" fontId="41" fillId="0" borderId="0" xfId="0" applyFont="1" applyFill="1"/>
    <xf numFmtId="4" fontId="41" fillId="2" borderId="2" xfId="0" applyNumberFormat="1" applyFont="1" applyFill="1" applyBorder="1" applyAlignment="1">
      <alignment horizontal="right" wrapText="1"/>
    </xf>
    <xf numFmtId="0" fontId="41" fillId="4" borderId="2" xfId="0" applyFont="1" applyFill="1" applyBorder="1" applyAlignment="1">
      <alignment horizontal="center" wrapText="1"/>
    </xf>
    <xf numFmtId="0" fontId="44" fillId="0" borderId="2" xfId="0" applyFont="1" applyBorder="1" applyAlignment="1">
      <alignment horizontal="center" vertical="top" wrapText="1"/>
    </xf>
    <xf numFmtId="0" fontId="44" fillId="0" borderId="2" xfId="0" applyFont="1" applyBorder="1" applyAlignment="1">
      <alignment horizontal="center" wrapText="1"/>
    </xf>
    <xf numFmtId="0" fontId="41" fillId="0" borderId="26" xfId="0" applyFont="1" applyBorder="1" applyAlignment="1">
      <alignment horizontal="center" wrapText="1"/>
    </xf>
    <xf numFmtId="4" fontId="51" fillId="0" borderId="2" xfId="0" applyNumberFormat="1" applyFont="1" applyFill="1" applyBorder="1" applyAlignment="1">
      <alignment horizontal="right" wrapText="1"/>
    </xf>
    <xf numFmtId="4" fontId="44" fillId="0" borderId="2" xfId="0" applyNumberFormat="1" applyFont="1" applyFill="1" applyBorder="1" applyAlignment="1">
      <alignment horizontal="right" wrapText="1"/>
    </xf>
    <xf numFmtId="4" fontId="44" fillId="0" borderId="2" xfId="0" applyNumberFormat="1" applyFont="1" applyBorder="1" applyAlignment="1">
      <alignment horizontal="right" wrapText="1"/>
    </xf>
    <xf numFmtId="4" fontId="51" fillId="0" borderId="27" xfId="0" applyNumberFormat="1" applyFont="1" applyFill="1" applyBorder="1" applyAlignment="1">
      <alignment horizontal="right" wrapText="1"/>
    </xf>
    <xf numFmtId="0" fontId="41" fillId="4" borderId="28" xfId="0" applyFont="1" applyFill="1" applyBorder="1" applyAlignment="1">
      <alignment horizontal="center" wrapText="1"/>
    </xf>
    <xf numFmtId="0" fontId="44" fillId="0" borderId="17" xfId="0" applyFont="1" applyBorder="1" applyAlignment="1">
      <alignment horizontal="center" wrapText="1"/>
    </xf>
    <xf numFmtId="0" fontId="41" fillId="0" borderId="29" xfId="0" applyFont="1" applyBorder="1" applyAlignment="1">
      <alignment horizontal="center" wrapText="1"/>
    </xf>
    <xf numFmtId="0" fontId="44" fillId="0" borderId="2" xfId="0" applyFont="1" applyBorder="1" applyAlignment="1">
      <alignment wrapText="1"/>
    </xf>
    <xf numFmtId="0" fontId="44" fillId="4" borderId="2" xfId="0" applyFont="1" applyFill="1" applyBorder="1"/>
    <xf numFmtId="0" fontId="44" fillId="4" borderId="2" xfId="0" applyFont="1" applyFill="1" applyBorder="1" applyAlignment="1">
      <alignment wrapText="1"/>
    </xf>
    <xf numFmtId="4" fontId="44" fillId="4" borderId="2" xfId="0" applyNumberFormat="1" applyFont="1" applyFill="1" applyBorder="1" applyAlignment="1">
      <alignment wrapText="1"/>
    </xf>
    <xf numFmtId="170" fontId="44" fillId="0" borderId="2" xfId="0" applyNumberFormat="1" applyFont="1" applyBorder="1" applyAlignment="1">
      <alignment horizontal="right" wrapText="1"/>
    </xf>
    <xf numFmtId="4" fontId="41" fillId="4" borderId="2" xfId="0" applyNumberFormat="1" applyFont="1" applyFill="1" applyBorder="1" applyAlignment="1">
      <alignment wrapText="1"/>
    </xf>
    <xf numFmtId="4" fontId="41" fillId="4" borderId="1" xfId="0" applyNumberFormat="1" applyFont="1" applyFill="1" applyBorder="1" applyAlignment="1">
      <alignment horizontal="center" vertical="center" wrapText="1"/>
    </xf>
    <xf numFmtId="4" fontId="41" fillId="2" borderId="1" xfId="0" applyNumberFormat="1" applyFont="1" applyFill="1" applyBorder="1" applyAlignment="1">
      <alignment horizontal="center" vertical="center" wrapText="1"/>
    </xf>
    <xf numFmtId="0" fontId="41" fillId="2" borderId="1" xfId="0" applyFont="1" applyFill="1" applyBorder="1" applyAlignment="1">
      <alignment vertical="center" wrapText="1"/>
    </xf>
    <xf numFmtId="4" fontId="44" fillId="17" borderId="1" xfId="0" applyNumberFormat="1" applyFont="1" applyFill="1" applyBorder="1" applyAlignment="1">
      <alignment horizontal="center" vertical="center" wrapText="1"/>
    </xf>
    <xf numFmtId="4" fontId="41" fillId="4" borderId="1" xfId="0" applyNumberFormat="1" applyFont="1" applyFill="1" applyBorder="1" applyAlignment="1">
      <alignment wrapText="1"/>
    </xf>
    <xf numFmtId="2" fontId="44" fillId="0" borderId="1" xfId="0" applyNumberFormat="1" applyFont="1" applyFill="1" applyBorder="1" applyAlignment="1">
      <alignment horizontal="center" vertical="center"/>
    </xf>
    <xf numFmtId="4" fontId="41" fillId="0" borderId="1" xfId="0" applyNumberFormat="1" applyFont="1" applyFill="1" applyBorder="1" applyAlignment="1">
      <alignment wrapText="1"/>
    </xf>
    <xf numFmtId="4" fontId="44" fillId="0" borderId="1" xfId="0" applyNumberFormat="1" applyFont="1" applyFill="1" applyBorder="1" applyAlignment="1" quotePrefix="1">
      <alignment horizontal="center" vertical="center" wrapText="1"/>
    </xf>
    <xf numFmtId="169" fontId="41" fillId="4" borderId="30" xfId="0" applyNumberFormat="1" applyFont="1" applyFill="1" applyBorder="1" applyAlignment="1">
      <alignment wrapText="1"/>
    </xf>
    <xf numFmtId="169" fontId="41" fillId="0" borderId="0" xfId="0" applyNumberFormat="1" applyFont="1" applyFill="1" applyBorder="1" applyAlignment="1">
      <alignment wrapText="1"/>
    </xf>
    <xf numFmtId="169" fontId="41" fillId="2" borderId="1" xfId="0" applyNumberFormat="1" applyFont="1" applyFill="1" applyBorder="1" applyAlignment="1">
      <alignment wrapText="1"/>
    </xf>
    <xf numFmtId="0" fontId="44" fillId="2" borderId="27" xfId="0" applyFont="1" applyFill="1" applyBorder="1" applyAlignment="1">
      <alignment horizontal="center" vertical="top" wrapText="1"/>
    </xf>
    <xf numFmtId="0" fontId="44" fillId="2" borderId="31" xfId="0" applyFont="1" applyFill="1" applyBorder="1" applyAlignment="1">
      <alignment horizontal="center" vertical="top" wrapText="1"/>
    </xf>
    <xf numFmtId="0" fontId="44" fillId="4" borderId="2" xfId="0" applyFont="1" applyFill="1" applyBorder="1" applyAlignment="1">
      <alignment horizontal="left" wrapText="1" indent="1"/>
    </xf>
    <xf numFmtId="4" fontId="44" fillId="0" borderId="2" xfId="0" applyNumberFormat="1" applyFont="1" applyBorder="1" applyAlignment="1">
      <alignment horizontal="left" wrapText="1" indent="1"/>
    </xf>
    <xf numFmtId="4" fontId="44" fillId="2" borderId="2" xfId="0" applyNumberFormat="1" applyFont="1" applyFill="1" applyBorder="1" applyAlignment="1">
      <alignment horizontal="left" wrapText="1" indent="1"/>
    </xf>
    <xf numFmtId="4" fontId="41" fillId="2" borderId="2" xfId="0" applyNumberFormat="1" applyFont="1" applyFill="1" applyBorder="1" applyAlignment="1">
      <alignment horizontal="left" wrapText="1" indent="1"/>
    </xf>
    <xf numFmtId="0" fontId="50" fillId="0" borderId="0" xfId="0" applyFont="1" applyBorder="1"/>
    <xf numFmtId="0" fontId="41" fillId="2" borderId="27" xfId="0" applyFont="1" applyFill="1" applyBorder="1" applyAlignment="1">
      <alignment horizontal="center" vertical="top" wrapText="1"/>
    </xf>
    <xf numFmtId="0" fontId="44" fillId="0" borderId="2" xfId="0" applyFont="1" applyBorder="1" applyAlignment="1">
      <alignment horizontal="right"/>
    </xf>
    <xf numFmtId="0" fontId="41" fillId="2" borderId="2" xfId="0" applyFont="1" applyFill="1" applyBorder="1" applyAlignment="1">
      <alignment horizontal="right"/>
    </xf>
    <xf numFmtId="0" fontId="41" fillId="2" borderId="2" xfId="0" applyFont="1" applyFill="1" applyBorder="1" applyAlignment="1">
      <alignment wrapText="1"/>
    </xf>
    <xf numFmtId="0" fontId="44" fillId="0" borderId="2" xfId="0" applyFont="1" applyBorder="1" applyAlignment="1">
      <alignment horizontal="right" wrapText="1"/>
    </xf>
    <xf numFmtId="0" fontId="41" fillId="0" borderId="27" xfId="0" applyFont="1" applyBorder="1" applyAlignment="1">
      <alignment horizontal="right" wrapText="1" indent="1"/>
    </xf>
    <xf numFmtId="0" fontId="41" fillId="0" borderId="30" xfId="0" applyFont="1" applyBorder="1" applyAlignment="1">
      <alignment horizontal="right" wrapText="1" indent="1"/>
    </xf>
    <xf numFmtId="0" fontId="41" fillId="4" borderId="30" xfId="0" applyFont="1" applyFill="1" applyBorder="1" applyAlignment="1">
      <alignment horizontal="right" wrapText="1" indent="1"/>
    </xf>
    <xf numFmtId="0" fontId="44" fillId="0" borderId="30" xfId="0" applyFont="1" applyBorder="1" applyAlignment="1">
      <alignment horizontal="center" vertical="center" wrapText="1"/>
    </xf>
    <xf numFmtId="4" fontId="44" fillId="0" borderId="2" xfId="0" applyNumberFormat="1" applyFont="1" applyFill="1" applyBorder="1" applyAlignment="1">
      <alignment horizontal="center" wrapText="1"/>
    </xf>
    <xf numFmtId="4" fontId="44" fillId="0" borderId="2" xfId="0" applyNumberFormat="1" applyFont="1" applyBorder="1" applyAlignment="1">
      <alignment horizontal="center" wrapText="1"/>
    </xf>
    <xf numFmtId="4" fontId="44" fillId="4" borderId="2" xfId="0" applyNumberFormat="1" applyFont="1" applyFill="1" applyBorder="1"/>
    <xf numFmtId="0" fontId="41" fillId="4" borderId="30" xfId="0" applyFont="1" applyFill="1" applyBorder="1" applyAlignment="1">
      <alignment horizontal="center"/>
    </xf>
    <xf numFmtId="4" fontId="41" fillId="0" borderId="2" xfId="0" applyNumberFormat="1" applyFont="1" applyFill="1" applyBorder="1" applyAlignment="1">
      <alignment horizontal="right" wrapText="1"/>
    </xf>
    <xf numFmtId="43" fontId="41" fillId="4" borderId="27" xfId="20" applyFont="1" applyFill="1" applyBorder="1" applyAlignment="1">
      <alignment horizontal="center" wrapText="1"/>
    </xf>
    <xf numFmtId="0" fontId="44" fillId="0" borderId="2" xfId="0" applyFont="1" applyFill="1" applyBorder="1" applyAlignment="1">
      <alignment horizontal="center" vertical="center" wrapText="1"/>
    </xf>
    <xf numFmtId="0" fontId="44" fillId="0" borderId="30" xfId="0" applyFont="1" applyBorder="1" applyAlignment="1">
      <alignment horizontal="center" wrapText="1"/>
    </xf>
    <xf numFmtId="4" fontId="44" fillId="0" borderId="2" xfId="0" applyNumberFormat="1" applyFont="1" applyBorder="1" applyAlignment="1">
      <alignment wrapText="1"/>
    </xf>
    <xf numFmtId="43" fontId="44" fillId="0" borderId="2" xfId="20" applyFont="1" applyBorder="1" applyAlignment="1">
      <alignment horizontal="right" wrapText="1"/>
    </xf>
    <xf numFmtId="43" fontId="41" fillId="4" borderId="2" xfId="20" applyFont="1" applyFill="1" applyBorder="1"/>
    <xf numFmtId="0" fontId="44" fillId="0" borderId="27" xfId="0" applyFont="1" applyBorder="1" applyAlignment="1">
      <alignment horizontal="center" vertical="center" wrapText="1"/>
    </xf>
    <xf numFmtId="0" fontId="41" fillId="0" borderId="26" xfId="0" applyFont="1" applyBorder="1" applyAlignment="1">
      <alignment horizontal="center"/>
    </xf>
    <xf numFmtId="0" fontId="44" fillId="0" borderId="2" xfId="0" applyFont="1" applyBorder="1" applyAlignment="1">
      <alignment vertical="center" wrapText="1"/>
    </xf>
    <xf numFmtId="0" fontId="44" fillId="4" borderId="2" xfId="0" applyFont="1" applyFill="1" applyBorder="1" applyAlignment="1">
      <alignment vertical="center" wrapText="1"/>
    </xf>
    <xf numFmtId="170" fontId="44" fillId="0" borderId="2" xfId="0" applyNumberFormat="1" applyFont="1" applyBorder="1" applyAlignment="1">
      <alignment horizontal="center" wrapText="1"/>
    </xf>
    <xf numFmtId="0" fontId="44" fillId="4" borderId="2" xfId="0" applyFont="1" applyFill="1" applyBorder="1" applyAlignment="1">
      <alignment horizontal="center" wrapText="1"/>
    </xf>
    <xf numFmtId="0" fontId="44" fillId="4" borderId="31" xfId="0" applyFont="1" applyFill="1" applyBorder="1" applyAlignment="1">
      <alignment horizontal="center" wrapText="1"/>
    </xf>
    <xf numFmtId="4" fontId="41" fillId="2" borderId="2" xfId="0" applyNumberFormat="1" applyFont="1" applyFill="1" applyBorder="1" applyAlignment="1">
      <alignment horizontal="center" wrapText="1"/>
    </xf>
    <xf numFmtId="4" fontId="44" fillId="0" borderId="2" xfId="0" applyNumberFormat="1" applyFont="1" applyFill="1" applyBorder="1" applyAlignment="1">
      <alignment wrapText="1"/>
    </xf>
    <xf numFmtId="4" fontId="44" fillId="2" borderId="2" xfId="0" applyNumberFormat="1" applyFont="1" applyFill="1" applyBorder="1" applyAlignment="1">
      <alignment horizontal="right" wrapText="1"/>
    </xf>
    <xf numFmtId="0" fontId="44" fillId="17" borderId="2"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1" fillId="4" borderId="2" xfId="0" applyFont="1" applyFill="1" applyBorder="1"/>
    <xf numFmtId="0" fontId="41" fillId="4" borderId="27" xfId="0" applyFont="1" applyFill="1" applyBorder="1" applyAlignment="1">
      <alignment horizontal="center" vertical="center" wrapText="1"/>
    </xf>
    <xf numFmtId="4" fontId="44" fillId="17" borderId="2" xfId="0" applyNumberFormat="1" applyFont="1" applyFill="1" applyBorder="1" applyAlignment="1">
      <alignment wrapText="1"/>
    </xf>
    <xf numFmtId="0" fontId="44" fillId="17" borderId="2" xfId="0" applyFont="1" applyFill="1" applyBorder="1" applyAlignment="1">
      <alignment wrapText="1"/>
    </xf>
    <xf numFmtId="0" fontId="44" fillId="17" borderId="2" xfId="0" applyFont="1" applyFill="1" applyBorder="1" applyAlignment="1">
      <alignment horizontal="right" wrapText="1"/>
    </xf>
    <xf numFmtId="43" fontId="41" fillId="22" borderId="2" xfId="20" applyFont="1" applyFill="1" applyBorder="1" applyAlignment="1">
      <alignment horizontal="right" wrapText="1"/>
    </xf>
    <xf numFmtId="0" fontId="41" fillId="23" borderId="27" xfId="0" applyFont="1" applyFill="1" applyBorder="1" applyAlignment="1">
      <alignment horizontal="center" vertical="top" wrapText="1"/>
    </xf>
    <xf numFmtId="0" fontId="44" fillId="0" borderId="0" xfId="0" applyFont="1" applyFill="1" applyBorder="1" applyAlignment="1">
      <alignment horizontal="center" vertical="top" wrapText="1"/>
    </xf>
    <xf numFmtId="43" fontId="42" fillId="0" borderId="0" xfId="20" applyFont="1"/>
    <xf numFmtId="0" fontId="41" fillId="0" borderId="29" xfId="0" applyFont="1" applyBorder="1" applyAlignment="1">
      <alignment horizontal="center" vertical="center" wrapText="1"/>
    </xf>
    <xf numFmtId="0" fontId="41" fillId="0" borderId="26" xfId="0" applyFont="1" applyBorder="1" applyAlignment="1">
      <alignment horizontal="center" vertical="center" wrapText="1"/>
    </xf>
    <xf numFmtId="4" fontId="44" fillId="23" borderId="2" xfId="0" applyNumberFormat="1" applyFont="1" applyFill="1" applyBorder="1" applyAlignment="1">
      <alignment horizontal="right" wrapText="1"/>
    </xf>
    <xf numFmtId="4" fontId="41" fillId="2" borderId="2" xfId="0" applyNumberFormat="1" applyFont="1" applyFill="1" applyBorder="1" applyAlignment="1">
      <alignment wrapText="1"/>
    </xf>
    <xf numFmtId="43" fontId="41" fillId="23" borderId="2" xfId="20" applyFont="1" applyFill="1" applyBorder="1" applyAlignment="1">
      <alignment wrapText="1"/>
    </xf>
    <xf numFmtId="4" fontId="44" fillId="2" borderId="2" xfId="0" applyNumberFormat="1" applyFont="1" applyFill="1" applyBorder="1" applyAlignment="1">
      <alignment wrapText="1"/>
    </xf>
    <xf numFmtId="43" fontId="44" fillId="23" borderId="2" xfId="20" applyFont="1" applyFill="1" applyBorder="1" applyAlignment="1">
      <alignment wrapText="1"/>
    </xf>
    <xf numFmtId="164" fontId="44" fillId="4" borderId="2" xfId="0" applyNumberFormat="1" applyFont="1" applyFill="1" applyBorder="1"/>
    <xf numFmtId="43" fontId="44" fillId="4" borderId="2" xfId="20" applyFont="1" applyFill="1" applyBorder="1"/>
    <xf numFmtId="43" fontId="44" fillId="4" borderId="2" xfId="20" applyFont="1" applyFill="1" applyBorder="1" applyAlignment="1">
      <alignment horizontal="right" wrapText="1"/>
    </xf>
    <xf numFmtId="0" fontId="44" fillId="0" borderId="2" xfId="0" applyFont="1" applyBorder="1" applyAlignment="1">
      <alignment horizontal="left" wrapText="1"/>
    </xf>
    <xf numFmtId="43" fontId="44" fillId="0" borderId="2" xfId="20" applyFont="1" applyBorder="1" applyAlignment="1">
      <alignment wrapText="1"/>
    </xf>
    <xf numFmtId="2" fontId="44" fillId="0" borderId="2" xfId="0" applyNumberFormat="1" applyFont="1" applyBorder="1" applyAlignment="1">
      <alignment wrapText="1"/>
    </xf>
    <xf numFmtId="43" fontId="44" fillId="0" borderId="2" xfId="20" applyFont="1" applyFill="1" applyBorder="1" applyAlignment="1">
      <alignment wrapText="1"/>
    </xf>
    <xf numFmtId="43" fontId="44" fillId="4" borderId="2" xfId="0" applyNumberFormat="1" applyFont="1" applyFill="1" applyBorder="1" applyAlignment="1">
      <alignment wrapText="1"/>
    </xf>
    <xf numFmtId="43" fontId="44" fillId="4" borderId="2" xfId="20" applyFont="1" applyFill="1" applyBorder="1" applyAlignment="1">
      <alignment wrapText="1"/>
    </xf>
    <xf numFmtId="43" fontId="44" fillId="0" borderId="2" xfId="20" applyFont="1" applyBorder="1" applyAlignment="1">
      <alignment horizontal="left" wrapText="1"/>
    </xf>
    <xf numFmtId="0" fontId="44" fillId="4" borderId="2" xfId="0" applyFont="1" applyFill="1" applyBorder="1" applyAlignment="1">
      <alignment horizontal="right" wrapText="1"/>
    </xf>
    <xf numFmtId="43" fontId="44" fillId="4" borderId="2" xfId="20" applyFont="1" applyFill="1" applyBorder="1" applyAlignment="1">
      <alignment horizontal="center" wrapText="1"/>
    </xf>
    <xf numFmtId="43" fontId="44" fillId="0" borderId="2" xfId="20" applyFont="1" applyBorder="1" applyAlignment="1">
      <alignment horizontal="center" wrapText="1"/>
    </xf>
    <xf numFmtId="0" fontId="41" fillId="0" borderId="26" xfId="0" applyFont="1" applyFill="1" applyBorder="1" applyAlignment="1">
      <alignment horizontal="center" wrapText="1"/>
    </xf>
    <xf numFmtId="0" fontId="44" fillId="0" borderId="28" xfId="0" applyFont="1" applyBorder="1" applyAlignment="1">
      <alignment horizontal="left" wrapText="1"/>
    </xf>
    <xf numFmtId="0" fontId="14" fillId="3" borderId="0" xfId="0" applyFont="1" applyFill="1"/>
    <xf numFmtId="0" fontId="14" fillId="0" borderId="6" xfId="0" applyFont="1" applyFill="1" applyBorder="1" applyAlignment="1">
      <alignment horizontal="left" vertical="center"/>
    </xf>
    <xf numFmtId="43" fontId="14" fillId="3" borderId="1" xfId="20" applyFont="1" applyFill="1" applyBorder="1" applyAlignment="1" applyProtection="1">
      <alignment/>
      <protection/>
    </xf>
    <xf numFmtId="0" fontId="14" fillId="3" borderId="6" xfId="0" applyFont="1" applyFill="1" applyBorder="1" applyAlignment="1">
      <alignment horizontal="left" vertical="center"/>
    </xf>
    <xf numFmtId="0" fontId="24" fillId="0" borderId="6" xfId="0" applyFont="1" applyFill="1" applyBorder="1" applyAlignment="1">
      <alignment horizontal="left" vertical="center"/>
    </xf>
    <xf numFmtId="43" fontId="24" fillId="3" borderId="1" xfId="20" applyFont="1" applyFill="1" applyBorder="1" applyAlignment="1" applyProtection="1">
      <alignment/>
      <protection/>
    </xf>
    <xf numFmtId="43" fontId="14" fillId="3" borderId="9" xfId="20" applyFont="1" applyFill="1" applyBorder="1" applyAlignment="1" applyProtection="1">
      <alignment/>
      <protection/>
    </xf>
    <xf numFmtId="43" fontId="24" fillId="3" borderId="9" xfId="20" applyFont="1" applyFill="1" applyBorder="1" applyAlignment="1" applyProtection="1">
      <alignment/>
      <protection/>
    </xf>
    <xf numFmtId="43" fontId="14" fillId="6" borderId="8" xfId="20" applyFont="1" applyFill="1" applyBorder="1" applyAlignment="1" applyProtection="1">
      <alignment horizontal="right" vertical="top" wrapText="1"/>
      <protection/>
    </xf>
    <xf numFmtId="43" fontId="14" fillId="6" borderId="1" xfId="20" applyFont="1" applyFill="1" applyBorder="1" applyAlignment="1" applyProtection="1">
      <alignment horizontal="right" vertical="top" wrapText="1"/>
      <protection/>
    </xf>
    <xf numFmtId="43" fontId="14" fillId="6" borderId="9" xfId="20" applyFont="1" applyFill="1" applyBorder="1" applyAlignment="1" applyProtection="1">
      <alignment horizontal="right" vertical="top" wrapText="1"/>
      <protection/>
    </xf>
    <xf numFmtId="43" fontId="14" fillId="3" borderId="8" xfId="20" applyFont="1" applyFill="1" applyBorder="1" applyAlignment="1" applyProtection="1">
      <alignment/>
      <protection/>
    </xf>
    <xf numFmtId="0" fontId="14" fillId="0" borderId="16" xfId="0" applyFont="1" applyFill="1" applyBorder="1" applyAlignment="1">
      <alignment horizontal="left" vertical="center"/>
    </xf>
    <xf numFmtId="43" fontId="14" fillId="6" borderId="10" xfId="20" applyFont="1" applyFill="1" applyBorder="1" applyAlignment="1" applyProtection="1">
      <alignment horizontal="right" vertical="top" wrapText="1"/>
      <protection/>
    </xf>
    <xf numFmtId="43" fontId="14" fillId="3" borderId="11" xfId="20" applyFont="1" applyFill="1" applyBorder="1" applyAlignment="1" applyProtection="1">
      <alignment/>
      <protection/>
    </xf>
    <xf numFmtId="43" fontId="14" fillId="6" borderId="12" xfId="20" applyFont="1" applyFill="1" applyBorder="1" applyAlignment="1" applyProtection="1">
      <alignment horizontal="right" vertical="top" wrapText="1"/>
      <protection/>
    </xf>
    <xf numFmtId="0" fontId="14" fillId="5" borderId="32"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65" fillId="5" borderId="36" xfId="0" applyFont="1" applyFill="1" applyBorder="1" applyAlignment="1">
      <alignment/>
    </xf>
    <xf numFmtId="0" fontId="65" fillId="5" borderId="37" xfId="0" applyFont="1" applyFill="1" applyBorder="1" applyAlignment="1">
      <alignment/>
    </xf>
    <xf numFmtId="0" fontId="65" fillId="5" borderId="38" xfId="0" applyFont="1" applyFill="1" applyBorder="1" applyAlignment="1">
      <alignment/>
    </xf>
    <xf numFmtId="0" fontId="65" fillId="5" borderId="39" xfId="0" applyFont="1" applyFill="1" applyBorder="1" applyAlignment="1">
      <alignment vertical="center"/>
    </xf>
    <xf numFmtId="0" fontId="65" fillId="5" borderId="40" xfId="0" applyFont="1" applyFill="1" applyBorder="1" applyAlignment="1">
      <alignment/>
    </xf>
    <xf numFmtId="0" fontId="65" fillId="5" borderId="41" xfId="0" applyFont="1" applyFill="1" applyBorder="1" applyAlignment="1">
      <alignment vertical="center"/>
    </xf>
    <xf numFmtId="0" fontId="19" fillId="5" borderId="41" xfId="0" applyFont="1" applyFill="1" applyBorder="1" applyAlignment="1">
      <alignment vertical="center"/>
    </xf>
    <xf numFmtId="0" fontId="8" fillId="5" borderId="41" xfId="0" applyFont="1" applyFill="1" applyBorder="1" applyAlignment="1">
      <alignment vertical="center"/>
    </xf>
    <xf numFmtId="0" fontId="65" fillId="5" borderId="42" xfId="0" applyFont="1" applyFill="1" applyBorder="1" applyAlignment="1">
      <alignment/>
    </xf>
    <xf numFmtId="0" fontId="65" fillId="5" borderId="43" xfId="0" applyFont="1" applyFill="1" applyBorder="1" applyAlignment="1">
      <alignment/>
    </xf>
    <xf numFmtId="0" fontId="65" fillId="5" borderId="44" xfId="0" applyFont="1" applyFill="1" applyBorder="1" applyAlignment="1">
      <alignment vertical="center"/>
    </xf>
    <xf numFmtId="9" fontId="66" fillId="0" borderId="0" xfId="21" applyFont="1"/>
    <xf numFmtId="0" fontId="65" fillId="5" borderId="45" xfId="0" applyFont="1" applyFill="1" applyBorder="1" applyAlignment="1">
      <alignment/>
    </xf>
    <xf numFmtId="0" fontId="65" fillId="5" borderId="46" xfId="0" applyFont="1" applyFill="1" applyBorder="1" applyAlignment="1">
      <alignment/>
    </xf>
    <xf numFmtId="0" fontId="65" fillId="5" borderId="47" xfId="0" applyFont="1" applyFill="1" applyBorder="1" applyAlignment="1">
      <alignment/>
    </xf>
    <xf numFmtId="0" fontId="65" fillId="5" borderId="48" xfId="0" applyFont="1" applyFill="1" applyBorder="1" applyAlignment="1">
      <alignment vertical="center"/>
    </xf>
    <xf numFmtId="0" fontId="46" fillId="3" borderId="0" xfId="24" applyFont="1" applyFill="1">
      <alignment/>
      <protection/>
    </xf>
    <xf numFmtId="0" fontId="47" fillId="3" borderId="0" xfId="24" applyFont="1" applyFill="1" applyAlignment="1">
      <alignment wrapText="1"/>
      <protection/>
    </xf>
    <xf numFmtId="0" fontId="69" fillId="5" borderId="49" xfId="0" applyFont="1" applyFill="1" applyBorder="1" applyAlignment="1">
      <alignment horizontal="center" vertical="center"/>
    </xf>
    <xf numFmtId="0" fontId="69" fillId="5" borderId="50" xfId="0" applyFont="1" applyFill="1" applyBorder="1" applyAlignment="1">
      <alignment horizontal="center" vertical="center"/>
    </xf>
    <xf numFmtId="0" fontId="69" fillId="5" borderId="51" xfId="0" applyFont="1" applyFill="1" applyBorder="1" applyAlignment="1">
      <alignment horizontal="center" vertical="center"/>
    </xf>
    <xf numFmtId="0" fontId="70" fillId="3" borderId="52" xfId="0" applyFont="1" applyFill="1" applyBorder="1" applyAlignment="1">
      <alignment horizontal="left" vertical="center"/>
    </xf>
    <xf numFmtId="43" fontId="70" fillId="7" borderId="53" xfId="20" applyFont="1" applyFill="1" applyBorder="1" applyAlignment="1">
      <alignment/>
    </xf>
    <xf numFmtId="43" fontId="70" fillId="17" borderId="54" xfId="20" applyFont="1" applyFill="1" applyBorder="1" applyAlignment="1">
      <alignment/>
    </xf>
    <xf numFmtId="43" fontId="70" fillId="0" borderId="54" xfId="20" applyFont="1" applyFill="1" applyBorder="1" applyAlignment="1">
      <alignment/>
    </xf>
    <xf numFmtId="0" fontId="69" fillId="5" borderId="14" xfId="0" applyFont="1" applyFill="1" applyBorder="1" applyAlignment="1">
      <alignment horizontal="center" vertical="center"/>
    </xf>
    <xf numFmtId="0" fontId="69" fillId="5" borderId="0" xfId="0" applyFont="1" applyFill="1" applyBorder="1" applyAlignment="1">
      <alignment horizontal="center" vertical="center"/>
    </xf>
    <xf numFmtId="0" fontId="69" fillId="5" borderId="5" xfId="0" applyFont="1" applyFill="1" applyBorder="1" applyAlignment="1">
      <alignment horizontal="center" vertical="center"/>
    </xf>
    <xf numFmtId="0" fontId="70" fillId="3" borderId="6" xfId="0" applyFont="1" applyFill="1" applyBorder="1" applyAlignment="1">
      <alignment horizontal="left" vertical="center"/>
    </xf>
    <xf numFmtId="43" fontId="70" fillId="3" borderId="53" xfId="20" applyFont="1" applyFill="1" applyBorder="1" applyAlignment="1">
      <alignment/>
    </xf>
    <xf numFmtId="0" fontId="47" fillId="3" borderId="6" xfId="0" applyFont="1" applyFill="1" applyBorder="1" applyAlignment="1">
      <alignment horizontal="left" vertical="center"/>
    </xf>
    <xf numFmtId="43" fontId="47" fillId="3" borderId="53" xfId="20" applyFont="1" applyFill="1" applyBorder="1" applyAlignment="1" applyProtection="1">
      <alignment/>
      <protection/>
    </xf>
    <xf numFmtId="0" fontId="46" fillId="3" borderId="0" xfId="0" applyFont="1" applyFill="1" applyBorder="1"/>
    <xf numFmtId="43" fontId="46" fillId="3" borderId="53" xfId="20" applyFont="1" applyFill="1" applyBorder="1" applyAlignment="1" applyProtection="1">
      <alignment/>
      <protection/>
    </xf>
    <xf numFmtId="0" fontId="71" fillId="3" borderId="6" xfId="0" applyFont="1" applyFill="1" applyBorder="1" applyAlignment="1">
      <alignment horizontal="left" vertical="center"/>
    </xf>
    <xf numFmtId="43" fontId="71" fillId="3" borderId="53" xfId="20" applyFont="1" applyFill="1" applyBorder="1" applyAlignment="1" applyProtection="1">
      <alignment/>
      <protection/>
    </xf>
    <xf numFmtId="0" fontId="72" fillId="3" borderId="6" xfId="0" applyFont="1" applyFill="1" applyBorder="1" applyAlignment="1">
      <alignment horizontal="left" vertical="center"/>
    </xf>
    <xf numFmtId="0" fontId="46" fillId="3" borderId="6" xfId="0" applyFont="1" applyFill="1" applyBorder="1" applyAlignment="1">
      <alignment horizontal="left" vertical="center"/>
    </xf>
    <xf numFmtId="0" fontId="44" fillId="3" borderId="6" xfId="0" applyFont="1" applyFill="1" applyBorder="1" applyAlignment="1">
      <alignment horizontal="left" vertical="center"/>
    </xf>
    <xf numFmtId="0" fontId="47" fillId="3" borderId="16" xfId="0" applyFont="1" applyFill="1" applyBorder="1" applyAlignment="1">
      <alignment horizontal="left" vertical="center"/>
    </xf>
    <xf numFmtId="43" fontId="47" fillId="3" borderId="55" xfId="20" applyFont="1" applyFill="1" applyBorder="1" applyAlignment="1" applyProtection="1">
      <alignment/>
      <protection/>
    </xf>
    <xf numFmtId="0" fontId="69" fillId="5" borderId="13" xfId="0" applyFont="1" applyFill="1" applyBorder="1" applyAlignment="1">
      <alignment horizontal="center" vertical="center"/>
    </xf>
    <xf numFmtId="0" fontId="69" fillId="5" borderId="4" xfId="0" applyFont="1" applyFill="1" applyBorder="1" applyAlignment="1">
      <alignment horizontal="center" vertical="center"/>
    </xf>
    <xf numFmtId="0" fontId="69" fillId="5" borderId="3" xfId="0" applyFont="1" applyFill="1" applyBorder="1" applyAlignment="1">
      <alignment horizontal="center" vertical="center"/>
    </xf>
    <xf numFmtId="0" fontId="46" fillId="0" borderId="0" xfId="24" applyFont="1">
      <alignment/>
      <protection/>
    </xf>
    <xf numFmtId="0" fontId="47" fillId="5" borderId="56" xfId="0" applyFont="1" applyFill="1" applyBorder="1" applyAlignment="1">
      <alignment horizontal="center" vertical="center" wrapText="1"/>
    </xf>
    <xf numFmtId="0" fontId="47" fillId="5" borderId="57" xfId="24" applyFont="1" applyFill="1" applyBorder="1" applyAlignment="1">
      <alignment horizontal="center" vertical="center" wrapText="1"/>
      <protection/>
    </xf>
    <xf numFmtId="0" fontId="77" fillId="5" borderId="36" xfId="0" applyFont="1" applyFill="1" applyBorder="1" applyAlignment="1">
      <alignment/>
    </xf>
    <xf numFmtId="0" fontId="77" fillId="5" borderId="37" xfId="0" applyFont="1" applyFill="1" applyBorder="1" applyAlignment="1">
      <alignment/>
    </xf>
    <xf numFmtId="0" fontId="77" fillId="5" borderId="38" xfId="0" applyFont="1" applyFill="1" applyBorder="1" applyAlignment="1">
      <alignment/>
    </xf>
    <xf numFmtId="0" fontId="77" fillId="5" borderId="39" xfId="0" applyFont="1" applyFill="1" applyBorder="1" applyAlignment="1">
      <alignment vertical="center"/>
    </xf>
    <xf numFmtId="0" fontId="77" fillId="5" borderId="40" xfId="0" applyFont="1" applyFill="1" applyBorder="1" applyAlignment="1">
      <alignment/>
    </xf>
    <xf numFmtId="0" fontId="77" fillId="5" borderId="41" xfId="0" applyFont="1" applyFill="1" applyBorder="1" applyAlignment="1">
      <alignment vertical="center"/>
    </xf>
    <xf numFmtId="0" fontId="72" fillId="5" borderId="41" xfId="0" applyFont="1" applyFill="1" applyBorder="1" applyAlignment="1">
      <alignment vertical="center"/>
    </xf>
    <xf numFmtId="0" fontId="44" fillId="5" borderId="41" xfId="0" applyFont="1" applyFill="1" applyBorder="1" applyAlignment="1">
      <alignment vertical="center"/>
    </xf>
    <xf numFmtId="0" fontId="77" fillId="5" borderId="42" xfId="0" applyFont="1" applyFill="1" applyBorder="1" applyAlignment="1">
      <alignment/>
    </xf>
    <xf numFmtId="0" fontId="77" fillId="5" borderId="43" xfId="0" applyFont="1" applyFill="1" applyBorder="1" applyAlignment="1">
      <alignment/>
    </xf>
    <xf numFmtId="0" fontId="77" fillId="5" borderId="44" xfId="0" applyFont="1" applyFill="1" applyBorder="1" applyAlignment="1">
      <alignment vertical="center"/>
    </xf>
    <xf numFmtId="0" fontId="77" fillId="5" borderId="45" xfId="0" applyFont="1" applyFill="1" applyBorder="1" applyAlignment="1">
      <alignment/>
    </xf>
    <xf numFmtId="0" fontId="77" fillId="5" borderId="46" xfId="0" applyFont="1" applyFill="1" applyBorder="1" applyAlignment="1">
      <alignment/>
    </xf>
    <xf numFmtId="0" fontId="77" fillId="5" borderId="47" xfId="0" applyFont="1" applyFill="1" applyBorder="1" applyAlignment="1">
      <alignment/>
    </xf>
    <xf numFmtId="0" fontId="77" fillId="5" borderId="48" xfId="0" applyFont="1" applyFill="1" applyBorder="1" applyAlignment="1">
      <alignment vertical="center"/>
    </xf>
    <xf numFmtId="0" fontId="47" fillId="5" borderId="32" xfId="0" applyFont="1" applyFill="1" applyBorder="1" applyAlignment="1">
      <alignment horizontal="center" vertical="center" wrapText="1"/>
    </xf>
    <xf numFmtId="0" fontId="47" fillId="5" borderId="58" xfId="0" applyFont="1" applyFill="1" applyBorder="1" applyAlignment="1">
      <alignment horizontal="center" vertical="center" wrapText="1"/>
    </xf>
    <xf numFmtId="0" fontId="47" fillId="5" borderId="59" xfId="0" applyFont="1" applyFill="1" applyBorder="1" applyAlignment="1">
      <alignment horizontal="center" vertical="center" wrapText="1"/>
    </xf>
    <xf numFmtId="0" fontId="47" fillId="5" borderId="33" xfId="0" applyFont="1" applyFill="1" applyBorder="1" applyAlignment="1">
      <alignment horizontal="center" vertical="center" wrapText="1"/>
    </xf>
    <xf numFmtId="0" fontId="47" fillId="24" borderId="0" xfId="24" applyFont="1" applyFill="1" applyBorder="1" applyAlignment="1">
      <alignment/>
      <protection/>
    </xf>
    <xf numFmtId="4" fontId="46" fillId="0" borderId="1" xfId="0" applyNumberFormat="1" applyFont="1" applyFill="1" applyBorder="1" applyAlignment="1">
      <alignment horizontal="right" vertical="center" wrapText="1"/>
    </xf>
    <xf numFmtId="9" fontId="47" fillId="25" borderId="1" xfId="21" applyFont="1" applyFill="1" applyBorder="1" applyAlignment="1">
      <alignment horizontal="right" vertical="center"/>
    </xf>
    <xf numFmtId="4" fontId="47" fillId="25" borderId="1" xfId="0" applyNumberFormat="1" applyFont="1" applyFill="1" applyBorder="1" applyAlignment="1">
      <alignment horizontal="right" vertical="center" wrapText="1"/>
    </xf>
    <xf numFmtId="0" fontId="47" fillId="21" borderId="1" xfId="0" applyFont="1" applyFill="1" applyBorder="1" applyAlignment="1">
      <alignment horizontal="left" vertical="center"/>
    </xf>
    <xf numFmtId="4" fontId="47" fillId="21" borderId="1" xfId="0" applyNumberFormat="1" applyFont="1" applyFill="1" applyBorder="1" applyAlignment="1">
      <alignment horizontal="right" vertical="center" wrapText="1"/>
    </xf>
    <xf numFmtId="0" fontId="47" fillId="26" borderId="1" xfId="0" applyFont="1" applyFill="1" applyBorder="1" applyAlignment="1">
      <alignment vertical="center" wrapText="1"/>
    </xf>
    <xf numFmtId="0" fontId="46" fillId="3" borderId="1" xfId="0" applyFont="1" applyFill="1" applyBorder="1" applyAlignment="1">
      <alignment vertical="center" wrapText="1"/>
    </xf>
    <xf numFmtId="4" fontId="46" fillId="21" borderId="20" xfId="0" applyNumberFormat="1" applyFont="1" applyFill="1" applyBorder="1" applyAlignment="1">
      <alignment horizontal="right" vertical="center" wrapText="1"/>
    </xf>
    <xf numFmtId="2" fontId="44" fillId="0" borderId="2" xfId="0" applyNumberFormat="1" applyFont="1" applyBorder="1" applyAlignment="1">
      <alignment horizontal="right"/>
    </xf>
    <xf numFmtId="2" fontId="44" fillId="4" borderId="2" xfId="0" applyNumberFormat="1" applyFont="1" applyFill="1" applyBorder="1" applyAlignment="1">
      <alignment wrapText="1"/>
    </xf>
    <xf numFmtId="2" fontId="41" fillId="2" borderId="2" xfId="0" applyNumberFormat="1" applyFont="1" applyFill="1" applyBorder="1" applyAlignment="1">
      <alignment horizontal="right"/>
    </xf>
    <xf numFmtId="2" fontId="41" fillId="2" borderId="2" xfId="0" applyNumberFormat="1" applyFont="1" applyFill="1" applyBorder="1" applyAlignment="1">
      <alignment wrapText="1"/>
    </xf>
    <xf numFmtId="166" fontId="41" fillId="2" borderId="1" xfId="0" applyNumberFormat="1" applyFont="1" applyFill="1" applyBorder="1" applyAlignment="1">
      <alignment horizontal="center" wrapText="1"/>
    </xf>
    <xf numFmtId="0" fontId="14" fillId="3" borderId="1" xfId="0" applyFont="1" applyFill="1" applyBorder="1" applyAlignment="1">
      <alignment horizontal="left" vertical="top" wrapText="1"/>
    </xf>
    <xf numFmtId="0" fontId="65" fillId="5" borderId="20" xfId="0" applyFont="1" applyFill="1" applyBorder="1" applyAlignment="1">
      <alignment horizontal="left" vertical="top" wrapText="1"/>
    </xf>
    <xf numFmtId="0" fontId="65" fillId="5" borderId="1" xfId="0" applyFont="1" applyFill="1" applyBorder="1" applyAlignment="1">
      <alignment horizontal="left" vertical="top" wrapText="1"/>
    </xf>
    <xf numFmtId="0" fontId="12" fillId="3" borderId="9" xfId="24" applyFont="1" applyFill="1" applyBorder="1" applyAlignment="1">
      <alignment horizontal="left" vertical="top" wrapText="1"/>
      <protection/>
    </xf>
    <xf numFmtId="0" fontId="14" fillId="3" borderId="11" xfId="0" applyFont="1" applyFill="1" applyBorder="1" applyAlignment="1">
      <alignment horizontal="left" vertical="top" wrapText="1"/>
    </xf>
    <xf numFmtId="0" fontId="12" fillId="0" borderId="11" xfId="24" applyFont="1" applyBorder="1" applyAlignment="1">
      <alignment horizontal="left" vertical="top" wrapText="1"/>
      <protection/>
    </xf>
    <xf numFmtId="0" fontId="65" fillId="5" borderId="11" xfId="0" applyFont="1" applyFill="1" applyBorder="1" applyAlignment="1">
      <alignment horizontal="left" vertical="top" wrapText="1"/>
    </xf>
    <xf numFmtId="0" fontId="12" fillId="3" borderId="11" xfId="24" applyFont="1" applyFill="1" applyBorder="1" applyAlignment="1">
      <alignment horizontal="left" vertical="top" wrapText="1"/>
      <protection/>
    </xf>
    <xf numFmtId="0" fontId="12" fillId="3" borderId="12" xfId="24" applyFont="1" applyFill="1" applyBorder="1" applyAlignment="1">
      <alignment horizontal="left" vertical="top" wrapText="1"/>
      <protection/>
    </xf>
    <xf numFmtId="0" fontId="30" fillId="15" borderId="60" xfId="24" applyFont="1" applyFill="1" applyBorder="1" applyAlignment="1">
      <alignment horizontal="left" vertical="top" wrapText="1"/>
      <protection/>
    </xf>
    <xf numFmtId="0" fontId="17" fillId="5" borderId="49" xfId="0" applyFont="1" applyFill="1" applyBorder="1" applyAlignment="1">
      <alignment horizontal="left" vertical="top" wrapText="1"/>
    </xf>
    <xf numFmtId="0" fontId="17" fillId="5" borderId="50" xfId="0" applyFont="1" applyFill="1" applyBorder="1" applyAlignment="1">
      <alignment horizontal="left" vertical="top" wrapText="1"/>
    </xf>
    <xf numFmtId="0" fontId="18" fillId="3" borderId="6" xfId="0" applyFont="1" applyFill="1" applyBorder="1" applyAlignment="1">
      <alignment horizontal="left" vertical="top" wrapText="1"/>
    </xf>
    <xf numFmtId="0" fontId="12" fillId="21" borderId="6" xfId="24" applyFont="1" applyFill="1" applyBorder="1" applyAlignment="1">
      <alignment horizontal="left" vertical="top" wrapText="1"/>
      <protection/>
    </xf>
    <xf numFmtId="0" fontId="17" fillId="27" borderId="61" xfId="0" applyFont="1" applyFill="1" applyBorder="1" applyAlignment="1">
      <alignment horizontal="left" vertical="top" wrapText="1"/>
    </xf>
    <xf numFmtId="0" fontId="12" fillId="21" borderId="61" xfId="24" applyFont="1" applyFill="1" applyBorder="1" applyAlignment="1">
      <alignment horizontal="left" vertical="top" wrapText="1"/>
      <protection/>
    </xf>
    <xf numFmtId="0" fontId="12" fillId="21" borderId="7" xfId="24" applyFont="1" applyFill="1" applyBorder="1" applyAlignment="1">
      <alignment horizontal="left" vertical="top" wrapText="1"/>
      <protection/>
    </xf>
    <xf numFmtId="0" fontId="12" fillId="21" borderId="62" xfId="24" applyFont="1" applyFill="1" applyBorder="1" applyAlignment="1">
      <alignment horizontal="left" vertical="top" wrapText="1"/>
      <protection/>
    </xf>
    <xf numFmtId="0" fontId="65" fillId="5" borderId="37" xfId="0" applyFont="1" applyFill="1" applyBorder="1" applyAlignment="1">
      <alignment horizontal="left" vertical="top" wrapText="1"/>
    </xf>
    <xf numFmtId="0" fontId="65" fillId="5" borderId="42" xfId="0" applyFont="1" applyFill="1" applyBorder="1" applyAlignment="1">
      <alignment horizontal="left" vertical="top" wrapText="1"/>
    </xf>
    <xf numFmtId="0" fontId="65" fillId="5" borderId="38" xfId="0" applyFont="1" applyFill="1" applyBorder="1" applyAlignment="1">
      <alignment horizontal="left" vertical="top" wrapText="1"/>
    </xf>
    <xf numFmtId="0" fontId="65" fillId="5" borderId="14" xfId="0" applyFont="1" applyFill="1" applyBorder="1" applyAlignment="1">
      <alignment horizontal="left" vertical="top" wrapText="1"/>
    </xf>
    <xf numFmtId="0" fontId="65" fillId="5" borderId="45" xfId="0" applyFont="1" applyFill="1" applyBorder="1" applyAlignment="1">
      <alignment horizontal="left" vertical="top" wrapText="1"/>
    </xf>
    <xf numFmtId="0" fontId="65" fillId="5" borderId="47" xfId="0" applyFont="1" applyFill="1" applyBorder="1" applyAlignment="1">
      <alignment horizontal="left" vertical="top" wrapText="1"/>
    </xf>
    <xf numFmtId="0" fontId="12" fillId="3" borderId="0" xfId="0" applyFont="1" applyFill="1" applyAlignment="1">
      <alignment/>
    </xf>
    <xf numFmtId="0" fontId="0" fillId="0" borderId="0" xfId="0" applyFont="1"/>
    <xf numFmtId="0" fontId="48" fillId="0" borderId="0" xfId="0" applyFont="1" applyAlignment="1">
      <alignment horizontal="right"/>
    </xf>
    <xf numFmtId="0" fontId="41" fillId="28" borderId="0" xfId="0" applyFont="1" applyFill="1" applyAlignment="1">
      <alignment horizontal="left"/>
    </xf>
    <xf numFmtId="0" fontId="41" fillId="28" borderId="0" xfId="0" applyFont="1" applyFill="1" applyAlignment="1">
      <alignment horizontal="left" vertical="top"/>
    </xf>
    <xf numFmtId="0" fontId="42" fillId="28" borderId="0" xfId="0" applyFont="1" applyFill="1"/>
    <xf numFmtId="4" fontId="44" fillId="0" borderId="0" xfId="0" applyNumberFormat="1" applyFont="1" applyFill="1" applyBorder="1" applyAlignment="1">
      <alignment horizontal="left" vertical="top" wrapText="1"/>
    </xf>
    <xf numFmtId="4" fontId="44" fillId="0" borderId="0" xfId="0" applyNumberFormat="1" applyFont="1" applyFill="1" applyBorder="1" applyAlignment="1">
      <alignment vertical="top" wrapText="1"/>
    </xf>
    <xf numFmtId="4" fontId="41" fillId="0" borderId="0" xfId="0" applyNumberFormat="1" applyFont="1" applyFill="1" applyBorder="1" applyAlignment="1">
      <alignment horizontal="right" vertical="top" wrapText="1"/>
    </xf>
    <xf numFmtId="4" fontId="41" fillId="0" borderId="1" xfId="0" applyNumberFormat="1" applyFont="1" applyFill="1" applyBorder="1" applyAlignment="1">
      <alignment horizontal="right" vertical="top" wrapText="1"/>
    </xf>
    <xf numFmtId="0" fontId="12" fillId="3" borderId="1" xfId="24" applyFont="1" applyFill="1" applyBorder="1" applyAlignment="1">
      <alignment vertical="top" wrapText="1"/>
      <protection/>
    </xf>
    <xf numFmtId="0" fontId="44" fillId="0" borderId="1" xfId="0" applyFont="1" applyFill="1" applyBorder="1" applyAlignment="1" applyProtection="1">
      <alignment horizontal="left"/>
      <protection/>
    </xf>
    <xf numFmtId="169" fontId="44" fillId="0" borderId="1" xfId="0" applyNumberFormat="1" applyFont="1" applyFill="1" applyBorder="1" applyAlignment="1">
      <alignment horizontal="center" vertical="center"/>
    </xf>
    <xf numFmtId="0" fontId="12" fillId="0" borderId="1" xfId="24" applyFont="1" applyFill="1" applyBorder="1" applyAlignment="1">
      <alignment vertical="top" wrapText="1"/>
      <protection/>
    </xf>
    <xf numFmtId="43" fontId="41" fillId="23" borderId="27" xfId="20" applyFont="1" applyFill="1" applyBorder="1" applyAlignment="1">
      <alignment wrapText="1"/>
    </xf>
    <xf numFmtId="0" fontId="44" fillId="3" borderId="0" xfId="0" applyFont="1" applyFill="1" applyBorder="1" applyAlignment="1" applyProtection="1">
      <alignment horizontal="right" vertical="center"/>
      <protection/>
    </xf>
    <xf numFmtId="0" fontId="41" fillId="22" borderId="1" xfId="0" applyFont="1" applyFill="1" applyBorder="1" applyAlignment="1">
      <alignment horizontal="right" vertical="top" wrapText="1"/>
    </xf>
    <xf numFmtId="4" fontId="41" fillId="22" borderId="1" xfId="0" applyNumberFormat="1" applyFont="1" applyFill="1" applyBorder="1" applyAlignment="1">
      <alignment horizontal="right" vertical="top" wrapText="1"/>
    </xf>
    <xf numFmtId="4" fontId="44" fillId="0" borderId="1" xfId="0" applyNumberFormat="1" applyFont="1" applyFill="1" applyBorder="1" applyAlignment="1">
      <alignment horizontal="left" vertical="top" wrapText="1"/>
    </xf>
    <xf numFmtId="0" fontId="44" fillId="0" borderId="47" xfId="0" applyFont="1" applyBorder="1" applyAlignment="1">
      <alignment horizontal="center" vertical="center" wrapText="1"/>
    </xf>
    <xf numFmtId="0" fontId="41" fillId="0" borderId="63" xfId="0" applyFont="1" applyBorder="1" applyAlignment="1">
      <alignment horizontal="center" wrapText="1"/>
    </xf>
    <xf numFmtId="43" fontId="41" fillId="4" borderId="2" xfId="20" applyFont="1" applyFill="1" applyBorder="1" applyAlignment="1">
      <alignment horizontal="right"/>
    </xf>
    <xf numFmtId="4" fontId="41" fillId="2" borderId="1" xfId="0" applyNumberFormat="1" applyFont="1" applyFill="1" applyBorder="1" applyAlignment="1">
      <alignment horizontal="right" wrapText="1"/>
    </xf>
    <xf numFmtId="169" fontId="44" fillId="18" borderId="1" xfId="0" applyNumberFormat="1" applyFont="1" applyFill="1" applyBorder="1" applyAlignment="1">
      <alignment vertical="center"/>
    </xf>
    <xf numFmtId="169" fontId="44" fillId="19" borderId="1" xfId="0" applyNumberFormat="1" applyFont="1" applyFill="1" applyBorder="1" applyAlignment="1">
      <alignment vertical="center"/>
    </xf>
    <xf numFmtId="169" fontId="44" fillId="19" borderId="1" xfId="0" applyNumberFormat="1" applyFont="1" applyFill="1" applyBorder="1" applyAlignment="1">
      <alignment vertical="center" wrapText="1"/>
    </xf>
    <xf numFmtId="169" fontId="44" fillId="20" borderId="1" xfId="0" applyNumberFormat="1" applyFont="1" applyFill="1" applyBorder="1" applyAlignment="1">
      <alignment vertical="center"/>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43" fontId="18" fillId="0" borderId="53" xfId="20" applyFont="1" applyFill="1" applyBorder="1" applyAlignment="1">
      <alignment/>
    </xf>
    <xf numFmtId="43" fontId="18" fillId="3" borderId="53" xfId="20" applyFont="1" applyFill="1" applyBorder="1" applyAlignment="1">
      <alignment/>
    </xf>
    <xf numFmtId="43" fontId="14" fillId="3" borderId="53" xfId="20" applyFont="1" applyFill="1" applyBorder="1" applyAlignment="1" applyProtection="1">
      <alignment/>
      <protection/>
    </xf>
    <xf numFmtId="43" fontId="12" fillId="3" borderId="53" xfId="20" applyFont="1" applyFill="1" applyBorder="1" applyAlignment="1" applyProtection="1">
      <alignment/>
      <protection/>
    </xf>
    <xf numFmtId="43" fontId="24" fillId="3" borderId="53" xfId="20" applyFont="1" applyFill="1" applyBorder="1" applyAlignment="1" applyProtection="1">
      <alignment/>
      <protection/>
    </xf>
    <xf numFmtId="43" fontId="14" fillId="3" borderId="55" xfId="20" applyFont="1" applyFill="1" applyBorder="1" applyAlignment="1" applyProtection="1">
      <alignment/>
      <protection/>
    </xf>
    <xf numFmtId="0" fontId="51" fillId="0" borderId="0" xfId="0" applyFont="1"/>
    <xf numFmtId="0" fontId="81" fillId="0" borderId="0" xfId="0" applyFont="1"/>
    <xf numFmtId="0" fontId="82" fillId="0" borderId="0" xfId="0" applyFont="1"/>
    <xf numFmtId="4" fontId="46" fillId="0" borderId="20" xfId="0" applyNumberFormat="1" applyFont="1" applyFill="1" applyBorder="1" applyAlignment="1">
      <alignment horizontal="right" vertical="center" wrapText="1"/>
    </xf>
    <xf numFmtId="9" fontId="46" fillId="0" borderId="20" xfId="21" applyFont="1" applyFill="1" applyBorder="1" applyAlignment="1">
      <alignment horizontal="right" vertical="center" wrapText="1"/>
    </xf>
    <xf numFmtId="9" fontId="42" fillId="0" borderId="0" xfId="0" applyNumberFormat="1" applyFont="1"/>
    <xf numFmtId="4" fontId="44" fillId="25" borderId="2" xfId="0" applyNumberFormat="1" applyFont="1" applyFill="1" applyBorder="1" applyAlignment="1">
      <alignment wrapText="1"/>
    </xf>
    <xf numFmtId="0" fontId="44" fillId="0" borderId="0" xfId="0" applyFont="1"/>
    <xf numFmtId="0" fontId="47" fillId="5" borderId="64" xfId="0" applyFont="1" applyFill="1" applyBorder="1" applyAlignment="1">
      <alignment vertical="center" wrapText="1"/>
    </xf>
    <xf numFmtId="0" fontId="69" fillId="5" borderId="65" xfId="0" applyFont="1" applyFill="1" applyBorder="1" applyAlignment="1">
      <alignment horizontal="center" vertical="center"/>
    </xf>
    <xf numFmtId="43" fontId="70" fillId="7" borderId="35" xfId="20" applyFont="1" applyFill="1" applyBorder="1" applyAlignment="1">
      <alignment/>
    </xf>
    <xf numFmtId="0" fontId="69" fillId="5" borderId="66" xfId="0" applyFont="1" applyFill="1" applyBorder="1" applyAlignment="1">
      <alignment horizontal="center" vertical="center"/>
    </xf>
    <xf numFmtId="43" fontId="70" fillId="7" borderId="55" xfId="20" applyFont="1" applyFill="1" applyBorder="1" applyAlignment="1">
      <alignment/>
    </xf>
    <xf numFmtId="43" fontId="70" fillId="17" borderId="30" xfId="20" applyFont="1" applyFill="1" applyBorder="1" applyAlignment="1">
      <alignment/>
    </xf>
    <xf numFmtId="0" fontId="47" fillId="5" borderId="27" xfId="24" applyFont="1" applyFill="1" applyBorder="1" applyAlignment="1">
      <alignment horizontal="center" vertical="center" wrapText="1"/>
      <protection/>
    </xf>
    <xf numFmtId="0" fontId="47" fillId="5" borderId="67" xfId="0" applyFont="1" applyFill="1" applyBorder="1" applyAlignment="1">
      <alignment vertical="center" wrapText="1"/>
    </xf>
    <xf numFmtId="0" fontId="69" fillId="5" borderId="68" xfId="0" applyFont="1" applyFill="1" applyBorder="1" applyAlignment="1">
      <alignment horizontal="center" vertical="center"/>
    </xf>
    <xf numFmtId="0" fontId="69" fillId="5" borderId="69" xfId="0" applyFont="1" applyFill="1" applyBorder="1" applyAlignment="1">
      <alignment horizontal="center" vertical="center"/>
    </xf>
    <xf numFmtId="0" fontId="70" fillId="3" borderId="35" xfId="0" applyFont="1" applyFill="1" applyBorder="1" applyAlignment="1">
      <alignment horizontal="left" vertical="center"/>
    </xf>
    <xf numFmtId="0" fontId="70" fillId="3" borderId="30" xfId="0" applyFont="1" applyFill="1" applyBorder="1" applyAlignment="1">
      <alignment horizontal="left" vertical="center"/>
    </xf>
    <xf numFmtId="0" fontId="42" fillId="0" borderId="1" xfId="0" applyFont="1" applyBorder="1" applyAlignment="1">
      <alignment horizontal="left" vertical="center"/>
    </xf>
    <xf numFmtId="0" fontId="42" fillId="0" borderId="1" xfId="0" applyFont="1" applyFill="1" applyBorder="1" applyAlignment="1">
      <alignment horizontal="left" vertical="center" wrapText="1"/>
    </xf>
    <xf numFmtId="14" fontId="42" fillId="0" borderId="1" xfId="0" applyNumberFormat="1" applyFont="1" applyBorder="1" applyAlignment="1">
      <alignment horizontal="left" vertical="center"/>
    </xf>
    <xf numFmtId="0" fontId="42" fillId="0" borderId="1" xfId="0" applyFont="1" applyFill="1" applyBorder="1" applyAlignment="1">
      <alignment horizontal="left" vertical="center" wrapText="1"/>
    </xf>
    <xf numFmtId="9" fontId="42" fillId="0" borderId="0" xfId="0" applyNumberFormat="1" applyFont="1" applyFill="1" applyBorder="1" applyAlignment="1">
      <alignment horizontal="left" vertical="top" wrapText="1"/>
    </xf>
    <xf numFmtId="9" fontId="42" fillId="0" borderId="0" xfId="0" applyNumberFormat="1" applyFont="1" applyFill="1" applyBorder="1" applyAlignment="1">
      <alignment horizontal="right" vertical="top" wrapText="1"/>
    </xf>
    <xf numFmtId="9" fontId="46" fillId="0" borderId="1" xfId="21" applyFont="1" applyFill="1" applyBorder="1" applyAlignment="1">
      <alignment horizontal="right" vertical="center" wrapText="1"/>
    </xf>
    <xf numFmtId="0" fontId="43" fillId="0" borderId="1" xfId="22" applyFont="1" applyBorder="1" applyAlignment="1">
      <alignment vertical="center"/>
    </xf>
    <xf numFmtId="0" fontId="41" fillId="16" borderId="1" xfId="0" applyFont="1" applyFill="1" applyBorder="1" applyAlignment="1">
      <alignment horizontal="center" vertical="center" wrapText="1"/>
    </xf>
    <xf numFmtId="0" fontId="47" fillId="5" borderId="57" xfId="24" applyFont="1" applyFill="1" applyBorder="1" applyAlignment="1">
      <alignment horizontal="center" vertical="center" wrapText="1"/>
      <protection/>
    </xf>
    <xf numFmtId="4" fontId="51" fillId="0" borderId="20" xfId="0" applyNumberFormat="1" applyFont="1" applyFill="1" applyBorder="1" applyAlignment="1">
      <alignment horizontal="left" vertical="top" wrapText="1"/>
    </xf>
    <xf numFmtId="4" fontId="44" fillId="0" borderId="1" xfId="0" applyNumberFormat="1" applyFont="1" applyBorder="1" applyAlignment="1">
      <alignment horizontal="left" vertical="center" wrapText="1"/>
    </xf>
    <xf numFmtId="0" fontId="42" fillId="0" borderId="1" xfId="0" applyFont="1" applyBorder="1" applyAlignment="1">
      <alignment vertical="center" wrapText="1"/>
    </xf>
    <xf numFmtId="0" fontId="42" fillId="0" borderId="1" xfId="0" applyFont="1" applyFill="1" applyBorder="1" applyAlignment="1">
      <alignment horizontal="left" vertical="center" wrapText="1"/>
    </xf>
    <xf numFmtId="4" fontId="46" fillId="25" borderId="20" xfId="0" applyNumberFormat="1" applyFont="1" applyFill="1" applyBorder="1" applyAlignment="1">
      <alignment horizontal="right" vertical="center" wrapText="1"/>
    </xf>
    <xf numFmtId="9" fontId="46" fillId="25" borderId="20" xfId="21" applyFont="1" applyFill="1" applyBorder="1" applyAlignment="1">
      <alignment horizontal="right" vertical="center" wrapText="1"/>
    </xf>
    <xf numFmtId="2" fontId="46" fillId="0" borderId="20" xfId="0" applyNumberFormat="1" applyFont="1" applyFill="1" applyBorder="1" applyAlignment="1">
      <alignment horizontal="right" vertical="center" wrapText="1"/>
    </xf>
    <xf numFmtId="43" fontId="21" fillId="3" borderId="0" xfId="24" applyNumberFormat="1" applyFont="1" applyFill="1">
      <alignment/>
      <protection/>
    </xf>
    <xf numFmtId="10" fontId="46" fillId="3" borderId="0" xfId="21" applyNumberFormat="1" applyFont="1" applyFill="1"/>
    <xf numFmtId="10" fontId="47" fillId="3" borderId="0" xfId="21" applyNumberFormat="1" applyFont="1" applyFill="1" applyAlignment="1">
      <alignment wrapText="1"/>
    </xf>
    <xf numFmtId="173" fontId="0" fillId="0" borderId="0" xfId="0" applyNumberFormat="1"/>
    <xf numFmtId="43" fontId="12" fillId="3" borderId="0" xfId="0" applyNumberFormat="1" applyFont="1" applyFill="1"/>
    <xf numFmtId="10" fontId="12" fillId="3" borderId="0" xfId="21" applyNumberFormat="1" applyFont="1" applyFill="1"/>
    <xf numFmtId="0" fontId="42" fillId="17" borderId="0" xfId="0" applyFont="1" applyFill="1"/>
    <xf numFmtId="0" fontId="0" fillId="17" borderId="0" xfId="0" applyFill="1"/>
    <xf numFmtId="0" fontId="42" fillId="17" borderId="1" xfId="0" applyFont="1" applyFill="1" applyBorder="1" applyAlignment="1">
      <alignment horizontal="center"/>
    </xf>
    <xf numFmtId="0" fontId="42" fillId="17" borderId="1" xfId="0" applyFont="1" applyFill="1" applyBorder="1"/>
    <xf numFmtId="0" fontId="84" fillId="17" borderId="24" xfId="0" applyFont="1" applyFill="1" applyBorder="1" applyAlignment="1">
      <alignment vertical="top"/>
    </xf>
    <xf numFmtId="9" fontId="44" fillId="0" borderId="1" xfId="21" applyFont="1" applyFill="1" applyBorder="1" applyAlignment="1">
      <alignment horizontal="left" vertical="top" wrapText="1"/>
    </xf>
    <xf numFmtId="0" fontId="12" fillId="0" borderId="22" xfId="24" applyFont="1" applyFill="1" applyBorder="1" applyAlignment="1">
      <alignment horizontal="left" vertical="top" wrapText="1"/>
      <protection/>
    </xf>
    <xf numFmtId="0" fontId="65" fillId="5" borderId="52" xfId="0" applyFont="1" applyFill="1" applyBorder="1" applyAlignment="1">
      <alignment horizontal="left" vertical="top" wrapText="1"/>
    </xf>
    <xf numFmtId="0" fontId="42" fillId="0" borderId="6" xfId="0" applyFont="1" applyFill="1" applyBorder="1" applyAlignment="1">
      <alignment horizontal="left" vertical="top" wrapText="1"/>
    </xf>
    <xf numFmtId="0" fontId="12" fillId="3" borderId="22" xfId="24" applyFont="1" applyFill="1" applyBorder="1" applyAlignment="1">
      <alignment vertical="top" wrapText="1"/>
      <protection/>
    </xf>
    <xf numFmtId="0" fontId="65" fillId="5" borderId="6" xfId="0" applyFont="1" applyFill="1" applyBorder="1" applyAlignment="1">
      <alignment horizontal="left" vertical="top" wrapText="1"/>
    </xf>
    <xf numFmtId="0" fontId="42" fillId="0" borderId="20" xfId="0" applyFont="1" applyFill="1" applyBorder="1" applyAlignment="1">
      <alignment horizontal="left" vertical="top" wrapText="1"/>
    </xf>
    <xf numFmtId="0" fontId="12" fillId="3" borderId="18" xfId="24" applyFont="1" applyFill="1" applyBorder="1" applyAlignment="1">
      <alignment vertical="top" wrapText="1"/>
      <protection/>
    </xf>
    <xf numFmtId="0" fontId="12" fillId="0" borderId="7" xfId="24" applyFont="1" applyFill="1" applyBorder="1" applyAlignment="1">
      <alignment vertical="top" wrapText="1"/>
      <protection/>
    </xf>
    <xf numFmtId="0" fontId="42" fillId="0" borderId="2" xfId="0" applyFont="1" applyFill="1" applyBorder="1" applyAlignment="1">
      <alignment horizontal="left" vertical="top" wrapText="1"/>
    </xf>
    <xf numFmtId="0" fontId="12" fillId="3" borderId="25" xfId="24" applyFont="1" applyFill="1" applyBorder="1" applyAlignment="1">
      <alignment horizontal="left" vertical="top" wrapText="1"/>
      <protection/>
    </xf>
    <xf numFmtId="0" fontId="12" fillId="3" borderId="22" xfId="24" applyFont="1" applyFill="1" applyBorder="1" applyAlignment="1">
      <alignment horizontal="left" vertical="top" wrapText="1"/>
      <protection/>
    </xf>
    <xf numFmtId="0" fontId="12" fillId="3" borderId="20" xfId="24" applyFont="1" applyFill="1" applyBorder="1" applyAlignment="1">
      <alignment horizontal="left" vertical="top" wrapText="1"/>
      <protection/>
    </xf>
    <xf numFmtId="0" fontId="65" fillId="5" borderId="40" xfId="0" applyFont="1" applyFill="1" applyBorder="1" applyAlignment="1">
      <alignment horizontal="left" vertical="top" wrapText="1"/>
    </xf>
    <xf numFmtId="0" fontId="12" fillId="0" borderId="25" xfId="24" applyFont="1" applyBorder="1" applyAlignment="1">
      <alignment horizontal="left" vertical="top" wrapText="1"/>
      <protection/>
    </xf>
    <xf numFmtId="0" fontId="12" fillId="0" borderId="20" xfId="24" applyFont="1" applyBorder="1" applyAlignment="1">
      <alignment horizontal="left" vertical="top" wrapText="1"/>
      <protection/>
    </xf>
    <xf numFmtId="0" fontId="12" fillId="0" borderId="25" xfId="24" applyFont="1" applyFill="1" applyBorder="1" applyAlignment="1">
      <alignment horizontal="left" vertical="top" wrapText="1"/>
      <protection/>
    </xf>
    <xf numFmtId="0" fontId="12" fillId="0" borderId="20" xfId="24" applyFont="1" applyFill="1" applyBorder="1" applyAlignment="1">
      <alignment horizontal="left" vertical="top" wrapText="1"/>
      <protection/>
    </xf>
    <xf numFmtId="0" fontId="12" fillId="3" borderId="1" xfId="24" applyFont="1" applyFill="1" applyBorder="1" applyAlignment="1">
      <alignment horizontal="left" vertical="top" wrapText="1"/>
      <protection/>
    </xf>
    <xf numFmtId="0" fontId="12" fillId="0" borderId="1" xfId="24" applyFont="1" applyFill="1" applyBorder="1" applyAlignment="1">
      <alignment horizontal="left" vertical="top" wrapText="1"/>
      <protection/>
    </xf>
    <xf numFmtId="0" fontId="42" fillId="0" borderId="1" xfId="0" applyFont="1" applyFill="1" applyBorder="1" applyAlignment="1">
      <alignment vertical="top" wrapText="1"/>
    </xf>
    <xf numFmtId="0" fontId="30" fillId="15" borderId="70" xfId="24" applyFont="1" applyFill="1" applyBorder="1" applyAlignment="1">
      <alignment horizontal="left" vertical="top" wrapText="1"/>
      <protection/>
    </xf>
    <xf numFmtId="0" fontId="42" fillId="0" borderId="1" xfId="0" applyFont="1" applyFill="1" applyBorder="1" applyAlignment="1">
      <alignment horizontal="left" vertical="top" wrapText="1"/>
    </xf>
    <xf numFmtId="0" fontId="47" fillId="5" borderId="58" xfId="0" applyFont="1" applyFill="1" applyBorder="1" applyAlignment="1">
      <alignment horizontal="center" vertical="center" wrapText="1"/>
    </xf>
    <xf numFmtId="0" fontId="47" fillId="5" borderId="59" xfId="0" applyFont="1" applyFill="1" applyBorder="1" applyAlignment="1">
      <alignment horizontal="center" vertical="center" wrapText="1"/>
    </xf>
    <xf numFmtId="43" fontId="14" fillId="0" borderId="53" xfId="20" applyFont="1" applyFill="1" applyBorder="1" applyAlignment="1" applyProtection="1">
      <alignment/>
      <protection/>
    </xf>
    <xf numFmtId="43" fontId="12" fillId="0" borderId="53" xfId="20" applyFont="1" applyFill="1" applyBorder="1" applyAlignment="1" applyProtection="1">
      <alignment/>
      <protection/>
    </xf>
    <xf numFmtId="43" fontId="24" fillId="0" borderId="53" xfId="20" applyFont="1" applyFill="1" applyBorder="1" applyAlignment="1" applyProtection="1">
      <alignment/>
      <protection/>
    </xf>
    <xf numFmtId="43" fontId="14" fillId="0" borderId="55" xfId="20" applyFont="1" applyFill="1" applyBorder="1" applyAlignment="1" applyProtection="1">
      <alignment/>
      <protection/>
    </xf>
    <xf numFmtId="43" fontId="18" fillId="0" borderId="1" xfId="20" applyFont="1" applyFill="1" applyBorder="1" applyAlignment="1">
      <alignment/>
    </xf>
    <xf numFmtId="43" fontId="14" fillId="0" borderId="1" xfId="20" applyFont="1" applyFill="1" applyBorder="1" applyAlignment="1" applyProtection="1">
      <alignment/>
      <protection/>
    </xf>
    <xf numFmtId="43" fontId="12" fillId="0" borderId="1" xfId="20" applyFont="1" applyFill="1" applyBorder="1" applyAlignment="1" applyProtection="1">
      <alignment/>
      <protection/>
    </xf>
    <xf numFmtId="43" fontId="24" fillId="0" borderId="1" xfId="20" applyFont="1" applyFill="1" applyBorder="1" applyAlignment="1" applyProtection="1">
      <alignment/>
      <protection/>
    </xf>
    <xf numFmtId="43" fontId="14" fillId="0" borderId="9" xfId="20" applyFont="1" applyFill="1" applyBorder="1" applyAlignment="1" applyProtection="1">
      <alignment/>
      <protection/>
    </xf>
    <xf numFmtId="43" fontId="12" fillId="0" borderId="17" xfId="20" applyFont="1" applyFill="1" applyBorder="1"/>
    <xf numFmtId="43" fontId="24" fillId="0" borderId="9" xfId="20" applyFont="1" applyFill="1" applyBorder="1" applyAlignment="1" applyProtection="1">
      <alignment/>
      <protection/>
    </xf>
    <xf numFmtId="43" fontId="12" fillId="0" borderId="9" xfId="20" applyFont="1" applyFill="1" applyBorder="1" applyAlignment="1" applyProtection="1">
      <alignment/>
      <protection/>
    </xf>
    <xf numFmtId="43" fontId="18" fillId="0" borderId="9" xfId="20" applyFont="1" applyFill="1" applyBorder="1" applyAlignment="1">
      <alignment/>
    </xf>
    <xf numFmtId="43" fontId="18" fillId="0" borderId="7" xfId="20" applyFont="1" applyFill="1" applyBorder="1" applyAlignment="1">
      <alignment/>
    </xf>
    <xf numFmtId="43" fontId="14" fillId="0" borderId="7" xfId="20" applyFont="1" applyFill="1" applyBorder="1" applyAlignment="1" applyProtection="1">
      <alignment/>
      <protection/>
    </xf>
    <xf numFmtId="43" fontId="12" fillId="0" borderId="7" xfId="20" applyFont="1" applyFill="1" applyBorder="1" applyAlignment="1" applyProtection="1">
      <alignment/>
      <protection/>
    </xf>
    <xf numFmtId="43" fontId="18" fillId="0" borderId="8" xfId="20" applyFont="1" applyFill="1" applyBorder="1" applyAlignment="1">
      <alignment/>
    </xf>
    <xf numFmtId="43" fontId="14" fillId="0" borderId="8" xfId="20" applyFont="1" applyFill="1" applyBorder="1" applyAlignment="1" applyProtection="1">
      <alignment/>
      <protection/>
    </xf>
    <xf numFmtId="43" fontId="14" fillId="0" borderId="11" xfId="20" applyFont="1" applyFill="1" applyBorder="1" applyAlignment="1" applyProtection="1">
      <alignment/>
      <protection/>
    </xf>
    <xf numFmtId="0" fontId="87" fillId="0" borderId="0" xfId="0" applyFont="1"/>
    <xf numFmtId="0" fontId="88" fillId="29" borderId="1" xfId="0" applyFont="1" applyFill="1" applyBorder="1" applyAlignment="1">
      <alignment horizontal="center" vertical="center"/>
    </xf>
    <xf numFmtId="4" fontId="0" fillId="0" borderId="0" xfId="0" applyNumberFormat="1" applyAlignment="1">
      <alignment horizontal="center" vertical="center"/>
    </xf>
    <xf numFmtId="4" fontId="87" fillId="0" borderId="0" xfId="0" applyNumberFormat="1" applyFont="1" applyAlignment="1">
      <alignment horizontal="center" vertical="center" wrapText="1"/>
    </xf>
    <xf numFmtId="10" fontId="0" fillId="0" borderId="0" xfId="0" applyNumberFormat="1" applyAlignment="1">
      <alignment horizontal="center" vertical="center"/>
    </xf>
    <xf numFmtId="4" fontId="87" fillId="0" borderId="0" xfId="0" applyNumberFormat="1" applyFont="1" applyAlignment="1">
      <alignment horizontal="center" vertical="center"/>
    </xf>
    <xf numFmtId="4" fontId="87" fillId="0" borderId="1" xfId="0" applyNumberFormat="1" applyFont="1" applyBorder="1" applyAlignment="1">
      <alignment horizontal="center" vertical="center" wrapText="1"/>
    </xf>
    <xf numFmtId="0" fontId="88" fillId="29" borderId="1" xfId="0" applyFont="1" applyFill="1" applyBorder="1" applyAlignment="1">
      <alignment vertical="center"/>
    </xf>
    <xf numFmtId="0" fontId="88" fillId="29" borderId="1" xfId="0" applyFont="1" applyFill="1" applyBorder="1" applyAlignment="1">
      <alignment horizontal="center"/>
    </xf>
    <xf numFmtId="0" fontId="85" fillId="0" borderId="0" xfId="0" applyFont="1" applyAlignment="1">
      <alignment horizontal="center" vertical="center"/>
    </xf>
    <xf numFmtId="0" fontId="85" fillId="0" borderId="0" xfId="0" applyFont="1"/>
    <xf numFmtId="0" fontId="89" fillId="0" borderId="0" xfId="0" applyFont="1"/>
    <xf numFmtId="0" fontId="90" fillId="30" borderId="0" xfId="0" applyFont="1" applyFill="1"/>
    <xf numFmtId="0" fontId="91" fillId="30" borderId="0" xfId="0" applyFont="1" applyFill="1"/>
    <xf numFmtId="0" fontId="92" fillId="30" borderId="0" xfId="0" applyFont="1" applyFill="1"/>
    <xf numFmtId="0" fontId="46" fillId="0" borderId="0" xfId="0" applyFont="1"/>
    <xf numFmtId="0" fontId="93" fillId="0" borderId="0" xfId="0" applyFont="1" applyAlignment="1">
      <alignment horizontal="center" vertical="center"/>
    </xf>
    <xf numFmtId="0" fontId="87" fillId="0" borderId="0" xfId="0" applyFont="1" applyAlignment="1">
      <alignment horizontal="left" vertical="center"/>
    </xf>
    <xf numFmtId="0" fontId="87" fillId="0" borderId="0" xfId="0" applyFont="1" applyAlignment="1">
      <alignment horizontal="left"/>
    </xf>
    <xf numFmtId="0" fontId="0" fillId="0" borderId="1" xfId="0" applyBorder="1"/>
    <xf numFmtId="4" fontId="0" fillId="0" borderId="0" xfId="0" applyNumberFormat="1"/>
    <xf numFmtId="0" fontId="0" fillId="0" borderId="0" xfId="0" applyAlignment="1">
      <alignment horizontal="center" vertical="center"/>
    </xf>
    <xf numFmtId="0" fontId="102" fillId="0" borderId="0" xfId="0" applyFont="1"/>
    <xf numFmtId="0" fontId="88" fillId="0" borderId="0" xfId="0" applyFont="1"/>
    <xf numFmtId="0" fontId="93" fillId="0" borderId="0" xfId="0" applyFont="1" applyAlignment="1">
      <alignment wrapText="1"/>
    </xf>
    <xf numFmtId="0" fontId="46" fillId="0" borderId="0" xfId="0" applyFont="1" applyAlignment="1">
      <alignment vertical="center"/>
    </xf>
    <xf numFmtId="9" fontId="0" fillId="0" borderId="0" xfId="0" applyNumberFormat="1" applyAlignment="1">
      <alignment horizontal="center" vertical="center"/>
    </xf>
    <xf numFmtId="0" fontId="90" fillId="0" borderId="0" xfId="0" applyFont="1"/>
    <xf numFmtId="0" fontId="92" fillId="0" borderId="0" xfId="0" applyFont="1"/>
    <xf numFmtId="0" fontId="87" fillId="0" borderId="0" xfId="0" applyFont="1" applyAlignment="1">
      <alignment horizontal="left" vertical="top"/>
    </xf>
    <xf numFmtId="0" fontId="102" fillId="31" borderId="0" xfId="0" applyFont="1" applyFill="1"/>
    <xf numFmtId="0" fontId="88" fillId="31" borderId="0" xfId="0" applyFont="1" applyFill="1"/>
    <xf numFmtId="0" fontId="105" fillId="17" borderId="0" xfId="0" applyFont="1" applyFill="1"/>
    <xf numFmtId="0" fontId="12" fillId="0" borderId="0" xfId="0" applyFont="1"/>
    <xf numFmtId="174" fontId="12" fillId="0" borderId="1" xfId="26" applyNumberFormat="1" applyFont="1" applyBorder="1" applyProtection="1">
      <alignment/>
      <protection/>
    </xf>
    <xf numFmtId="0" fontId="12" fillId="5" borderId="1" xfId="0" applyFont="1" applyFill="1" applyBorder="1"/>
    <xf numFmtId="0" fontId="12" fillId="0" borderId="1" xfId="0" applyFont="1" applyBorder="1" applyAlignment="1">
      <alignment horizontal="left" vertical="center"/>
    </xf>
    <xf numFmtId="4" fontId="12" fillId="0" borderId="1" xfId="0" applyNumberFormat="1" applyFont="1" applyBorder="1"/>
    <xf numFmtId="0" fontId="12" fillId="0" borderId="1" xfId="0" applyFont="1" applyBorder="1"/>
    <xf numFmtId="0" fontId="106" fillId="5" borderId="1" xfId="0" applyFont="1" applyFill="1" applyBorder="1"/>
    <xf numFmtId="0" fontId="12" fillId="32" borderId="1" xfId="0" applyFont="1" applyFill="1" applyBorder="1" applyAlignment="1">
      <alignment horizontal="left" vertical="center"/>
    </xf>
    <xf numFmtId="0" fontId="14" fillId="0" borderId="16" xfId="0" applyFont="1" applyBorder="1" applyAlignment="1">
      <alignment horizontal="left" vertical="center"/>
    </xf>
    <xf numFmtId="0" fontId="65" fillId="5" borderId="46" xfId="0" applyFont="1" applyFill="1" applyBorder="1"/>
    <xf numFmtId="0" fontId="65" fillId="5" borderId="47" xfId="0" applyFont="1" applyFill="1" applyBorder="1"/>
    <xf numFmtId="0" fontId="65" fillId="5" borderId="45" xfId="0" applyFont="1" applyFill="1" applyBorder="1"/>
    <xf numFmtId="0" fontId="14" fillId="0" borderId="6" xfId="0" applyFont="1" applyBorder="1" applyAlignment="1">
      <alignment horizontal="left" vertical="center"/>
    </xf>
    <xf numFmtId="0" fontId="65" fillId="5" borderId="43" xfId="0" applyFont="1" applyFill="1" applyBorder="1"/>
    <xf numFmtId="0" fontId="65" fillId="5" borderId="38" xfId="0" applyFont="1" applyFill="1" applyBorder="1"/>
    <xf numFmtId="0" fontId="65" fillId="5" borderId="42" xfId="0" applyFont="1" applyFill="1" applyBorder="1"/>
    <xf numFmtId="0" fontId="0" fillId="33" borderId="1" xfId="0" applyFill="1" applyBorder="1"/>
    <xf numFmtId="0" fontId="105" fillId="33" borderId="1" xfId="0" applyFont="1" applyFill="1" applyBorder="1"/>
    <xf numFmtId="174" fontId="20" fillId="34" borderId="1" xfId="26" applyNumberFormat="1" applyFill="1" applyBorder="1">
      <alignment/>
    </xf>
    <xf numFmtId="4" fontId="0" fillId="35" borderId="1" xfId="0" applyNumberFormat="1" applyFill="1" applyBorder="1"/>
    <xf numFmtId="0" fontId="12" fillId="34" borderId="1" xfId="0" applyFont="1" applyFill="1" applyBorder="1"/>
    <xf numFmtId="0" fontId="12" fillId="0" borderId="6" xfId="0" applyFont="1" applyBorder="1" applyAlignment="1">
      <alignment horizontal="left" vertical="center"/>
    </xf>
    <xf numFmtId="0" fontId="65" fillId="5" borderId="40" xfId="0" applyFont="1" applyFill="1" applyBorder="1"/>
    <xf numFmtId="4" fontId="12" fillId="0" borderId="1" xfId="21" applyNumberFormat="1" applyFont="1" applyFill="1" applyBorder="1" applyAlignment="1" applyProtection="1">
      <alignment horizontal="center"/>
      <protection/>
    </xf>
    <xf numFmtId="0" fontId="8" fillId="0" borderId="6" xfId="0" applyFont="1" applyBorder="1" applyAlignment="1">
      <alignment horizontal="left" vertical="center"/>
    </xf>
    <xf numFmtId="0" fontId="65" fillId="5" borderId="36" xfId="0" applyFont="1" applyFill="1" applyBorder="1"/>
    <xf numFmtId="0" fontId="65" fillId="5" borderId="37" xfId="0" applyFont="1" applyFill="1" applyBorder="1"/>
    <xf numFmtId="4" fontId="12" fillId="0" borderId="1" xfId="21" applyNumberFormat="1" applyFont="1" applyFill="1" applyBorder="1"/>
    <xf numFmtId="0" fontId="12" fillId="17" borderId="0" xfId="0" applyFont="1" applyFill="1"/>
    <xf numFmtId="0" fontId="66" fillId="17" borderId="0" xfId="0" applyFont="1" applyFill="1"/>
    <xf numFmtId="0" fontId="44" fillId="36" borderId="25" xfId="0" applyFont="1" applyFill="1" applyBorder="1" applyAlignment="1">
      <alignment vertical="center" wrapText="1"/>
    </xf>
    <xf numFmtId="0" fontId="49" fillId="36" borderId="1" xfId="0" applyFont="1" applyFill="1" applyBorder="1" applyAlignment="1">
      <alignment vertical="center" wrapText="1"/>
    </xf>
    <xf numFmtId="0" fontId="10" fillId="0" borderId="1" xfId="22" applyFill="1" applyBorder="1" applyAlignment="1">
      <alignment horizontal="left" vertical="center" wrapText="1"/>
    </xf>
    <xf numFmtId="0" fontId="49" fillId="0" borderId="0" xfId="0" applyFont="1"/>
    <xf numFmtId="0" fontId="102" fillId="0" borderId="0" xfId="0" applyFont="1" applyAlignment="1">
      <alignment wrapText="1"/>
    </xf>
    <xf numFmtId="0" fontId="88" fillId="29" borderId="1" xfId="0" applyFont="1" applyFill="1" applyBorder="1" applyAlignment="1">
      <alignment horizontal="center" wrapText="1"/>
    </xf>
    <xf numFmtId="0" fontId="0" fillId="0" borderId="0" xfId="0" applyAlignment="1">
      <alignment wrapText="1"/>
    </xf>
    <xf numFmtId="0" fontId="87" fillId="0" borderId="0" xfId="0" applyFont="1" applyAlignment="1">
      <alignment horizontal="left" vertical="top" wrapText="1"/>
    </xf>
    <xf numFmtId="4" fontId="0" fillId="0" borderId="0" xfId="0" applyNumberFormat="1" applyAlignment="1">
      <alignment horizontal="center" vertical="center" wrapText="1"/>
    </xf>
    <xf numFmtId="0" fontId="0" fillId="0" borderId="0" xfId="0" applyFill="1" applyAlignment="1">
      <alignment wrapText="1"/>
    </xf>
    <xf numFmtId="4" fontId="44" fillId="37" borderId="1" xfId="0" applyNumberFormat="1" applyFont="1" applyFill="1" applyBorder="1" applyAlignment="1">
      <alignment horizontal="center" vertical="center" wrapText="1"/>
    </xf>
    <xf numFmtId="2" fontId="42" fillId="37" borderId="1" xfId="0" applyNumberFormat="1" applyFont="1" applyFill="1" applyBorder="1" applyAlignment="1">
      <alignment horizontal="center" vertical="center"/>
    </xf>
    <xf numFmtId="0" fontId="85" fillId="0" borderId="0" xfId="0" applyFont="1" applyAlignment="1">
      <alignment horizontal="center" vertical="center"/>
    </xf>
    <xf numFmtId="10" fontId="9" fillId="0" borderId="0" xfId="21" applyNumberFormat="1" applyFont="1"/>
    <xf numFmtId="0" fontId="19" fillId="25" borderId="6" xfId="0" applyFont="1" applyFill="1" applyBorder="1" applyAlignment="1">
      <alignment horizontal="left" vertical="center"/>
    </xf>
    <xf numFmtId="0" fontId="12" fillId="25" borderId="1" xfId="0" applyFont="1" applyFill="1" applyBorder="1" applyAlignment="1">
      <alignment horizontal="left" vertical="center"/>
    </xf>
    <xf numFmtId="4" fontId="12" fillId="25" borderId="1" xfId="21" applyNumberFormat="1" applyFont="1" applyFill="1" applyBorder="1" applyAlignment="1" applyProtection="1">
      <alignment horizontal="center"/>
      <protection/>
    </xf>
    <xf numFmtId="0" fontId="88" fillId="0" borderId="0" xfId="0" applyFont="1" applyFill="1" applyBorder="1" applyAlignment="1">
      <alignment horizontal="left" vertical="center" wrapText="1"/>
    </xf>
    <xf numFmtId="0" fontId="88" fillId="0" borderId="0" xfId="0" applyFont="1" applyFill="1" applyBorder="1" applyAlignment="1">
      <alignment vertical="center" wrapText="1"/>
    </xf>
    <xf numFmtId="0" fontId="102" fillId="0" borderId="0" xfId="0" applyFont="1" applyFill="1" applyBorder="1" applyAlignment="1">
      <alignment wrapText="1"/>
    </xf>
    <xf numFmtId="4" fontId="0" fillId="0" borderId="0" xfId="0" applyNumberFormat="1" applyFill="1" applyBorder="1" applyAlignment="1">
      <alignment horizontal="left" vertical="center" wrapText="1"/>
    </xf>
    <xf numFmtId="0" fontId="0" fillId="0" borderId="0" xfId="0" applyFill="1" applyBorder="1" applyAlignment="1">
      <alignment wrapText="1"/>
    </xf>
    <xf numFmtId="0" fontId="88" fillId="29" borderId="8" xfId="0" applyFont="1" applyFill="1" applyBorder="1" applyAlignment="1">
      <alignment horizontal="left" vertical="center" wrapText="1"/>
    </xf>
    <xf numFmtId="0" fontId="88" fillId="29" borderId="9" xfId="0" applyFont="1" applyFill="1" applyBorder="1" applyAlignment="1">
      <alignment horizontal="left" vertical="center" wrapText="1"/>
    </xf>
    <xf numFmtId="0" fontId="14" fillId="5" borderId="52" xfId="0" applyFont="1" applyFill="1" applyBorder="1" applyAlignment="1">
      <alignment horizontal="center" vertical="center" wrapText="1"/>
    </xf>
    <xf numFmtId="0" fontId="88" fillId="29" borderId="9" xfId="0" applyFont="1" applyFill="1" applyBorder="1" applyAlignment="1">
      <alignment horizontal="center" wrapText="1"/>
    </xf>
    <xf numFmtId="0" fontId="88" fillId="29" borderId="1" xfId="0" applyFont="1" applyFill="1" applyBorder="1" applyAlignment="1">
      <alignment horizontal="center" vertical="center"/>
    </xf>
    <xf numFmtId="4" fontId="0" fillId="0" borderId="0" xfId="0" applyNumberFormat="1" applyAlignment="1">
      <alignment horizontal="center" vertical="center"/>
    </xf>
    <xf numFmtId="0" fontId="107" fillId="5" borderId="1" xfId="0" applyFont="1" applyFill="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86" fillId="0" borderId="0" xfId="0" applyFont="1" applyFill="1" applyBorder="1" applyAlignment="1">
      <alignment horizontal="left" vertical="top" wrapText="1"/>
    </xf>
    <xf numFmtId="4" fontId="86" fillId="0" borderId="0" xfId="0" applyNumberFormat="1" applyFont="1" applyFill="1" applyBorder="1" applyAlignment="1">
      <alignment horizontal="center" vertical="center" wrapText="1"/>
    </xf>
    <xf numFmtId="0" fontId="87" fillId="0" borderId="0" xfId="0" applyFont="1" applyFill="1" applyBorder="1" applyAlignment="1">
      <alignment vertical="center" wrapText="1"/>
    </xf>
    <xf numFmtId="0" fontId="0" fillId="0" borderId="0" xfId="0" applyFill="1"/>
    <xf numFmtId="0" fontId="87" fillId="0" borderId="0" xfId="0" applyFont="1" applyBorder="1" applyAlignment="1">
      <alignment horizontal="left" vertical="top" indent="1"/>
    </xf>
    <xf numFmtId="0" fontId="0" fillId="0" borderId="0" xfId="0" applyBorder="1" applyAlignment="1">
      <alignment horizontal="center"/>
    </xf>
    <xf numFmtId="0" fontId="88" fillId="0" borderId="0" xfId="0" applyFont="1" applyBorder="1" applyAlignment="1">
      <alignment horizontal="center" vertical="center"/>
    </xf>
    <xf numFmtId="0" fontId="88" fillId="0" borderId="0" xfId="0" applyFont="1" applyFill="1" applyBorder="1" applyAlignment="1">
      <alignment horizontal="center" vertical="center"/>
    </xf>
    <xf numFmtId="4" fontId="87" fillId="0" borderId="0" xfId="0" applyNumberFormat="1" applyFont="1" applyBorder="1" applyAlignment="1">
      <alignment horizontal="center" vertical="center"/>
    </xf>
    <xf numFmtId="4" fontId="0" fillId="0" borderId="0" xfId="0" applyNumberFormat="1" applyBorder="1" applyAlignment="1">
      <alignment horizontal="center" vertical="center"/>
    </xf>
    <xf numFmtId="0" fontId="87" fillId="0" borderId="0" xfId="0" applyFont="1" applyBorder="1" applyAlignment="1">
      <alignment horizontal="center" vertical="center" wrapText="1"/>
    </xf>
    <xf numFmtId="0" fontId="88" fillId="29" borderId="1" xfId="0" applyFont="1" applyFill="1" applyBorder="1" applyAlignment="1">
      <alignment vertical="center" wrapText="1"/>
    </xf>
    <xf numFmtId="0" fontId="87" fillId="0" borderId="0" xfId="0" applyFont="1" applyFill="1" applyBorder="1" applyAlignment="1">
      <alignment horizontal="center" vertical="center" wrapText="1"/>
    </xf>
    <xf numFmtId="0" fontId="88" fillId="0" borderId="0" xfId="0" applyFont="1" applyFill="1" applyBorder="1" applyAlignment="1">
      <alignment wrapText="1"/>
    </xf>
    <xf numFmtId="0" fontId="88" fillId="29" borderId="8" xfId="0" applyFont="1" applyFill="1" applyBorder="1" applyAlignment="1">
      <alignment horizontal="center" vertical="center"/>
    </xf>
    <xf numFmtId="0" fontId="88" fillId="29" borderId="9" xfId="0" applyFont="1" applyFill="1" applyBorder="1" applyAlignment="1">
      <alignment vertical="center" wrapText="1"/>
    </xf>
    <xf numFmtId="0" fontId="87" fillId="0" borderId="0" xfId="0" applyFont="1" applyBorder="1" applyAlignment="1">
      <alignment vertical="center" wrapText="1"/>
    </xf>
    <xf numFmtId="4" fontId="0" fillId="0" borderId="0" xfId="0" applyNumberFormat="1" applyBorder="1" applyAlignment="1">
      <alignment horizontal="left" vertical="center" indent="1"/>
    </xf>
    <xf numFmtId="0" fontId="86" fillId="0" borderId="0" xfId="0" applyFont="1"/>
    <xf numFmtId="0" fontId="87" fillId="0" borderId="0" xfId="0" applyFont="1" applyBorder="1" applyAlignment="1">
      <alignment vertical="center"/>
    </xf>
    <xf numFmtId="0" fontId="88" fillId="0" borderId="0" xfId="0" applyFont="1" applyFill="1" applyBorder="1" applyAlignment="1">
      <alignment vertical="center"/>
    </xf>
    <xf numFmtId="0" fontId="0" fillId="0" borderId="0" xfId="0" applyFill="1" applyBorder="1"/>
    <xf numFmtId="0" fontId="87" fillId="0" borderId="0" xfId="0" applyFont="1" applyFill="1" applyBorder="1" applyAlignment="1">
      <alignment vertical="center"/>
    </xf>
    <xf numFmtId="0" fontId="87" fillId="0" borderId="0" xfId="0" applyFont="1" applyFill="1" applyBorder="1"/>
    <xf numFmtId="4" fontId="0" fillId="0" borderId="0" xfId="0" applyNumberFormat="1" applyFill="1" applyBorder="1" applyAlignment="1">
      <alignment horizontal="center" vertical="center"/>
    </xf>
    <xf numFmtId="0" fontId="87" fillId="0" borderId="0" xfId="0" applyFont="1" applyFill="1" applyBorder="1" applyAlignment="1">
      <alignment horizontal="left" vertical="center" wrapText="1"/>
    </xf>
    <xf numFmtId="0" fontId="86" fillId="0" borderId="20" xfId="0" applyFont="1" applyBorder="1" applyAlignment="1">
      <alignment horizontal="left" vertical="top" indent="1"/>
    </xf>
    <xf numFmtId="0" fontId="86" fillId="0" borderId="20" xfId="0" applyFont="1" applyBorder="1" applyAlignment="1">
      <alignment horizontal="center" vertical="center"/>
    </xf>
    <xf numFmtId="4" fontId="86" fillId="0" borderId="20" xfId="0" applyNumberFormat="1" applyFont="1" applyBorder="1" applyAlignment="1">
      <alignment horizontal="center" vertical="center"/>
    </xf>
    <xf numFmtId="0" fontId="86" fillId="0" borderId="20" xfId="0" applyFont="1" applyBorder="1" applyAlignment="1">
      <alignment vertical="center" wrapText="1"/>
    </xf>
    <xf numFmtId="0" fontId="12" fillId="0" borderId="59" xfId="0" applyFont="1" applyBorder="1" applyAlignment="1">
      <alignment horizontal="center" vertical="center"/>
    </xf>
    <xf numFmtId="0" fontId="12" fillId="0" borderId="33" xfId="0" applyFont="1" applyBorder="1" applyAlignment="1">
      <alignment horizontal="center" vertical="center"/>
    </xf>
    <xf numFmtId="0" fontId="107" fillId="5" borderId="9" xfId="0" applyFont="1" applyFill="1" applyBorder="1" applyAlignment="1">
      <alignment horizontal="center" vertical="center" wrapText="1"/>
    </xf>
    <xf numFmtId="0" fontId="12" fillId="0" borderId="9" xfId="0" applyFont="1" applyBorder="1"/>
    <xf numFmtId="4" fontId="12" fillId="0" borderId="9" xfId="0" applyNumberFormat="1" applyFont="1" applyBorder="1"/>
    <xf numFmtId="2" fontId="12" fillId="0" borderId="9" xfId="26" applyNumberFormat="1" applyFont="1" applyBorder="1" applyAlignment="1" applyProtection="1">
      <alignment horizontal="center"/>
      <protection/>
    </xf>
    <xf numFmtId="0" fontId="12" fillId="0" borderId="0" xfId="0" applyFont="1" applyBorder="1"/>
    <xf numFmtId="2" fontId="12" fillId="25" borderId="9" xfId="26" applyNumberFormat="1" applyFont="1" applyFill="1" applyBorder="1" applyAlignment="1" applyProtection="1">
      <alignment horizontal="center"/>
      <protection/>
    </xf>
    <xf numFmtId="0" fontId="12" fillId="0" borderId="11" xfId="0" applyFont="1" applyBorder="1" applyAlignment="1">
      <alignment horizontal="left" vertical="center"/>
    </xf>
    <xf numFmtId="4" fontId="12" fillId="0" borderId="11" xfId="21" applyNumberFormat="1" applyFont="1" applyFill="1" applyBorder="1" applyAlignment="1" applyProtection="1">
      <alignment horizontal="center"/>
      <protection/>
    </xf>
    <xf numFmtId="2" fontId="12" fillId="0" borderId="12" xfId="26" applyNumberFormat="1" applyFont="1" applyBorder="1" applyAlignment="1" applyProtection="1">
      <alignment horizontal="center"/>
      <protection/>
    </xf>
    <xf numFmtId="0" fontId="14" fillId="5" borderId="71" xfId="0" applyFont="1" applyFill="1" applyBorder="1" applyAlignment="1">
      <alignment horizontal="center" vertical="center" wrapText="1"/>
    </xf>
    <xf numFmtId="0" fontId="14" fillId="5" borderId="0" xfId="0" applyFont="1" applyFill="1" applyBorder="1" applyAlignment="1">
      <alignment horizontal="center" vertical="center" wrapText="1"/>
    </xf>
    <xf numFmtId="174" fontId="12" fillId="0" borderId="0" xfId="26" applyNumberFormat="1" applyFont="1" applyBorder="1" applyProtection="1">
      <alignment/>
      <protection/>
    </xf>
    <xf numFmtId="0" fontId="14" fillId="5" borderId="1" xfId="0" applyFont="1" applyFill="1" applyBorder="1"/>
    <xf numFmtId="4" fontId="12" fillId="38" borderId="1" xfId="21" applyNumberFormat="1" applyFont="1" applyFill="1" applyBorder="1" applyAlignment="1" applyProtection="1">
      <alignment horizontal="center"/>
      <protection/>
    </xf>
    <xf numFmtId="2" fontId="12" fillId="38" borderId="9" xfId="26" applyNumberFormat="1" applyFont="1" applyFill="1" applyBorder="1" applyAlignment="1" applyProtection="1">
      <alignment horizontal="center"/>
      <protection/>
    </xf>
    <xf numFmtId="0" fontId="106" fillId="0" borderId="1" xfId="0" applyFont="1" applyFill="1" applyBorder="1"/>
    <xf numFmtId="4" fontId="12" fillId="39" borderId="1" xfId="21" applyNumberFormat="1" applyFont="1" applyFill="1" applyBorder="1" applyAlignment="1" applyProtection="1">
      <alignment horizontal="center"/>
      <protection/>
    </xf>
    <xf numFmtId="2" fontId="12" fillId="39" borderId="9" xfId="26" applyNumberFormat="1" applyFont="1" applyFill="1" applyBorder="1" applyAlignment="1" applyProtection="1">
      <alignment horizontal="center"/>
      <protection/>
    </xf>
    <xf numFmtId="0" fontId="18" fillId="3" borderId="1" xfId="0" applyFont="1" applyFill="1" applyBorder="1" applyAlignment="1">
      <alignment horizontal="left" vertical="center"/>
    </xf>
    <xf numFmtId="0" fontId="105" fillId="17" borderId="1" xfId="0" applyFont="1" applyFill="1" applyBorder="1"/>
    <xf numFmtId="0" fontId="18" fillId="0" borderId="1" xfId="0" applyFont="1" applyFill="1" applyBorder="1" applyAlignment="1">
      <alignment horizontal="left" vertical="center"/>
    </xf>
    <xf numFmtId="0" fontId="66" fillId="17" borderId="59" xfId="0" applyFont="1" applyFill="1" applyBorder="1" applyAlignment="1">
      <alignment horizontal="center" vertical="center"/>
    </xf>
    <xf numFmtId="0" fontId="12" fillId="17" borderId="33" xfId="0" applyFont="1" applyFill="1" applyBorder="1" applyAlignment="1">
      <alignment horizontal="center" vertical="center"/>
    </xf>
    <xf numFmtId="0" fontId="106" fillId="5" borderId="8" xfId="0" applyFont="1" applyFill="1" applyBorder="1"/>
    <xf numFmtId="0" fontId="106" fillId="0" borderId="8" xfId="0" applyFont="1" applyFill="1" applyBorder="1"/>
    <xf numFmtId="0" fontId="0" fillId="17" borderId="9" xfId="0" applyFill="1" applyBorder="1"/>
    <xf numFmtId="0" fontId="12" fillId="5" borderId="8" xfId="0" applyFont="1" applyFill="1" applyBorder="1"/>
    <xf numFmtId="0" fontId="14" fillId="5" borderId="9" xfId="0" applyFont="1" applyFill="1" applyBorder="1"/>
    <xf numFmtId="0" fontId="14" fillId="5" borderId="8" xfId="0" applyFont="1" applyFill="1" applyBorder="1"/>
    <xf numFmtId="0" fontId="12" fillId="5" borderId="10" xfId="0" applyFont="1" applyFill="1" applyBorder="1"/>
    <xf numFmtId="0" fontId="12" fillId="5" borderId="11" xfId="0" applyFont="1" applyFill="1" applyBorder="1"/>
    <xf numFmtId="0" fontId="14" fillId="5" borderId="11" xfId="0" applyFont="1" applyFill="1" applyBorder="1"/>
    <xf numFmtId="4" fontId="0" fillId="35" borderId="1" xfId="0" applyNumberFormat="1" applyFont="1" applyFill="1" applyBorder="1"/>
    <xf numFmtId="0" fontId="24" fillId="5" borderId="1" xfId="0" applyFont="1" applyFill="1" applyBorder="1" applyAlignment="1">
      <alignment horizontal="left" indent="2"/>
    </xf>
    <xf numFmtId="0" fontId="24" fillId="0" borderId="6" xfId="0" applyFont="1" applyBorder="1" applyAlignment="1">
      <alignment horizontal="left" vertical="center" indent="2"/>
    </xf>
    <xf numFmtId="2" fontId="12" fillId="0" borderId="9" xfId="26" applyNumberFormat="1" applyFont="1" applyFill="1" applyBorder="1" applyAlignment="1" applyProtection="1">
      <alignment horizontal="center"/>
      <protection/>
    </xf>
    <xf numFmtId="4" fontId="12" fillId="40" borderId="1" xfId="21" applyNumberFormat="1" applyFont="1" applyFill="1" applyBorder="1" applyAlignment="1" applyProtection="1">
      <alignment horizontal="center"/>
      <protection/>
    </xf>
    <xf numFmtId="2" fontId="12" fillId="40" borderId="9" xfId="26" applyNumberFormat="1" applyFont="1" applyFill="1" applyBorder="1" applyAlignment="1" applyProtection="1">
      <alignment horizontal="center"/>
      <protection/>
    </xf>
    <xf numFmtId="2" fontId="12" fillId="40" borderId="12" xfId="26" applyNumberFormat="1" applyFont="1" applyFill="1" applyBorder="1" applyAlignment="1" applyProtection="1">
      <alignment horizontal="center"/>
      <protection/>
    </xf>
    <xf numFmtId="4" fontId="12" fillId="40" borderId="11" xfId="21" applyNumberFormat="1" applyFont="1" applyFill="1" applyBorder="1" applyAlignment="1" applyProtection="1">
      <alignment horizontal="center"/>
      <protection/>
    </xf>
    <xf numFmtId="0" fontId="12" fillId="3" borderId="0" xfId="0" applyFont="1" applyFill="1" applyBorder="1"/>
    <xf numFmtId="0" fontId="12" fillId="0" borderId="0" xfId="0" applyFont="1" applyBorder="1" applyAlignment="1">
      <alignment horizontal="left" vertical="center"/>
    </xf>
    <xf numFmtId="4" fontId="12" fillId="0" borderId="0" xfId="0" applyNumberFormat="1" applyFont="1" applyBorder="1"/>
    <xf numFmtId="0" fontId="12" fillId="0" borderId="0" xfId="0" applyFont="1" applyBorder="1" applyAlignment="1">
      <alignment horizontal="center" vertical="center"/>
    </xf>
    <xf numFmtId="0" fontId="14" fillId="0" borderId="0" xfId="0" applyFont="1" applyBorder="1"/>
    <xf numFmtId="0" fontId="107" fillId="0" borderId="0" xfId="0" applyFont="1" applyBorder="1" applyAlignment="1">
      <alignment horizontal="center" vertical="center" wrapText="1"/>
    </xf>
    <xf numFmtId="174" fontId="12" fillId="0" borderId="0" xfId="0" applyNumberFormat="1" applyFont="1" applyBorder="1"/>
    <xf numFmtId="0" fontId="105" fillId="17" borderId="0" xfId="0" applyFont="1" applyFill="1" applyBorder="1"/>
    <xf numFmtId="0" fontId="0" fillId="17" borderId="0" xfId="0" applyFill="1" applyBorder="1"/>
    <xf numFmtId="0" fontId="44" fillId="0" borderId="30" xfId="0" applyFont="1" applyBorder="1" applyAlignment="1">
      <alignment horizontal="center" wrapText="1"/>
    </xf>
    <xf numFmtId="0" fontId="88" fillId="29" borderId="1" xfId="0" applyFont="1" applyFill="1" applyBorder="1" applyAlignment="1">
      <alignment horizontal="center" vertical="center" wrapText="1"/>
    </xf>
    <xf numFmtId="0" fontId="87" fillId="0" borderId="9" xfId="0" applyFont="1" applyBorder="1" applyAlignment="1">
      <alignment horizontal="center" vertical="center" wrapText="1"/>
    </xf>
    <xf numFmtId="0" fontId="88" fillId="29" borderId="8" xfId="0" applyFont="1" applyFill="1" applyBorder="1" applyAlignment="1">
      <alignment horizontal="center" vertical="center"/>
    </xf>
    <xf numFmtId="0" fontId="88" fillId="29" borderId="1" xfId="0" applyFont="1" applyFill="1" applyBorder="1" applyAlignment="1">
      <alignment horizontal="center" vertical="center"/>
    </xf>
    <xf numFmtId="4" fontId="0" fillId="0" borderId="1" xfId="0" applyNumberFormat="1" applyBorder="1" applyAlignment="1">
      <alignment horizontal="center" vertical="center"/>
    </xf>
    <xf numFmtId="0" fontId="88" fillId="29" borderId="9" xfId="0" applyFont="1" applyFill="1" applyBorder="1" applyAlignment="1">
      <alignment horizontal="center" vertical="center"/>
    </xf>
    <xf numFmtId="0" fontId="87" fillId="0" borderId="1" xfId="0" applyFont="1" applyBorder="1" applyAlignment="1">
      <alignment horizontal="center" vertical="center"/>
    </xf>
    <xf numFmtId="4" fontId="87" fillId="0" borderId="1" xfId="0" applyNumberFormat="1" applyFont="1" applyBorder="1" applyAlignment="1">
      <alignment horizontal="center" vertical="center"/>
    </xf>
    <xf numFmtId="2" fontId="87" fillId="0" borderId="1" xfId="0" applyNumberFormat="1" applyFont="1" applyBorder="1" applyAlignment="1">
      <alignment horizontal="center" vertical="center"/>
    </xf>
    <xf numFmtId="0" fontId="88" fillId="29" borderId="8" xfId="0" applyFont="1" applyFill="1" applyBorder="1" applyAlignment="1">
      <alignment horizontal="center" vertical="center" wrapText="1"/>
    </xf>
    <xf numFmtId="0" fontId="88" fillId="29" borderId="9" xfId="0" applyFont="1" applyFill="1" applyBorder="1" applyAlignment="1">
      <alignment horizontal="center" vertical="center" wrapText="1"/>
    </xf>
    <xf numFmtId="0" fontId="88" fillId="41" borderId="1" xfId="0" applyFont="1" applyFill="1" applyBorder="1" applyAlignment="1">
      <alignment vertical="center"/>
    </xf>
    <xf numFmtId="4" fontId="87" fillId="0" borderId="1" xfId="0" applyNumberFormat="1" applyFont="1" applyBorder="1" applyAlignment="1">
      <alignment vertical="center"/>
    </xf>
    <xf numFmtId="4" fontId="87" fillId="0" borderId="20" xfId="0" applyNumberFormat="1" applyFont="1" applyBorder="1" applyAlignment="1">
      <alignment horizontal="center" vertical="center"/>
    </xf>
    <xf numFmtId="2" fontId="0" fillId="0" borderId="0" xfId="0" applyNumberFormat="1" applyFill="1" applyAlignment="1">
      <alignment horizontal="center"/>
    </xf>
    <xf numFmtId="4" fontId="87" fillId="33" borderId="1" xfId="0" applyNumberFormat="1" applyFont="1" applyFill="1" applyBorder="1" applyAlignment="1">
      <alignment horizontal="center" vertical="center"/>
    </xf>
    <xf numFmtId="4" fontId="87" fillId="42" borderId="1" xfId="0" applyNumberFormat="1" applyFont="1" applyFill="1" applyBorder="1" applyAlignment="1">
      <alignment horizontal="center" vertical="center"/>
    </xf>
    <xf numFmtId="4" fontId="87" fillId="33" borderId="1" xfId="0" applyNumberFormat="1" applyFont="1" applyFill="1" applyBorder="1" applyAlignment="1">
      <alignment horizontal="center" vertical="center" wrapText="1"/>
    </xf>
    <xf numFmtId="4" fontId="0" fillId="33" borderId="1" xfId="0" applyNumberFormat="1" applyFill="1" applyBorder="1" applyAlignment="1">
      <alignment horizontal="center" vertical="center"/>
    </xf>
    <xf numFmtId="0" fontId="87" fillId="42" borderId="1" xfId="0" applyFont="1" applyFill="1" applyBorder="1" applyAlignment="1">
      <alignment horizontal="center" vertical="center"/>
    </xf>
    <xf numFmtId="4" fontId="0" fillId="42" borderId="1" xfId="0" applyNumberFormat="1" applyFill="1" applyBorder="1" applyAlignment="1">
      <alignment horizontal="center" vertical="center"/>
    </xf>
    <xf numFmtId="4" fontId="109" fillId="42" borderId="1" xfId="0" applyNumberFormat="1" applyFont="1" applyFill="1" applyBorder="1" applyAlignment="1">
      <alignment horizontal="center" vertical="center"/>
    </xf>
    <xf numFmtId="0" fontId="87" fillId="42" borderId="1" xfId="0" applyFont="1" applyFill="1" applyBorder="1" applyAlignment="1">
      <alignment horizontal="left" vertical="center" indent="1"/>
    </xf>
    <xf numFmtId="9" fontId="87" fillId="33" borderId="1" xfId="21" applyFont="1" applyFill="1" applyBorder="1" applyAlignment="1">
      <alignment horizontal="center" vertical="center"/>
    </xf>
    <xf numFmtId="9" fontId="87" fillId="42" borderId="1" xfId="21" applyFont="1" applyFill="1" applyBorder="1" applyAlignment="1">
      <alignment horizontal="center" vertical="center"/>
    </xf>
    <xf numFmtId="10" fontId="87" fillId="42" borderId="1" xfId="21" applyNumberFormat="1" applyFont="1" applyFill="1" applyBorder="1" applyAlignment="1">
      <alignment horizontal="center" vertical="center"/>
    </xf>
    <xf numFmtId="9" fontId="87" fillId="33" borderId="1" xfId="21" applyFont="1" applyFill="1" applyBorder="1" applyAlignment="1">
      <alignment horizontal="center" vertical="center" wrapText="1"/>
    </xf>
    <xf numFmtId="9" fontId="0" fillId="33" borderId="1" xfId="21" applyFont="1" applyFill="1" applyBorder="1" applyAlignment="1">
      <alignment horizontal="center" vertical="center"/>
    </xf>
    <xf numFmtId="0" fontId="86" fillId="0" borderId="0" xfId="0" applyFont="1" applyBorder="1"/>
    <xf numFmtId="4" fontId="86" fillId="0" borderId="0" xfId="0" applyNumberFormat="1" applyFont="1" applyBorder="1" applyAlignment="1">
      <alignment horizontal="center" vertical="center"/>
    </xf>
    <xf numFmtId="9" fontId="86" fillId="0" borderId="0" xfId="21" applyFont="1" applyBorder="1" applyAlignment="1">
      <alignment horizontal="center" vertical="center"/>
    </xf>
    <xf numFmtId="9" fontId="0" fillId="0" borderId="0" xfId="21" applyFont="1" applyBorder="1" applyAlignment="1">
      <alignment horizontal="center" vertical="center"/>
    </xf>
    <xf numFmtId="0" fontId="88" fillId="29" borderId="9" xfId="0" applyFont="1" applyFill="1" applyBorder="1" applyAlignment="1">
      <alignment horizontal="center"/>
    </xf>
    <xf numFmtId="0" fontId="87" fillId="0" borderId="0" xfId="0" applyFont="1" applyBorder="1" applyAlignment="1">
      <alignment horizontal="center" vertical="center"/>
    </xf>
    <xf numFmtId="0" fontId="88" fillId="0" borderId="0" xfId="0" applyFont="1" applyFill="1" applyBorder="1" applyAlignment="1">
      <alignment/>
    </xf>
    <xf numFmtId="0" fontId="87" fillId="0" borderId="0" xfId="0" applyFont="1" applyFill="1" applyBorder="1" applyAlignment="1">
      <alignment horizontal="center" vertical="center"/>
    </xf>
    <xf numFmtId="43" fontId="42" fillId="0" borderId="0" xfId="0" applyNumberFormat="1" applyFont="1"/>
    <xf numFmtId="4" fontId="109" fillId="42" borderId="11" xfId="0" applyNumberFormat="1" applyFont="1" applyFill="1" applyBorder="1" applyAlignment="1">
      <alignment horizontal="center" vertical="center"/>
    </xf>
    <xf numFmtId="0" fontId="86" fillId="0" borderId="22" xfId="0" applyFont="1" applyBorder="1" applyAlignment="1">
      <alignment horizontal="left" vertical="top" indent="1"/>
    </xf>
    <xf numFmtId="0" fontId="88" fillId="29" borderId="25" xfId="0" applyFont="1" applyFill="1" applyBorder="1" applyAlignment="1">
      <alignment horizontal="center" vertical="center"/>
    </xf>
    <xf numFmtId="0" fontId="88" fillId="29" borderId="9" xfId="0" applyFont="1" applyFill="1" applyBorder="1" applyAlignment="1">
      <alignment vertical="center"/>
    </xf>
    <xf numFmtId="0" fontId="87" fillId="0" borderId="8" xfId="0" applyFont="1" applyBorder="1" applyAlignment="1">
      <alignment horizontal="left" vertical="center" indent="4"/>
    </xf>
    <xf numFmtId="4" fontId="0" fillId="42" borderId="11" xfId="0" applyNumberFormat="1" applyFill="1" applyBorder="1" applyAlignment="1">
      <alignment horizontal="center" vertical="center"/>
    </xf>
    <xf numFmtId="0" fontId="109" fillId="42" borderId="10" xfId="0" applyFont="1" applyFill="1" applyBorder="1" applyAlignment="1">
      <alignment wrapText="1"/>
    </xf>
    <xf numFmtId="0" fontId="87" fillId="0" borderId="8" xfId="0" applyFont="1" applyBorder="1" applyAlignment="1">
      <alignment horizontal="center" vertical="center"/>
    </xf>
    <xf numFmtId="0" fontId="87" fillId="0" borderId="72" xfId="0" applyFont="1" applyBorder="1" applyAlignment="1">
      <alignment horizontal="center" vertical="center" wrapText="1"/>
    </xf>
    <xf numFmtId="4" fontId="0" fillId="0" borderId="9" xfId="0" applyNumberFormat="1" applyBorder="1" applyAlignment="1">
      <alignment horizontal="center" vertical="center"/>
    </xf>
    <xf numFmtId="9" fontId="0" fillId="42" borderId="11" xfId="21" applyFont="1" applyFill="1" applyBorder="1" applyAlignment="1">
      <alignment horizontal="center" vertical="center"/>
    </xf>
    <xf numFmtId="4" fontId="87" fillId="42" borderId="11" xfId="0" applyNumberFormat="1" applyFont="1" applyFill="1" applyBorder="1" applyAlignment="1">
      <alignment horizontal="center" vertical="center"/>
    </xf>
    <xf numFmtId="0" fontId="87" fillId="42" borderId="12" xfId="0" applyFont="1" applyFill="1" applyBorder="1" applyAlignment="1" quotePrefix="1">
      <alignment horizontal="left" vertical="center" wrapText="1"/>
    </xf>
    <xf numFmtId="4" fontId="0" fillId="0" borderId="0" xfId="0" applyNumberFormat="1" applyFill="1"/>
    <xf numFmtId="4" fontId="87" fillId="42" borderId="59" xfId="0" applyNumberFormat="1" applyFont="1" applyFill="1" applyBorder="1" applyAlignment="1">
      <alignment horizontal="center" vertical="center"/>
    </xf>
    <xf numFmtId="0" fontId="87" fillId="42" borderId="10" xfId="0" applyFont="1" applyFill="1" applyBorder="1" applyAlignment="1">
      <alignment horizontal="left" vertical="center" indent="1"/>
    </xf>
    <xf numFmtId="43" fontId="0" fillId="42" borderId="11" xfId="0" applyNumberFormat="1" applyFill="1" applyBorder="1"/>
    <xf numFmtId="0" fontId="0" fillId="42" borderId="11" xfId="0" applyFill="1" applyBorder="1" applyAlignment="1">
      <alignment horizontal="center" vertical="center"/>
    </xf>
    <xf numFmtId="0" fontId="0" fillId="42" borderId="10" xfId="0" applyFill="1" applyBorder="1"/>
    <xf numFmtId="0" fontId="0" fillId="42" borderId="11" xfId="0" applyFill="1" applyBorder="1"/>
    <xf numFmtId="0" fontId="87" fillId="42" borderId="8" xfId="0" applyFont="1" applyFill="1" applyBorder="1" applyAlignment="1">
      <alignment horizontal="left" vertical="center"/>
    </xf>
    <xf numFmtId="0" fontId="87" fillId="42" borderId="8" xfId="0" applyFont="1" applyFill="1" applyBorder="1" applyAlignment="1">
      <alignment horizontal="left" vertical="top"/>
    </xf>
    <xf numFmtId="0" fontId="87" fillId="42" borderId="10" xfId="0" applyFont="1" applyFill="1" applyBorder="1" applyAlignment="1">
      <alignment horizontal="left" vertical="top"/>
    </xf>
    <xf numFmtId="4" fontId="0" fillId="0" borderId="0" xfId="21" applyNumberFormat="1" applyFont="1"/>
    <xf numFmtId="0" fontId="88" fillId="29" borderId="73" xfId="0" applyFont="1" applyFill="1" applyBorder="1" applyAlignment="1">
      <alignment horizontal="center" vertical="center"/>
    </xf>
    <xf numFmtId="0" fontId="88" fillId="29" borderId="74" xfId="0" applyFont="1" applyFill="1" applyBorder="1" applyAlignment="1">
      <alignment horizontal="center" vertical="center"/>
    </xf>
    <xf numFmtId="4" fontId="0" fillId="42" borderId="1" xfId="0" applyNumberFormat="1" applyFill="1" applyBorder="1" applyAlignment="1">
      <alignment horizontal="left" vertical="center" indent="1"/>
    </xf>
    <xf numFmtId="0" fontId="88" fillId="41" borderId="6" xfId="0" applyFont="1" applyFill="1" applyBorder="1" applyAlignment="1">
      <alignment vertical="center"/>
    </xf>
    <xf numFmtId="0" fontId="90" fillId="0" borderId="0" xfId="0" applyFont="1" applyFill="1" applyBorder="1"/>
    <xf numFmtId="4" fontId="0" fillId="0" borderId="0" xfId="0" applyNumberFormat="1" applyFill="1" applyBorder="1" applyAlignment="1">
      <alignment vertical="center"/>
    </xf>
    <xf numFmtId="0" fontId="90" fillId="30" borderId="0" xfId="0" applyFont="1" applyFill="1" applyBorder="1"/>
    <xf numFmtId="4" fontId="0" fillId="42" borderId="10" xfId="0" applyNumberFormat="1" applyFill="1" applyBorder="1" applyAlignment="1">
      <alignment horizontal="left" vertical="center" indent="1"/>
    </xf>
    <xf numFmtId="4" fontId="0" fillId="42" borderId="12" xfId="0" applyNumberFormat="1" applyFill="1" applyBorder="1" applyAlignment="1">
      <alignment vertical="center" wrapText="1"/>
    </xf>
    <xf numFmtId="4" fontId="109" fillId="42" borderId="12" xfId="0" applyNumberFormat="1" applyFont="1" applyFill="1" applyBorder="1" applyAlignment="1">
      <alignment horizontal="center" vertical="center"/>
    </xf>
    <xf numFmtId="0" fontId="87" fillId="42" borderId="1" xfId="0" applyFont="1" applyFill="1" applyBorder="1" applyAlignment="1">
      <alignment vertical="center" wrapText="1"/>
    </xf>
    <xf numFmtId="0" fontId="87" fillId="42" borderId="1" xfId="0" applyFont="1" applyFill="1" applyBorder="1" applyAlignment="1">
      <alignment horizontal="left" vertical="center" indent="4"/>
    </xf>
    <xf numFmtId="0" fontId="87" fillId="42" borderId="1" xfId="0" applyFont="1" applyFill="1" applyBorder="1" applyAlignment="1">
      <alignment horizontal="left" vertical="top" indent="4"/>
    </xf>
    <xf numFmtId="0" fontId="87" fillId="42" borderId="1" xfId="0" applyFont="1" applyFill="1" applyBorder="1" applyAlignment="1">
      <alignment horizontal="left" vertical="top" indent="1"/>
    </xf>
    <xf numFmtId="4" fontId="0" fillId="42" borderId="1" xfId="0" applyNumberFormat="1" applyFill="1" applyBorder="1" applyAlignment="1">
      <alignment horizontal="left" vertical="center" indent="4"/>
    </xf>
    <xf numFmtId="0" fontId="100" fillId="42" borderId="1" xfId="0" applyFont="1" applyFill="1" applyBorder="1" applyAlignment="1">
      <alignment horizontal="left" vertical="center" wrapText="1" indent="4"/>
    </xf>
    <xf numFmtId="0" fontId="41" fillId="0" borderId="0" xfId="0" applyFont="1" applyBorder="1" applyAlignment="1">
      <alignment wrapText="1"/>
    </xf>
    <xf numFmtId="0" fontId="41" fillId="4" borderId="0" xfId="0" applyFont="1" applyFill="1" applyBorder="1" applyAlignment="1">
      <alignment horizontal="center" wrapText="1"/>
    </xf>
    <xf numFmtId="43" fontId="41" fillId="22" borderId="30" xfId="20" applyFont="1" applyFill="1" applyBorder="1" applyAlignment="1">
      <alignment horizontal="center" wrapText="1"/>
    </xf>
    <xf numFmtId="0" fontId="48" fillId="0" borderId="0" xfId="0" applyFont="1" applyAlignment="1">
      <alignment horizontal="center" vertical="center"/>
    </xf>
    <xf numFmtId="0" fontId="88" fillId="29" borderId="8" xfId="0" applyFont="1" applyFill="1" applyBorder="1" applyAlignment="1">
      <alignment vertical="center"/>
    </xf>
    <xf numFmtId="4" fontId="0" fillId="42" borderId="1" xfId="0" applyNumberFormat="1" applyFill="1" applyBorder="1" applyAlignment="1">
      <alignment horizontal="center" vertical="center" wrapText="1"/>
    </xf>
    <xf numFmtId="4" fontId="0" fillId="42" borderId="1" xfId="0" applyNumberFormat="1" applyFont="1" applyFill="1" applyBorder="1" applyAlignment="1">
      <alignment horizontal="center" vertical="center" wrapText="1"/>
    </xf>
    <xf numFmtId="4" fontId="0" fillId="42" borderId="1" xfId="0" applyNumberFormat="1" applyFont="1" applyFill="1" applyBorder="1" applyAlignment="1">
      <alignment horizontal="center" vertical="center"/>
    </xf>
    <xf numFmtId="0" fontId="88" fillId="0" borderId="59" xfId="0" applyFont="1" applyFill="1" applyBorder="1" applyAlignment="1">
      <alignment vertical="center"/>
    </xf>
    <xf numFmtId="0" fontId="87" fillId="42" borderId="8" xfId="0" applyFont="1" applyFill="1" applyBorder="1" applyAlignment="1">
      <alignment horizontal="left" vertical="top" indent="1"/>
    </xf>
    <xf numFmtId="0" fontId="87" fillId="42" borderId="9" xfId="0" applyFont="1" applyFill="1" applyBorder="1" applyAlignment="1">
      <alignment vertical="center" wrapText="1"/>
    </xf>
    <xf numFmtId="0" fontId="87" fillId="42" borderId="10" xfId="0" applyFont="1" applyFill="1" applyBorder="1" applyAlignment="1">
      <alignment horizontal="left" vertical="top" indent="1"/>
    </xf>
    <xf numFmtId="0" fontId="87" fillId="42" borderId="12" xfId="0" applyFont="1" applyFill="1" applyBorder="1" applyAlignment="1">
      <alignment vertical="center" wrapText="1"/>
    </xf>
    <xf numFmtId="4" fontId="0" fillId="42" borderId="8" xfId="0" applyNumberFormat="1" applyFill="1" applyBorder="1"/>
    <xf numFmtId="4" fontId="0" fillId="42" borderId="9" xfId="0" applyNumberFormat="1" applyFill="1" applyBorder="1" applyAlignment="1">
      <alignment horizontal="center" vertical="center"/>
    </xf>
    <xf numFmtId="0" fontId="0" fillId="42" borderId="8" xfId="0" applyFill="1" applyBorder="1"/>
    <xf numFmtId="4" fontId="0" fillId="42" borderId="12" xfId="0" applyNumberFormat="1" applyFill="1" applyBorder="1" applyAlignment="1">
      <alignment horizontal="center" vertical="center"/>
    </xf>
    <xf numFmtId="0" fontId="88" fillId="29" borderId="25" xfId="0" applyFont="1" applyFill="1" applyBorder="1" applyAlignment="1">
      <alignment vertical="center"/>
    </xf>
    <xf numFmtId="0" fontId="88" fillId="0" borderId="34" xfId="0" applyFont="1" applyFill="1" applyBorder="1" applyAlignment="1">
      <alignment vertical="center"/>
    </xf>
    <xf numFmtId="4" fontId="0" fillId="42" borderId="11" xfId="0" applyNumberFormat="1" applyFill="1" applyBorder="1" applyAlignment="1">
      <alignment horizontal="center" vertical="center" wrapText="1"/>
    </xf>
    <xf numFmtId="0" fontId="87" fillId="42" borderId="8" xfId="0" applyFont="1" applyFill="1" applyBorder="1" applyAlignment="1">
      <alignment horizontal="left" vertical="center" wrapText="1"/>
    </xf>
    <xf numFmtId="4" fontId="87" fillId="42" borderId="1" xfId="0" applyNumberFormat="1" applyFont="1" applyFill="1" applyBorder="1" applyAlignment="1">
      <alignment horizontal="center" vertical="center" wrapText="1"/>
    </xf>
    <xf numFmtId="0" fontId="87" fillId="42" borderId="8" xfId="0" applyFont="1" applyFill="1" applyBorder="1" applyAlignment="1">
      <alignment horizontal="left" vertical="top" wrapText="1"/>
    </xf>
    <xf numFmtId="0" fontId="87" fillId="42" borderId="10" xfId="0" applyFont="1" applyFill="1" applyBorder="1" applyAlignment="1">
      <alignment horizontal="left" vertical="top" wrapText="1"/>
    </xf>
    <xf numFmtId="4" fontId="0" fillId="42" borderId="8" xfId="0" applyNumberFormat="1" applyFill="1" applyBorder="1" applyAlignment="1">
      <alignment wrapText="1"/>
    </xf>
    <xf numFmtId="0" fontId="0" fillId="42" borderId="8" xfId="0" applyFill="1" applyBorder="1" applyAlignment="1">
      <alignment wrapText="1"/>
    </xf>
    <xf numFmtId="0" fontId="0" fillId="42" borderId="10" xfId="0" applyFill="1" applyBorder="1" applyAlignment="1">
      <alignment wrapText="1"/>
    </xf>
    <xf numFmtId="4" fontId="87" fillId="42" borderId="11" xfId="0" applyNumberFormat="1" applyFont="1" applyFill="1" applyBorder="1" applyAlignment="1">
      <alignment horizontal="center" vertical="center" wrapText="1"/>
    </xf>
    <xf numFmtId="4" fontId="86" fillId="0" borderId="0" xfId="0" applyNumberFormat="1" applyFont="1" applyFill="1" applyBorder="1" applyAlignment="1">
      <alignment horizontal="left" vertical="center" wrapText="1"/>
    </xf>
    <xf numFmtId="9" fontId="0" fillId="0" borderId="0" xfId="21" applyFont="1" applyFill="1" applyBorder="1" applyAlignment="1">
      <alignment horizontal="left" vertical="center" wrapText="1"/>
    </xf>
    <xf numFmtId="0" fontId="87" fillId="42" borderId="8" xfId="0" applyFont="1" applyFill="1" applyBorder="1" applyAlignment="1">
      <alignment horizontal="left" vertical="center" wrapText="1" indent="2"/>
    </xf>
    <xf numFmtId="9" fontId="0" fillId="42" borderId="1" xfId="21" applyFont="1" applyFill="1" applyBorder="1" applyAlignment="1">
      <alignment horizontal="center" vertical="center" wrapText="1"/>
    </xf>
    <xf numFmtId="0" fontId="0" fillId="42" borderId="8" xfId="0" applyFont="1" applyFill="1" applyBorder="1" applyAlignment="1">
      <alignment horizontal="left" vertical="center" wrapText="1" indent="2"/>
    </xf>
    <xf numFmtId="0" fontId="0" fillId="42" borderId="8" xfId="0" applyFill="1" applyBorder="1" applyAlignment="1">
      <alignment horizontal="left" wrapText="1" indent="2"/>
    </xf>
    <xf numFmtId="0" fontId="0" fillId="0" borderId="0" xfId="0" applyBorder="1" applyAlignment="1">
      <alignment horizontal="center" vertical="center"/>
    </xf>
    <xf numFmtId="0" fontId="12" fillId="0" borderId="59" xfId="0" applyFont="1" applyBorder="1" applyAlignment="1">
      <alignment horizontal="center" vertical="center"/>
    </xf>
    <xf numFmtId="0" fontId="107" fillId="5" borderId="8" xfId="0" applyFont="1" applyFill="1" applyBorder="1" applyAlignment="1">
      <alignment horizontal="center" vertical="center" wrapText="1"/>
    </xf>
    <xf numFmtId="0" fontId="107" fillId="5" borderId="1" xfId="0" applyFont="1" applyFill="1" applyBorder="1" applyAlignment="1">
      <alignment horizontal="center" vertical="center" wrapText="1"/>
    </xf>
    <xf numFmtId="4" fontId="0" fillId="42" borderId="1" xfId="0" applyNumberFormat="1" applyFill="1" applyBorder="1" applyAlignment="1">
      <alignment horizontal="center" wrapText="1"/>
    </xf>
    <xf numFmtId="0" fontId="110" fillId="42" borderId="8" xfId="0" applyFont="1" applyFill="1" applyBorder="1" applyAlignment="1">
      <alignment horizontal="left" vertical="center" wrapText="1"/>
    </xf>
    <xf numFmtId="0" fontId="109" fillId="42" borderId="1" xfId="0" applyFont="1" applyFill="1" applyBorder="1" applyAlignment="1">
      <alignment horizontal="center" vertical="center" wrapText="1"/>
    </xf>
    <xf numFmtId="4" fontId="109" fillId="42" borderId="1" xfId="0" applyNumberFormat="1" applyFont="1" applyFill="1" applyBorder="1" applyAlignment="1">
      <alignment horizontal="center" vertical="center" wrapText="1"/>
    </xf>
    <xf numFmtId="0" fontId="110" fillId="42" borderId="9" xfId="0" applyFont="1" applyFill="1" applyBorder="1" applyAlignment="1">
      <alignment horizontal="left" vertical="center" wrapText="1"/>
    </xf>
    <xf numFmtId="0" fontId="109" fillId="42" borderId="1" xfId="0" applyFont="1" applyFill="1" applyBorder="1" applyAlignment="1">
      <alignment wrapText="1"/>
    </xf>
    <xf numFmtId="0" fontId="109" fillId="42" borderId="1" xfId="0" applyFont="1" applyFill="1" applyBorder="1" applyAlignment="1">
      <alignment horizontal="center" wrapText="1"/>
    </xf>
    <xf numFmtId="0" fontId="0" fillId="33" borderId="1" xfId="0" applyFill="1" applyBorder="1" applyAlignment="1">
      <alignment wrapText="1"/>
    </xf>
    <xf numFmtId="4" fontId="0" fillId="33" borderId="1" xfId="0" applyNumberFormat="1" applyFill="1" applyBorder="1" applyAlignment="1">
      <alignment horizontal="right" vertical="center" wrapText="1"/>
    </xf>
    <xf numFmtId="0" fontId="87" fillId="33" borderId="9" xfId="0" applyFont="1" applyFill="1" applyBorder="1" applyAlignment="1">
      <alignment horizontal="left" vertical="center" wrapText="1"/>
    </xf>
    <xf numFmtId="9" fontId="42" fillId="33" borderId="1" xfId="21" applyFont="1" applyFill="1" applyBorder="1" applyAlignment="1">
      <alignment horizontal="center" vertical="center"/>
    </xf>
    <xf numFmtId="10" fontId="0" fillId="33" borderId="1" xfId="21" applyNumberFormat="1" applyFont="1" applyFill="1" applyBorder="1" applyAlignment="1">
      <alignment horizontal="center" vertical="center" wrapText="1"/>
    </xf>
    <xf numFmtId="0" fontId="0" fillId="33" borderId="25" xfId="0" applyFill="1" applyBorder="1" applyAlignment="1">
      <alignment wrapText="1"/>
    </xf>
    <xf numFmtId="0" fontId="0" fillId="33" borderId="11" xfId="0" applyFill="1" applyBorder="1" applyAlignment="1">
      <alignment wrapText="1"/>
    </xf>
    <xf numFmtId="0" fontId="87" fillId="33" borderId="12" xfId="0" applyFont="1" applyFill="1" applyBorder="1" applyAlignment="1">
      <alignment horizontal="left" vertical="center" wrapText="1"/>
    </xf>
    <xf numFmtId="0" fontId="113" fillId="22" borderId="8" xfId="0" applyFont="1" applyFill="1" applyBorder="1" applyAlignment="1">
      <alignment horizontal="left" vertical="center" wrapText="1" indent="5"/>
    </xf>
    <xf numFmtId="0" fontId="0" fillId="22" borderId="25" xfId="0" applyFill="1" applyBorder="1" applyAlignment="1">
      <alignment wrapText="1"/>
    </xf>
    <xf numFmtId="4" fontId="0" fillId="22" borderId="25" xfId="0" applyNumberFormat="1" applyFill="1" applyBorder="1" applyAlignment="1">
      <alignment horizontal="center" vertical="center" wrapText="1"/>
    </xf>
    <xf numFmtId="0" fontId="87" fillId="22" borderId="73" xfId="0" applyFont="1" applyFill="1" applyBorder="1" applyAlignment="1">
      <alignment horizontal="left" vertical="center" wrapText="1"/>
    </xf>
    <xf numFmtId="0" fontId="110" fillId="42" borderId="9" xfId="0" applyFont="1" applyFill="1" applyBorder="1" applyAlignment="1">
      <alignment horizontal="center" vertical="center" wrapText="1"/>
    </xf>
    <xf numFmtId="4" fontId="87" fillId="42" borderId="9" xfId="0" applyNumberFormat="1" applyFont="1" applyFill="1" applyBorder="1" applyAlignment="1">
      <alignment horizontal="center" vertical="center" wrapText="1"/>
    </xf>
    <xf numFmtId="4" fontId="0" fillId="42" borderId="9" xfId="0" applyNumberFormat="1" applyFill="1" applyBorder="1" applyAlignment="1">
      <alignment horizontal="center" vertical="center" wrapText="1"/>
    </xf>
    <xf numFmtId="4" fontId="87" fillId="42" borderId="12" xfId="0" applyNumberFormat="1" applyFont="1" applyFill="1" applyBorder="1" applyAlignment="1">
      <alignment horizontal="center" vertical="center" wrapText="1"/>
    </xf>
    <xf numFmtId="4" fontId="66" fillId="0" borderId="1" xfId="21" applyNumberFormat="1" applyFont="1" applyFill="1" applyBorder="1" applyAlignment="1" applyProtection="1">
      <alignment horizontal="center"/>
      <protection/>
    </xf>
    <xf numFmtId="0" fontId="88" fillId="29" borderId="25" xfId="0" applyFont="1" applyFill="1" applyBorder="1" applyAlignment="1">
      <alignment horizontal="center" vertical="center"/>
    </xf>
    <xf numFmtId="0" fontId="88" fillId="29" borderId="1" xfId="0" applyFont="1" applyFill="1" applyBorder="1" applyAlignment="1">
      <alignment horizontal="center" vertical="center"/>
    </xf>
    <xf numFmtId="0" fontId="88" fillId="29" borderId="73" xfId="0" applyFont="1" applyFill="1" applyBorder="1" applyAlignment="1">
      <alignment horizontal="center" vertical="center"/>
    </xf>
    <xf numFmtId="0" fontId="0" fillId="42" borderId="1" xfId="0" applyFill="1" applyBorder="1" applyAlignment="1">
      <alignment horizontal="center" vertical="center"/>
    </xf>
    <xf numFmtId="0" fontId="87" fillId="42" borderId="8" xfId="0" applyFont="1" applyFill="1" applyBorder="1" applyAlignment="1">
      <alignment horizontal="left" vertical="center" wrapText="1" indent="1"/>
    </xf>
    <xf numFmtId="0" fontId="87" fillId="42" borderId="8" xfId="0" applyFont="1" applyFill="1" applyBorder="1" applyAlignment="1">
      <alignment horizontal="left" vertical="center" indent="1"/>
    </xf>
    <xf numFmtId="4" fontId="87" fillId="42" borderId="1" xfId="0" applyNumberFormat="1" applyFont="1" applyFill="1" applyBorder="1" applyAlignment="1">
      <alignment horizontal="center" vertical="center"/>
    </xf>
    <xf numFmtId="0" fontId="87" fillId="42" borderId="9" xfId="0" applyFont="1" applyFill="1" applyBorder="1" applyAlignment="1">
      <alignment horizontal="center" vertical="center" wrapText="1"/>
    </xf>
    <xf numFmtId="0" fontId="87" fillId="42" borderId="12" xfId="0" applyFont="1" applyFill="1" applyBorder="1" applyAlignment="1">
      <alignment horizontal="center" vertical="center" wrapText="1"/>
    </xf>
    <xf numFmtId="0" fontId="88" fillId="29" borderId="8" xfId="0" applyFont="1" applyFill="1" applyBorder="1" applyAlignment="1">
      <alignment horizontal="center" vertical="center"/>
    </xf>
    <xf numFmtId="0" fontId="87" fillId="42" borderId="8" xfId="0" applyFont="1" applyFill="1" applyBorder="1" applyAlignment="1">
      <alignment horizontal="left" vertical="center" indent="4"/>
    </xf>
    <xf numFmtId="0" fontId="87" fillId="42" borderId="10" xfId="0" applyFont="1" applyFill="1" applyBorder="1" applyAlignment="1">
      <alignment horizontal="left" vertical="center"/>
    </xf>
    <xf numFmtId="0" fontId="87" fillId="42" borderId="10" xfId="0" applyFont="1" applyFill="1" applyBorder="1" applyAlignment="1">
      <alignment vertical="center"/>
    </xf>
    <xf numFmtId="4" fontId="12" fillId="38" borderId="1" xfId="21" applyNumberFormat="1" applyFont="1" applyFill="1" applyBorder="1" applyAlignment="1" applyProtection="1">
      <alignment horizontal="right"/>
      <protection/>
    </xf>
    <xf numFmtId="2" fontId="12" fillId="38" borderId="9" xfId="26" applyNumberFormat="1" applyFont="1" applyFill="1" applyBorder="1" applyAlignment="1" applyProtection="1">
      <alignment horizontal="right"/>
      <protection/>
    </xf>
    <xf numFmtId="43" fontId="12" fillId="32" borderId="1" xfId="0" applyNumberFormat="1" applyFont="1" applyFill="1" applyBorder="1" applyAlignment="1">
      <alignment horizontal="left" vertical="center"/>
    </xf>
    <xf numFmtId="43" fontId="12" fillId="32" borderId="1" xfId="0" applyNumberFormat="1" applyFont="1" applyFill="1" applyBorder="1" applyAlignment="1">
      <alignment horizontal="right" vertical="center"/>
    </xf>
    <xf numFmtId="4" fontId="12" fillId="40" borderId="1" xfId="21" applyNumberFormat="1" applyFont="1" applyFill="1" applyBorder="1" applyAlignment="1" applyProtection="1">
      <alignment horizontal="right"/>
      <protection/>
    </xf>
    <xf numFmtId="2" fontId="12" fillId="40" borderId="9" xfId="26" applyNumberFormat="1" applyFont="1" applyFill="1" applyBorder="1" applyAlignment="1" applyProtection="1">
      <alignment horizontal="right"/>
      <protection/>
    </xf>
    <xf numFmtId="4" fontId="12" fillId="33" borderId="1" xfId="21" applyNumberFormat="1" applyFont="1" applyFill="1" applyBorder="1" applyAlignment="1" applyProtection="1">
      <alignment horizontal="center"/>
      <protection/>
    </xf>
    <xf numFmtId="43" fontId="12" fillId="32" borderId="11" xfId="0" applyNumberFormat="1" applyFont="1" applyFill="1" applyBorder="1" applyAlignment="1">
      <alignment horizontal="left" vertical="center"/>
    </xf>
    <xf numFmtId="43" fontId="12" fillId="43" borderId="1" xfId="0" applyNumberFormat="1" applyFont="1" applyFill="1" applyBorder="1" applyAlignment="1">
      <alignment horizontal="left" vertical="center"/>
    </xf>
    <xf numFmtId="0" fontId="12" fillId="43" borderId="1" xfId="0" applyFont="1" applyFill="1" applyBorder="1" applyAlignment="1">
      <alignment horizontal="center" vertical="center"/>
    </xf>
    <xf numFmtId="0" fontId="12" fillId="32" borderId="1" xfId="0" applyFont="1" applyFill="1" applyBorder="1" applyAlignment="1">
      <alignment horizontal="center" vertical="center"/>
    </xf>
    <xf numFmtId="0" fontId="12" fillId="32" borderId="11" xfId="0" applyFont="1" applyFill="1" applyBorder="1" applyAlignment="1">
      <alignment horizontal="center" vertical="center"/>
    </xf>
    <xf numFmtId="0" fontId="12" fillId="0" borderId="0" xfId="0" applyFont="1" applyAlignment="1">
      <alignment horizontal="center" vertical="center"/>
    </xf>
    <xf numFmtId="0" fontId="0" fillId="0" borderId="1" xfId="0" applyBorder="1" applyAlignment="1">
      <alignment horizontal="center" vertical="center"/>
    </xf>
    <xf numFmtId="0" fontId="14" fillId="5" borderId="1" xfId="0" applyFont="1" applyFill="1" applyBorder="1" applyAlignment="1">
      <alignment horizontal="center" vertical="center"/>
    </xf>
    <xf numFmtId="4" fontId="0" fillId="35" borderId="1" xfId="0" applyNumberFormat="1" applyFill="1" applyBorder="1" applyAlignment="1">
      <alignment horizontal="center" vertical="center"/>
    </xf>
    <xf numFmtId="4" fontId="0" fillId="35" borderId="1" xfId="0" applyNumberFormat="1" applyFont="1" applyFill="1" applyBorder="1" applyAlignment="1">
      <alignment horizontal="center" vertical="center"/>
    </xf>
    <xf numFmtId="0" fontId="0" fillId="33" borderId="1" xfId="0" applyFill="1" applyBorder="1" applyAlignment="1">
      <alignment horizontal="center" vertical="center"/>
    </xf>
    <xf numFmtId="0" fontId="90" fillId="0" borderId="0" xfId="0" applyFont="1" applyBorder="1"/>
    <xf numFmtId="170" fontId="87" fillId="42" borderId="1" xfId="0" applyNumberFormat="1" applyFont="1" applyFill="1" applyBorder="1" applyAlignment="1">
      <alignment horizontal="center" vertical="center"/>
    </xf>
    <xf numFmtId="9" fontId="87" fillId="42" borderId="11" xfId="21" applyNumberFormat="1" applyFont="1" applyFill="1" applyBorder="1" applyAlignment="1">
      <alignment horizontal="center" vertical="center"/>
    </xf>
    <xf numFmtId="9" fontId="87" fillId="42" borderId="11" xfId="21" applyFont="1" applyFill="1" applyBorder="1" applyAlignment="1">
      <alignment horizontal="center" vertical="center"/>
    </xf>
    <xf numFmtId="4" fontId="0" fillId="42" borderId="1" xfId="21" applyNumberFormat="1" applyFont="1" applyFill="1" applyBorder="1" applyAlignment="1">
      <alignment horizontal="center" vertical="center" wrapText="1"/>
    </xf>
    <xf numFmtId="4" fontId="109" fillId="42" borderId="1" xfId="21" applyNumberFormat="1" applyFont="1" applyFill="1" applyBorder="1" applyAlignment="1">
      <alignment horizontal="center" vertical="center" wrapText="1"/>
    </xf>
    <xf numFmtId="4" fontId="0" fillId="42" borderId="1" xfId="21" applyNumberFormat="1" applyFont="1" applyFill="1" applyBorder="1" applyAlignment="1">
      <alignment horizontal="center" wrapText="1"/>
    </xf>
    <xf numFmtId="0" fontId="0" fillId="42" borderId="12" xfId="0" applyFill="1" applyBorder="1" applyAlignment="1">
      <alignment wrapText="1"/>
    </xf>
    <xf numFmtId="4" fontId="87" fillId="42" borderId="9" xfId="21" applyNumberFormat="1" applyFont="1" applyFill="1" applyBorder="1" applyAlignment="1">
      <alignment horizontal="center" vertical="center" wrapText="1"/>
    </xf>
    <xf numFmtId="4" fontId="42" fillId="33" borderId="1" xfId="21" applyNumberFormat="1" applyFont="1" applyFill="1" applyBorder="1" applyAlignment="1">
      <alignment horizontal="center" vertical="center"/>
    </xf>
    <xf numFmtId="4" fontId="0" fillId="33" borderId="1" xfId="21" applyNumberFormat="1" applyFont="1" applyFill="1" applyBorder="1" applyAlignment="1">
      <alignment horizontal="center" vertical="center" wrapText="1"/>
    </xf>
    <xf numFmtId="4" fontId="0" fillId="33" borderId="1" xfId="0" applyNumberFormat="1" applyFill="1" applyBorder="1" applyAlignment="1">
      <alignment wrapText="1"/>
    </xf>
    <xf numFmtId="4" fontId="0" fillId="22" borderId="25" xfId="0" applyNumberFormat="1" applyFill="1" applyBorder="1" applyAlignment="1">
      <alignment horizontal="center" wrapText="1"/>
    </xf>
    <xf numFmtId="4" fontId="0" fillId="33" borderId="25" xfId="21" applyNumberFormat="1" applyFont="1" applyFill="1" applyBorder="1" applyAlignment="1">
      <alignment horizontal="center" vertical="center" wrapText="1"/>
    </xf>
    <xf numFmtId="4" fontId="0" fillId="33" borderId="11" xfId="21" applyNumberFormat="1" applyFont="1" applyFill="1" applyBorder="1" applyAlignment="1">
      <alignment horizontal="center" vertical="center" wrapText="1"/>
    </xf>
    <xf numFmtId="0" fontId="87" fillId="33" borderId="8" xfId="0" applyFont="1" applyFill="1" applyBorder="1" applyAlignment="1">
      <alignment horizontal="left" vertical="center" wrapText="1" indent="3"/>
    </xf>
    <xf numFmtId="0" fontId="87" fillId="33" borderId="8" xfId="0" applyFont="1" applyFill="1" applyBorder="1" applyAlignment="1">
      <alignment horizontal="left" vertical="center" wrapText="1" indent="6"/>
    </xf>
    <xf numFmtId="0" fontId="87" fillId="33" borderId="10" xfId="0" applyFont="1" applyFill="1" applyBorder="1" applyAlignment="1">
      <alignment horizontal="left" vertical="center" wrapText="1" indent="6"/>
    </xf>
    <xf numFmtId="2" fontId="0" fillId="42" borderId="1" xfId="0" applyNumberFormat="1" applyFill="1" applyBorder="1" applyAlignment="1">
      <alignment horizontal="center" vertical="center"/>
    </xf>
    <xf numFmtId="0" fontId="0" fillId="42" borderId="9" xfId="0" applyFont="1" applyFill="1" applyBorder="1" applyAlignment="1">
      <alignment horizontal="center" vertical="center" wrapText="1"/>
    </xf>
    <xf numFmtId="4" fontId="0" fillId="42" borderId="11" xfId="0" applyNumberFormat="1" applyFont="1" applyFill="1" applyBorder="1" applyAlignment="1">
      <alignment horizontal="center" vertical="center"/>
    </xf>
    <xf numFmtId="4" fontId="0" fillId="42" borderId="10" xfId="0" applyNumberFormat="1" applyFont="1" applyFill="1" applyBorder="1" applyAlignment="1">
      <alignment wrapText="1"/>
    </xf>
    <xf numFmtId="4" fontId="0" fillId="42" borderId="11" xfId="0" applyNumberFormat="1" applyFont="1" applyFill="1" applyBorder="1" applyAlignment="1">
      <alignment horizontal="center" vertical="center" wrapText="1"/>
    </xf>
    <xf numFmtId="4" fontId="0" fillId="42" borderId="8" xfId="0" applyNumberFormat="1" applyFont="1" applyFill="1" applyBorder="1" applyAlignment="1">
      <alignment horizontal="left" vertical="center"/>
    </xf>
    <xf numFmtId="4" fontId="0" fillId="42" borderId="10" xfId="0" applyNumberFormat="1" applyFill="1" applyBorder="1" applyAlignment="1">
      <alignment horizontal="left" vertical="center"/>
    </xf>
    <xf numFmtId="0" fontId="0" fillId="42" borderId="12" xfId="0" applyFont="1" applyFill="1" applyBorder="1" applyAlignment="1">
      <alignment vertical="center"/>
    </xf>
    <xf numFmtId="4" fontId="0" fillId="42" borderId="11" xfId="21" applyNumberFormat="1" applyFont="1" applyFill="1" applyBorder="1" applyAlignment="1">
      <alignment horizontal="center" vertical="center" wrapText="1"/>
    </xf>
    <xf numFmtId="4" fontId="0" fillId="42" borderId="12" xfId="21" applyNumberFormat="1" applyFont="1" applyFill="1" applyBorder="1" applyAlignment="1">
      <alignment horizontal="center" vertical="center" wrapText="1"/>
    </xf>
    <xf numFmtId="0" fontId="114" fillId="42" borderId="10" xfId="0" applyFont="1" applyFill="1" applyBorder="1" applyAlignment="1">
      <alignment vertical="center"/>
    </xf>
    <xf numFmtId="4" fontId="110" fillId="42" borderId="11" xfId="21" applyNumberFormat="1" applyFont="1" applyFill="1" applyBorder="1" applyAlignment="1">
      <alignment horizontal="center" vertical="center"/>
    </xf>
    <xf numFmtId="4" fontId="109" fillId="42" borderId="12" xfId="21" applyNumberFormat="1" applyFont="1" applyFill="1" applyBorder="1" applyAlignment="1">
      <alignment horizontal="center" vertical="center"/>
    </xf>
    <xf numFmtId="0" fontId="109" fillId="42" borderId="10" xfId="0" applyFont="1" applyFill="1" applyBorder="1" applyAlignment="1">
      <alignment horizontal="left" vertical="center" wrapText="1"/>
    </xf>
    <xf numFmtId="0" fontId="47" fillId="42" borderId="10" xfId="0" applyFont="1" applyFill="1" applyBorder="1" applyAlignment="1">
      <alignment horizontal="left" vertical="center"/>
    </xf>
    <xf numFmtId="0" fontId="0" fillId="42" borderId="9" xfId="0" applyFill="1" applyBorder="1" applyAlignment="1">
      <alignment wrapText="1"/>
    </xf>
    <xf numFmtId="0" fontId="87" fillId="42" borderId="8" xfId="0" applyFont="1" applyFill="1" applyBorder="1" applyAlignment="1">
      <alignment horizontal="left" vertical="top" indent="4"/>
    </xf>
    <xf numFmtId="0" fontId="87" fillId="42" borderId="9" xfId="0" applyFont="1" applyFill="1" applyBorder="1" applyAlignment="1">
      <alignment horizontal="left" vertical="center" wrapText="1"/>
    </xf>
    <xf numFmtId="4" fontId="0" fillId="42" borderId="8" xfId="0" applyNumberFormat="1" applyFill="1" applyBorder="1" applyAlignment="1">
      <alignment horizontal="left" vertical="center" indent="4"/>
    </xf>
    <xf numFmtId="0" fontId="100" fillId="42" borderId="8" xfId="0" applyFont="1" applyFill="1" applyBorder="1" applyAlignment="1">
      <alignment horizontal="left" vertical="center" wrapText="1" indent="4"/>
    </xf>
    <xf numFmtId="0" fontId="100" fillId="42" borderId="10" xfId="0" applyFont="1" applyFill="1" applyBorder="1" applyAlignment="1">
      <alignment horizontal="left" vertical="center" wrapText="1" indent="4"/>
    </xf>
    <xf numFmtId="4" fontId="109" fillId="42" borderId="10" xfId="0" applyNumberFormat="1" applyFont="1" applyFill="1" applyBorder="1" applyAlignment="1">
      <alignment vertical="center"/>
    </xf>
    <xf numFmtId="4" fontId="109" fillId="42" borderId="0" xfId="21" applyNumberFormat="1" applyFont="1" applyFill="1" applyBorder="1" applyAlignment="1">
      <alignment horizontal="center"/>
    </xf>
    <xf numFmtId="0" fontId="85" fillId="44" borderId="6" xfId="29" applyFont="1" applyFill="1" applyBorder="1" applyAlignment="1">
      <alignment horizontal="center" vertical="center" wrapText="1"/>
      <protection/>
    </xf>
    <xf numFmtId="0" fontId="117" fillId="44" borderId="1" xfId="0" applyFont="1" applyFill="1" applyBorder="1" applyAlignment="1">
      <alignment horizontal="center" vertical="center" wrapText="1"/>
    </xf>
    <xf numFmtId="0" fontId="118" fillId="45" borderId="1" xfId="0" applyFont="1" applyFill="1" applyBorder="1" applyAlignment="1">
      <alignment horizontal="center" vertical="center" wrapText="1"/>
    </xf>
    <xf numFmtId="0" fontId="85" fillId="45" borderId="1" xfId="0" applyFont="1" applyFill="1" applyBorder="1" applyAlignment="1">
      <alignment horizontal="center" vertical="center" wrapText="1"/>
    </xf>
    <xf numFmtId="0" fontId="41" fillId="46" borderId="1" xfId="0" applyFont="1" applyFill="1" applyBorder="1" applyAlignment="1">
      <alignment horizontal="left" vertical="center"/>
    </xf>
    <xf numFmtId="43" fontId="44" fillId="7" borderId="1" xfId="20" applyFont="1" applyFill="1" applyBorder="1" applyAlignment="1">
      <alignment/>
    </xf>
    <xf numFmtId="0" fontId="110" fillId="47" borderId="1" xfId="0" applyFont="1" applyFill="1" applyBorder="1" applyAlignment="1">
      <alignment vertical="center"/>
    </xf>
    <xf numFmtId="43" fontId="110" fillId="46" borderId="1" xfId="20" applyFont="1" applyFill="1" applyBorder="1" applyAlignment="1">
      <alignment/>
    </xf>
    <xf numFmtId="0" fontId="41" fillId="48" borderId="1" xfId="0" applyFont="1" applyFill="1" applyBorder="1" applyAlignment="1">
      <alignment horizontal="left" vertical="center"/>
    </xf>
    <xf numFmtId="43" fontId="44" fillId="0" borderId="1" xfId="20" applyFont="1" applyFill="1" applyBorder="1" applyAlignment="1">
      <alignment/>
    </xf>
    <xf numFmtId="0" fontId="110" fillId="48" borderId="1" xfId="0" applyFont="1" applyFill="1" applyBorder="1" applyAlignment="1">
      <alignment horizontal="left" vertical="center"/>
    </xf>
    <xf numFmtId="43" fontId="87" fillId="7" borderId="1" xfId="20" applyFont="1" applyFill="1" applyBorder="1" applyAlignment="1">
      <alignment/>
    </xf>
    <xf numFmtId="0" fontId="41" fillId="48" borderId="1" xfId="0" applyFont="1" applyFill="1" applyBorder="1"/>
    <xf numFmtId="43" fontId="41" fillId="7" borderId="1" xfId="20" applyFont="1" applyFill="1" applyBorder="1" applyAlignment="1">
      <alignment/>
    </xf>
    <xf numFmtId="43" fontId="87" fillId="0" borderId="1" xfId="20" applyFont="1" applyFill="1" applyBorder="1" applyAlignment="1">
      <alignment/>
    </xf>
    <xf numFmtId="41" fontId="41" fillId="49" borderId="1" xfId="20" applyNumberFormat="1" applyFont="1" applyFill="1" applyBorder="1" applyAlignment="1">
      <alignment/>
    </xf>
    <xf numFmtId="43" fontId="110" fillId="48" borderId="1" xfId="20" applyFont="1" applyFill="1" applyBorder="1" applyAlignment="1">
      <alignment/>
    </xf>
    <xf numFmtId="0" fontId="110" fillId="48" borderId="1" xfId="0" applyFont="1" applyFill="1" applyBorder="1"/>
    <xf numFmtId="43" fontId="110" fillId="7" borderId="1" xfId="20" applyFont="1" applyFill="1" applyBorder="1" applyAlignment="1">
      <alignment/>
    </xf>
    <xf numFmtId="43" fontId="110" fillId="49" borderId="1" xfId="20" applyFont="1" applyFill="1" applyBorder="1" applyAlignment="1">
      <alignment/>
    </xf>
    <xf numFmtId="0" fontId="41" fillId="47" borderId="7" xfId="0" applyFont="1" applyFill="1" applyBorder="1" applyAlignment="1">
      <alignment horizontal="center" vertical="center"/>
    </xf>
    <xf numFmtId="43" fontId="117" fillId="45" borderId="1" xfId="20" applyFont="1" applyFill="1" applyBorder="1" applyAlignment="1">
      <alignment/>
    </xf>
    <xf numFmtId="0" fontId="119" fillId="0" borderId="0" xfId="0" applyFont="1" applyAlignment="1">
      <alignment horizontal="center" vertical="center" wrapText="1"/>
    </xf>
    <xf numFmtId="43" fontId="41" fillId="0" borderId="0" xfId="20" applyFont="1" applyFill="1" applyBorder="1" applyAlignment="1">
      <alignment/>
    </xf>
    <xf numFmtId="0" fontId="44" fillId="0" borderId="17"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2" xfId="0" applyFont="1" applyBorder="1" applyAlignment="1">
      <alignment horizontal="center" vertical="center" wrapText="1"/>
    </xf>
    <xf numFmtId="0" fontId="41" fillId="2" borderId="1" xfId="0" applyFont="1" applyFill="1" applyBorder="1" applyAlignment="1">
      <alignment horizontal="left" vertical="top" wrapText="1"/>
    </xf>
    <xf numFmtId="0" fontId="42" fillId="0" borderId="1" xfId="0" applyFont="1" applyBorder="1" applyAlignment="1">
      <alignment horizontal="left" vertical="top" wrapText="1"/>
    </xf>
    <xf numFmtId="0" fontId="44" fillId="36" borderId="1" xfId="0" applyFont="1" applyFill="1" applyBorder="1" applyAlignment="1">
      <alignment vertical="center" wrapText="1"/>
    </xf>
    <xf numFmtId="0" fontId="48" fillId="2" borderId="1" xfId="0" applyFont="1" applyFill="1" applyBorder="1" applyAlignment="1">
      <alignment horizontal="center" vertical="center"/>
    </xf>
    <xf numFmtId="0" fontId="42" fillId="0" borderId="1" xfId="0" applyFont="1" applyBorder="1" applyAlignment="1">
      <alignment wrapText="1"/>
    </xf>
    <xf numFmtId="0" fontId="41" fillId="2" borderId="1" xfId="0" applyFont="1" applyFill="1" applyBorder="1" applyAlignment="1">
      <alignment vertical="top" wrapText="1"/>
    </xf>
    <xf numFmtId="0" fontId="48" fillId="2" borderId="1" xfId="0" applyFont="1" applyFill="1" applyBorder="1" applyAlignment="1">
      <alignment horizontal="center" vertical="center" wrapText="1"/>
    </xf>
    <xf numFmtId="0" fontId="42" fillId="0" borderId="1" xfId="0" applyFont="1" applyFill="1" applyBorder="1" applyAlignment="1">
      <alignment horizontal="left" vertical="top" wrapText="1"/>
    </xf>
    <xf numFmtId="0" fontId="44" fillId="0" borderId="1" xfId="0" applyFont="1" applyBorder="1" applyAlignment="1">
      <alignment horizontal="left" vertical="top" wrapText="1"/>
    </xf>
    <xf numFmtId="0" fontId="50" fillId="0" borderId="69" xfId="0" applyFont="1" applyBorder="1" applyAlignment="1">
      <alignment wrapText="1"/>
    </xf>
    <xf numFmtId="0" fontId="50" fillId="0" borderId="47" xfId="0" applyFont="1" applyBorder="1" applyAlignment="1">
      <alignment wrapText="1"/>
    </xf>
    <xf numFmtId="0" fontId="48" fillId="28" borderId="0" xfId="0" applyFont="1" applyFill="1"/>
    <xf numFmtId="0" fontId="93" fillId="2" borderId="27" xfId="0" applyFont="1" applyFill="1" applyBorder="1" applyAlignment="1">
      <alignment horizontal="center" vertical="top" wrapText="1"/>
    </xf>
    <xf numFmtId="43" fontId="120" fillId="4" borderId="75" xfId="20" applyFont="1" applyFill="1" applyBorder="1" applyAlignment="1">
      <alignment horizontal="center" wrapText="1"/>
    </xf>
    <xf numFmtId="2" fontId="44" fillId="36" borderId="1" xfId="0" applyNumberFormat="1" applyFont="1" applyFill="1" applyBorder="1" applyAlignment="1">
      <alignment vertical="center" wrapText="1"/>
    </xf>
    <xf numFmtId="0" fontId="44" fillId="0" borderId="1" xfId="0" applyFont="1" applyBorder="1" applyAlignment="1">
      <alignment horizontal="left" vertical="top"/>
    </xf>
    <xf numFmtId="9" fontId="42" fillId="0" borderId="1" xfId="21" applyFont="1" applyFill="1" applyBorder="1" applyAlignment="1">
      <alignment horizontal="left" vertical="top" wrapText="1"/>
    </xf>
    <xf numFmtId="9" fontId="42" fillId="0" borderId="1" xfId="21" applyFont="1" applyFill="1" applyBorder="1" applyAlignment="1">
      <alignment horizontal="right" vertical="top" wrapText="1"/>
    </xf>
    <xf numFmtId="172" fontId="42" fillId="0" borderId="1" xfId="0" applyNumberFormat="1" applyFont="1" applyFill="1" applyBorder="1" applyAlignment="1">
      <alignment horizontal="left" vertical="top" wrapText="1"/>
    </xf>
    <xf numFmtId="1" fontId="42" fillId="0" borderId="1" xfId="0" applyNumberFormat="1" applyFont="1" applyFill="1" applyBorder="1" applyAlignment="1">
      <alignment horizontal="left" vertical="top" wrapText="1"/>
    </xf>
    <xf numFmtId="0" fontId="42" fillId="17" borderId="1" xfId="0" applyFont="1" applyFill="1" applyBorder="1" applyAlignment="1">
      <alignment horizontal="left" vertical="top" wrapText="1"/>
    </xf>
    <xf numFmtId="2" fontId="42" fillId="0" borderId="1" xfId="0" applyNumberFormat="1" applyFont="1" applyFill="1" applyBorder="1" applyAlignment="1">
      <alignment horizontal="left" vertical="top" wrapText="1"/>
    </xf>
    <xf numFmtId="0" fontId="51" fillId="0" borderId="1" xfId="0" applyFont="1" applyBorder="1" applyAlignment="1">
      <alignment horizontal="left" vertical="top"/>
    </xf>
    <xf numFmtId="0" fontId="51" fillId="0" borderId="1" xfId="0" applyFont="1" applyFill="1" applyBorder="1" applyAlignment="1">
      <alignment horizontal="left" vertical="top" wrapText="1"/>
    </xf>
    <xf numFmtId="0" fontId="51" fillId="0" borderId="1" xfId="0" applyFont="1" applyBorder="1" applyAlignment="1">
      <alignment horizontal="left" vertical="top" wrapText="1"/>
    </xf>
    <xf numFmtId="0" fontId="44" fillId="0" borderId="1" xfId="0" applyFont="1" applyFill="1" applyBorder="1" applyAlignment="1">
      <alignment vertical="top" wrapText="1"/>
    </xf>
    <xf numFmtId="4" fontId="51" fillId="0" borderId="1" xfId="0" applyNumberFormat="1" applyFont="1" applyFill="1" applyBorder="1" applyAlignment="1">
      <alignment horizontal="left" vertical="top" wrapText="1"/>
    </xf>
    <xf numFmtId="0" fontId="51" fillId="0" borderId="1" xfId="0" applyFont="1" applyFill="1" applyBorder="1" applyAlignment="1">
      <alignment vertical="top" wrapText="1"/>
    </xf>
    <xf numFmtId="0" fontId="44" fillId="3" borderId="1" xfId="0" applyFont="1" applyFill="1" applyBorder="1" applyAlignment="1">
      <alignment horizontal="left"/>
    </xf>
    <xf numFmtId="2" fontId="44" fillId="0" borderId="1" xfId="0" applyNumberFormat="1" applyFont="1" applyFill="1" applyBorder="1" applyAlignment="1">
      <alignment/>
    </xf>
    <xf numFmtId="2" fontId="44" fillId="3" borderId="1" xfId="0" applyNumberFormat="1" applyFont="1" applyFill="1" applyBorder="1" applyAlignment="1">
      <alignment/>
    </xf>
    <xf numFmtId="0" fontId="44" fillId="3" borderId="1" xfId="0" applyFont="1" applyFill="1" applyBorder="1" applyAlignment="1" applyProtection="1">
      <alignment horizontal="left" vertical="center"/>
      <protection/>
    </xf>
    <xf numFmtId="0" fontId="44" fillId="7" borderId="1" xfId="0" applyFont="1" applyFill="1" applyBorder="1" applyAlignment="1" applyProtection="1">
      <alignment horizontal="left" vertical="center" wrapText="1"/>
      <protection/>
    </xf>
    <xf numFmtId="0" fontId="44" fillId="7" borderId="1" xfId="0" applyFont="1" applyFill="1" applyBorder="1" applyAlignment="1" applyProtection="1">
      <alignment horizontal="left" vertical="center"/>
      <protection/>
    </xf>
    <xf numFmtId="0" fontId="44" fillId="3" borderId="1" xfId="0" applyFont="1" applyFill="1" applyBorder="1" applyAlignment="1">
      <alignment horizontal="left" vertical="top"/>
    </xf>
    <xf numFmtId="170" fontId="44" fillId="25" borderId="1" xfId="0" applyNumberFormat="1" applyFont="1" applyFill="1" applyBorder="1" applyAlignment="1">
      <alignment horizontal="left" vertical="top" wrapText="1"/>
    </xf>
    <xf numFmtId="0" fontId="44" fillId="0" borderId="1" xfId="21" applyNumberFormat="1" applyFont="1" applyFill="1" applyBorder="1" applyAlignment="1">
      <alignment horizontal="right" vertical="top"/>
    </xf>
    <xf numFmtId="9" fontId="44" fillId="0" borderId="1" xfId="21" applyFont="1" applyFill="1" applyBorder="1" applyAlignment="1" applyProtection="1">
      <alignment/>
      <protection/>
    </xf>
    <xf numFmtId="0" fontId="44" fillId="0" borderId="1" xfId="0" applyFont="1" applyFill="1" applyBorder="1" applyAlignment="1">
      <alignment horizontal="left" vertical="center" wrapText="1"/>
    </xf>
    <xf numFmtId="0" fontId="41" fillId="21" borderId="1" xfId="0" applyFont="1" applyFill="1" applyBorder="1"/>
    <xf numFmtId="0" fontId="41" fillId="3" borderId="1" xfId="0" applyFont="1" applyFill="1" applyBorder="1"/>
    <xf numFmtId="0" fontId="44" fillId="3" borderId="1" xfId="0" applyFont="1" applyFill="1" applyBorder="1"/>
    <xf numFmtId="2" fontId="41" fillId="3" borderId="1" xfId="0" applyNumberFormat="1" applyFont="1" applyFill="1" applyBorder="1"/>
    <xf numFmtId="9" fontId="44" fillId="3" borderId="1" xfId="21" applyFont="1" applyFill="1" applyBorder="1"/>
    <xf numFmtId="2" fontId="44" fillId="3" borderId="1" xfId="0" applyNumberFormat="1" applyFont="1" applyFill="1" applyBorder="1"/>
    <xf numFmtId="43" fontId="44" fillId="0" borderId="1" xfId="20" applyFont="1" applyFill="1" applyBorder="1" applyAlignment="1" applyProtection="1">
      <alignment/>
      <protection/>
    </xf>
    <xf numFmtId="0" fontId="44" fillId="0" borderId="6" xfId="0" applyFont="1" applyBorder="1" applyAlignment="1">
      <alignment horizontal="left" vertical="center" wrapText="1"/>
    </xf>
    <xf numFmtId="0" fontId="44" fillId="0" borderId="1" xfId="0" applyFont="1" applyBorder="1" applyAlignment="1">
      <alignment vertical="center" wrapText="1"/>
    </xf>
    <xf numFmtId="0" fontId="41" fillId="21" borderId="1" xfId="0" applyFont="1" applyFill="1" applyBorder="1" applyAlignment="1">
      <alignment horizontal="center" vertical="center"/>
    </xf>
    <xf numFmtId="0" fontId="41" fillId="21" borderId="1" xfId="0" applyFont="1" applyFill="1" applyBorder="1" applyAlignment="1">
      <alignment horizontal="center" vertical="center" wrapText="1"/>
    </xf>
    <xf numFmtId="43" fontId="44" fillId="3" borderId="1" xfId="20" applyFont="1" applyFill="1" applyBorder="1"/>
    <xf numFmtId="10" fontId="42" fillId="0" borderId="1" xfId="21" applyNumberFormat="1" applyFont="1" applyBorder="1" applyAlignment="1">
      <alignment wrapText="1"/>
    </xf>
    <xf numFmtId="0" fontId="117" fillId="44" borderId="1" xfId="0" applyFont="1" applyFill="1" applyBorder="1" applyAlignment="1">
      <alignment horizontal="center" vertical="center" wrapText="1"/>
    </xf>
    <xf numFmtId="164" fontId="12" fillId="3" borderId="0" xfId="0" applyNumberFormat="1" applyFont="1" applyFill="1"/>
    <xf numFmtId="0" fontId="117" fillId="45" borderId="1" xfId="0" applyFont="1" applyFill="1" applyBorder="1" applyAlignment="1">
      <alignment horizontal="center" vertical="center" wrapText="1"/>
    </xf>
    <xf numFmtId="43" fontId="46" fillId="0" borderId="1" xfId="20" applyFont="1" applyBorder="1" applyAlignment="1">
      <alignment horizontal="center" vertical="center" wrapText="1"/>
    </xf>
    <xf numFmtId="43" fontId="41" fillId="49" borderId="1" xfId="20" applyFont="1" applyFill="1" applyBorder="1" applyAlignment="1">
      <alignment/>
    </xf>
    <xf numFmtId="0" fontId="41" fillId="47" borderId="1" xfId="0" applyFont="1" applyFill="1" applyBorder="1" applyAlignment="1">
      <alignment horizontal="center" vertical="center"/>
    </xf>
    <xf numFmtId="0" fontId="123" fillId="50"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46" fillId="0" borderId="1" xfId="0" applyFont="1" applyBorder="1" applyAlignment="1">
      <alignment vertical="center" wrapText="1"/>
    </xf>
    <xf numFmtId="43" fontId="123" fillId="51" borderId="1" xfId="20" applyFont="1" applyFill="1" applyBorder="1" applyAlignment="1">
      <alignment horizontal="center" vertical="center" wrapText="1"/>
    </xf>
    <xf numFmtId="43" fontId="47" fillId="0" borderId="1" xfId="20" applyFont="1" applyBorder="1" applyAlignment="1">
      <alignment horizontal="center" vertical="center" wrapText="1"/>
    </xf>
    <xf numFmtId="43" fontId="46" fillId="50" borderId="1" xfId="20" applyFont="1" applyFill="1" applyBorder="1" applyAlignment="1">
      <alignment horizontal="center" vertical="center" wrapText="1"/>
    </xf>
    <xf numFmtId="43" fontId="47" fillId="0" borderId="1" xfId="20" applyFont="1" applyBorder="1" applyAlignment="1">
      <alignment vertical="center" wrapText="1"/>
    </xf>
    <xf numFmtId="43" fontId="46" fillId="0" borderId="1" xfId="20" applyFont="1" applyBorder="1" applyAlignment="1">
      <alignment vertical="center" wrapText="1"/>
    </xf>
    <xf numFmtId="43" fontId="46" fillId="50" borderId="1" xfId="20" applyFont="1" applyFill="1" applyBorder="1" applyAlignment="1">
      <alignment vertical="center" wrapText="1"/>
    </xf>
    <xf numFmtId="10" fontId="47" fillId="0" borderId="1" xfId="21" applyNumberFormat="1" applyFont="1" applyBorder="1" applyAlignment="1">
      <alignment horizontal="center" vertical="center" wrapText="1"/>
    </xf>
    <xf numFmtId="10" fontId="46" fillId="0" borderId="1" xfId="21" applyNumberFormat="1" applyFont="1" applyBorder="1" applyAlignment="1">
      <alignment horizontal="center" vertical="center" wrapText="1"/>
    </xf>
    <xf numFmtId="10" fontId="123" fillId="51" borderId="1" xfId="21" applyNumberFormat="1" applyFont="1" applyFill="1" applyBorder="1" applyAlignment="1">
      <alignment horizontal="center" vertical="center" wrapText="1"/>
    </xf>
    <xf numFmtId="0" fontId="38" fillId="52" borderId="0" xfId="24" applyFont="1" applyFill="1" applyBorder="1" applyAlignment="1">
      <alignment horizontal="center"/>
      <protection/>
    </xf>
    <xf numFmtId="0" fontId="22" fillId="53" borderId="0" xfId="24" applyFont="1" applyFill="1" applyBorder="1" applyAlignment="1">
      <alignment horizontal="center"/>
      <protection/>
    </xf>
    <xf numFmtId="0" fontId="14" fillId="8" borderId="0" xfId="24" applyFont="1" applyFill="1" applyBorder="1" applyAlignment="1">
      <alignment horizontal="left"/>
      <protection/>
    </xf>
    <xf numFmtId="0" fontId="8" fillId="3" borderId="0" xfId="24" applyFont="1" applyFill="1" applyBorder="1" applyAlignment="1">
      <alignment horizontal="left" wrapText="1"/>
      <protection/>
    </xf>
    <xf numFmtId="0" fontId="34" fillId="3" borderId="0" xfId="27" applyFont="1" applyFill="1" applyBorder="1" applyAlignment="1" applyProtection="1">
      <alignment horizontal="left" vertical="top" wrapText="1"/>
      <protection/>
    </xf>
    <xf numFmtId="0" fontId="8" fillId="3" borderId="0" xfId="24" applyFont="1" applyFill="1" applyBorder="1" applyAlignment="1">
      <alignment horizontal="left" vertical="top" wrapText="1"/>
      <protection/>
    </xf>
    <xf numFmtId="0" fontId="30" fillId="15" borderId="7" xfId="24" applyFont="1" applyFill="1" applyBorder="1" applyAlignment="1">
      <alignment horizontal="center"/>
      <protection/>
    </xf>
    <xf numFmtId="0" fontId="12" fillId="3" borderId="0" xfId="24" applyFont="1" applyFill="1" applyBorder="1" applyAlignment="1">
      <alignment horizontal="left" vertical="top" wrapText="1"/>
      <protection/>
    </xf>
    <xf numFmtId="0" fontId="12" fillId="3" borderId="25" xfId="24" applyFont="1" applyFill="1" applyBorder="1" applyAlignment="1">
      <alignment horizontal="left" vertical="top" wrapText="1"/>
      <protection/>
    </xf>
    <xf numFmtId="0" fontId="12" fillId="3" borderId="22" xfId="24" applyFont="1" applyFill="1" applyBorder="1" applyAlignment="1">
      <alignment horizontal="left" vertical="top" wrapText="1"/>
      <protection/>
    </xf>
    <xf numFmtId="0" fontId="12" fillId="3" borderId="20" xfId="24" applyFont="1" applyFill="1" applyBorder="1" applyAlignment="1">
      <alignment horizontal="left" vertical="top" wrapText="1"/>
      <protection/>
    </xf>
    <xf numFmtId="0" fontId="12" fillId="3" borderId="73" xfId="24" applyFont="1" applyFill="1" applyBorder="1" applyAlignment="1">
      <alignment horizontal="left" vertical="top" wrapText="1"/>
      <protection/>
    </xf>
    <xf numFmtId="0" fontId="12" fillId="3" borderId="76" xfId="24" applyFont="1" applyFill="1" applyBorder="1" applyAlignment="1">
      <alignment horizontal="left" vertical="top" wrapText="1"/>
      <protection/>
    </xf>
    <xf numFmtId="0" fontId="12" fillId="3" borderId="72" xfId="24" applyFont="1" applyFill="1" applyBorder="1" applyAlignment="1">
      <alignment horizontal="left" vertical="top" wrapText="1"/>
      <protection/>
    </xf>
    <xf numFmtId="0" fontId="65" fillId="5" borderId="77" xfId="0" applyFont="1" applyFill="1" applyBorder="1" applyAlignment="1">
      <alignment horizontal="left" vertical="top" wrapText="1"/>
    </xf>
    <xf numFmtId="0" fontId="65" fillId="5" borderId="40" xfId="0" applyFont="1" applyFill="1" applyBorder="1" applyAlignment="1">
      <alignment horizontal="left" vertical="top" wrapText="1"/>
    </xf>
    <xf numFmtId="0" fontId="65" fillId="5" borderId="78" xfId="0" applyFont="1" applyFill="1" applyBorder="1" applyAlignment="1">
      <alignment horizontal="left" vertical="top" wrapText="1"/>
    </xf>
    <xf numFmtId="0" fontId="65" fillId="5" borderId="79" xfId="0" applyFont="1" applyFill="1" applyBorder="1" applyAlignment="1">
      <alignment horizontal="left" vertical="top" wrapText="1"/>
    </xf>
    <xf numFmtId="0" fontId="14" fillId="3" borderId="25" xfId="0" applyFont="1" applyFill="1" applyBorder="1" applyAlignment="1">
      <alignment horizontal="left" vertical="top" wrapText="1"/>
    </xf>
    <xf numFmtId="0" fontId="14" fillId="3" borderId="22" xfId="0" applyFont="1" applyFill="1" applyBorder="1" applyAlignment="1">
      <alignment horizontal="left" vertical="top" wrapText="1"/>
    </xf>
    <xf numFmtId="0" fontId="14" fillId="3" borderId="20" xfId="0" applyFont="1" applyFill="1" applyBorder="1" applyAlignment="1">
      <alignment horizontal="left" vertical="top" wrapText="1"/>
    </xf>
    <xf numFmtId="0" fontId="12" fillId="0" borderId="25" xfId="24" applyFont="1" applyBorder="1" applyAlignment="1">
      <alignment horizontal="left" vertical="top" wrapText="1"/>
      <protection/>
    </xf>
    <xf numFmtId="0" fontId="12" fillId="0" borderId="22" xfId="24" applyFont="1" applyBorder="1" applyAlignment="1">
      <alignment horizontal="left" vertical="top" wrapText="1"/>
      <protection/>
    </xf>
    <xf numFmtId="0" fontId="12" fillId="0" borderId="20" xfId="24" applyFont="1" applyBorder="1" applyAlignment="1">
      <alignment horizontal="left" vertical="top" wrapText="1"/>
      <protection/>
    </xf>
    <xf numFmtId="0" fontId="44" fillId="0" borderId="25" xfId="0" applyFont="1" applyFill="1" applyBorder="1" applyAlignment="1">
      <alignment horizontal="left" vertical="top" wrapText="1"/>
    </xf>
    <xf numFmtId="0" fontId="44" fillId="0" borderId="22" xfId="0" applyFont="1" applyFill="1" applyBorder="1" applyAlignment="1">
      <alignment horizontal="left" vertical="top" wrapText="1"/>
    </xf>
    <xf numFmtId="0" fontId="44" fillId="0" borderId="20" xfId="0" applyFont="1" applyFill="1" applyBorder="1" applyAlignment="1">
      <alignment horizontal="left" vertical="top" wrapText="1"/>
    </xf>
    <xf numFmtId="0" fontId="65" fillId="5" borderId="41" xfId="0" applyFont="1" applyFill="1" applyBorder="1" applyAlignment="1">
      <alignment horizontal="left" vertical="top" wrapText="1"/>
    </xf>
    <xf numFmtId="0" fontId="12" fillId="3" borderId="18" xfId="24" applyFont="1" applyFill="1" applyBorder="1" applyAlignment="1">
      <alignment horizontal="left" vertical="top" wrapText="1"/>
      <protection/>
    </xf>
    <xf numFmtId="0" fontId="12" fillId="0" borderId="25" xfId="24" applyFont="1" applyFill="1" applyBorder="1" applyAlignment="1">
      <alignment horizontal="left" vertical="top" wrapText="1"/>
      <protection/>
    </xf>
    <xf numFmtId="0" fontId="12" fillId="0" borderId="20" xfId="24" applyFont="1" applyFill="1" applyBorder="1" applyAlignment="1">
      <alignment horizontal="left" vertical="top" wrapText="1"/>
      <protection/>
    </xf>
    <xf numFmtId="0" fontId="12" fillId="0" borderId="1" xfId="24" applyFont="1" applyFill="1" applyBorder="1" applyAlignment="1">
      <alignment horizontal="center" vertical="top" wrapText="1"/>
      <protection/>
    </xf>
    <xf numFmtId="0" fontId="12" fillId="3" borderId="1" xfId="24" applyFont="1" applyFill="1" applyBorder="1" applyAlignment="1">
      <alignment horizontal="left" vertical="top" wrapText="1"/>
      <protection/>
    </xf>
    <xf numFmtId="0" fontId="12" fillId="0" borderId="1" xfId="24" applyFont="1" applyFill="1" applyBorder="1" applyAlignment="1">
      <alignment horizontal="left" vertical="top" wrapText="1"/>
      <protection/>
    </xf>
    <xf numFmtId="0" fontId="12" fillId="3" borderId="21" xfId="24" applyFont="1" applyFill="1" applyBorder="1" applyAlignment="1">
      <alignment horizontal="left" vertical="top" wrapText="1"/>
      <protection/>
    </xf>
    <xf numFmtId="0" fontId="12" fillId="3" borderId="70" xfId="24" applyFont="1" applyFill="1" applyBorder="1" applyAlignment="1">
      <alignment horizontal="left" vertical="top" wrapText="1"/>
      <protection/>
    </xf>
    <xf numFmtId="0" fontId="42" fillId="0" borderId="80" xfId="0" applyFont="1" applyFill="1" applyBorder="1" applyAlignment="1">
      <alignment horizontal="left" vertical="top" wrapText="1"/>
    </xf>
    <xf numFmtId="0" fontId="42" fillId="0" borderId="30" xfId="0" applyFont="1" applyFill="1" applyBorder="1" applyAlignment="1">
      <alignment horizontal="left" vertical="top" wrapText="1"/>
    </xf>
    <xf numFmtId="0" fontId="30" fillId="15" borderId="58" xfId="24" applyFont="1" applyFill="1" applyBorder="1" applyAlignment="1">
      <alignment horizontal="left" vertical="top" wrapText="1"/>
      <protection/>
    </xf>
    <xf numFmtId="0" fontId="30" fillId="15" borderId="59" xfId="24" applyFont="1" applyFill="1" applyBorder="1" applyAlignment="1">
      <alignment horizontal="left" vertical="top" wrapText="1"/>
      <protection/>
    </xf>
    <xf numFmtId="0" fontId="30" fillId="15" borderId="70" xfId="24" applyFont="1" applyFill="1" applyBorder="1" applyAlignment="1">
      <alignment horizontal="left" vertical="top" wrapText="1"/>
      <protection/>
    </xf>
    <xf numFmtId="0" fontId="65" fillId="5" borderId="81" xfId="0" applyFont="1" applyFill="1" applyBorder="1" applyAlignment="1">
      <alignment horizontal="left" vertical="top" wrapText="1"/>
    </xf>
    <xf numFmtId="0" fontId="42" fillId="0" borderId="1" xfId="0" applyFont="1" applyFill="1" applyBorder="1" applyAlignment="1">
      <alignment vertical="top" wrapText="1"/>
    </xf>
    <xf numFmtId="0" fontId="42" fillId="0" borderId="1" xfId="0" applyFont="1" applyBorder="1" applyAlignment="1">
      <alignment horizontal="left" vertical="center" wrapText="1"/>
    </xf>
    <xf numFmtId="0" fontId="42" fillId="0" borderId="1" xfId="0" applyFont="1" applyBorder="1" applyAlignment="1">
      <alignment horizontal="left" vertical="center"/>
    </xf>
    <xf numFmtId="0" fontId="42" fillId="0" borderId="1" xfId="0" applyFont="1" applyFill="1" applyBorder="1" applyAlignment="1">
      <alignment horizontal="left" vertical="center"/>
    </xf>
    <xf numFmtId="0" fontId="42" fillId="0" borderId="6" xfId="0" applyFont="1" applyFill="1" applyBorder="1" applyAlignment="1">
      <alignment horizontal="left" vertical="center" wrapText="1"/>
    </xf>
    <xf numFmtId="0" fontId="42" fillId="0" borderId="61"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3" fillId="0" borderId="1" xfId="22" applyFont="1" applyFill="1" applyBorder="1" applyAlignment="1">
      <alignment horizontal="left" vertical="center"/>
    </xf>
    <xf numFmtId="14" fontId="42" fillId="0" borderId="1" xfId="0" applyNumberFormat="1" applyFont="1" applyBorder="1" applyAlignment="1">
      <alignment horizontal="left" vertical="center"/>
    </xf>
    <xf numFmtId="0" fontId="42" fillId="0" borderId="6" xfId="0" applyFont="1" applyFill="1" applyBorder="1" applyAlignment="1">
      <alignment horizontal="left" vertical="center"/>
    </xf>
    <xf numFmtId="0" fontId="42" fillId="0" borderId="61" xfId="0" applyFont="1" applyFill="1" applyBorder="1" applyAlignment="1">
      <alignment horizontal="left" vertical="center"/>
    </xf>
    <xf numFmtId="0" fontId="42" fillId="0" borderId="7" xfId="0" applyFont="1" applyFill="1" applyBorder="1" applyAlignment="1">
      <alignment horizontal="left" vertical="center"/>
    </xf>
    <xf numFmtId="0" fontId="43" fillId="0" borderId="1" xfId="22" applyFont="1" applyBorder="1" applyAlignment="1">
      <alignment horizontal="left" vertical="center"/>
    </xf>
    <xf numFmtId="0" fontId="42" fillId="0" borderId="1" xfId="0" applyFont="1" applyFill="1" applyBorder="1" applyAlignment="1">
      <alignment horizontal="left" vertical="center" wrapText="1"/>
    </xf>
    <xf numFmtId="14" fontId="42" fillId="0" borderId="6" xfId="0" applyNumberFormat="1" applyFont="1" applyBorder="1" applyAlignment="1">
      <alignment horizontal="left" vertical="center"/>
    </xf>
    <xf numFmtId="14" fontId="42" fillId="0" borderId="61" xfId="0" applyNumberFormat="1" applyFont="1" applyBorder="1" applyAlignment="1">
      <alignment horizontal="left" vertical="center"/>
    </xf>
    <xf numFmtId="14" fontId="42" fillId="0" borderId="7" xfId="0" applyNumberFormat="1" applyFont="1" applyBorder="1" applyAlignment="1">
      <alignment horizontal="left" vertical="center"/>
    </xf>
    <xf numFmtId="0" fontId="42" fillId="0" borderId="6" xfId="0" applyFont="1" applyBorder="1" applyAlignment="1">
      <alignment horizontal="left" vertical="center" wrapText="1"/>
    </xf>
    <xf numFmtId="0" fontId="42" fillId="0" borderId="61" xfId="0" applyFont="1" applyBorder="1" applyAlignment="1">
      <alignment horizontal="left" vertical="center"/>
    </xf>
    <xf numFmtId="0" fontId="42" fillId="0" borderId="7" xfId="0" applyFont="1" applyBorder="1" applyAlignment="1">
      <alignment horizontal="left" vertical="center"/>
    </xf>
    <xf numFmtId="0" fontId="46" fillId="17" borderId="6" xfId="0" applyFont="1" applyFill="1" applyBorder="1" applyAlignment="1">
      <alignment horizontal="left" vertical="top" wrapText="1"/>
    </xf>
    <xf numFmtId="0" fontId="46" fillId="17" borderId="61" xfId="0" applyFont="1" applyFill="1" applyBorder="1" applyAlignment="1">
      <alignment horizontal="left" vertical="top" wrapText="1"/>
    </xf>
    <xf numFmtId="0" fontId="46" fillId="17" borderId="7" xfId="0" applyFont="1" applyFill="1" applyBorder="1" applyAlignment="1">
      <alignment horizontal="left" vertical="top" wrapText="1"/>
    </xf>
    <xf numFmtId="0" fontId="42" fillId="0" borderId="6" xfId="0" applyFont="1" applyBorder="1" applyAlignment="1">
      <alignment horizontal="left" vertical="center"/>
    </xf>
    <xf numFmtId="0" fontId="46" fillId="0" borderId="6" xfId="0" applyFont="1" applyBorder="1" applyAlignment="1">
      <alignment horizontal="left" vertical="center"/>
    </xf>
    <xf numFmtId="0" fontId="46" fillId="0" borderId="61" xfId="0" applyFont="1" applyBorder="1" applyAlignment="1">
      <alignment horizontal="left" vertical="center"/>
    </xf>
    <xf numFmtId="0" fontId="46" fillId="0" borderId="7" xfId="0" applyFont="1" applyBorder="1" applyAlignment="1">
      <alignment horizontal="left" vertical="center"/>
    </xf>
    <xf numFmtId="0" fontId="46" fillId="0" borderId="6" xfId="0" applyFont="1" applyFill="1" applyBorder="1" applyAlignment="1">
      <alignment horizontal="left" vertical="center"/>
    </xf>
    <xf numFmtId="0" fontId="46" fillId="0" borderId="61" xfId="0" applyFont="1" applyFill="1" applyBorder="1" applyAlignment="1">
      <alignment horizontal="left" vertical="center"/>
    </xf>
    <xf numFmtId="0" fontId="46" fillId="0" borderId="7" xfId="0" applyFont="1" applyFill="1" applyBorder="1" applyAlignment="1">
      <alignment horizontal="left" vertical="center"/>
    </xf>
    <xf numFmtId="0" fontId="43" fillId="0" borderId="6" xfId="22" applyFont="1" applyBorder="1" applyAlignment="1">
      <alignment horizontal="left" vertical="center"/>
    </xf>
    <xf numFmtId="0" fontId="43" fillId="0" borderId="61" xfId="22" applyFont="1" applyBorder="1" applyAlignment="1">
      <alignment horizontal="left" vertical="center"/>
    </xf>
    <xf numFmtId="0" fontId="43" fillId="0" borderId="7" xfId="22" applyFont="1" applyBorder="1" applyAlignment="1">
      <alignment horizontal="left" vertical="center"/>
    </xf>
    <xf numFmtId="0" fontId="10" fillId="0" borderId="6" xfId="22" applyBorder="1" applyAlignment="1">
      <alignment horizontal="left" vertical="center"/>
    </xf>
    <xf numFmtId="0" fontId="41" fillId="0" borderId="0" xfId="0" applyFont="1" applyAlignment="1">
      <alignment horizontal="left" vertical="top"/>
    </xf>
    <xf numFmtId="0" fontId="42" fillId="0" borderId="24" xfId="0" applyFont="1" applyBorder="1" applyAlignment="1">
      <alignment horizontal="left"/>
    </xf>
    <xf numFmtId="0" fontId="42" fillId="0" borderId="0" xfId="0" applyFont="1" applyBorder="1" applyAlignment="1">
      <alignment horizontal="left"/>
    </xf>
    <xf numFmtId="0" fontId="48" fillId="0" borderId="19" xfId="0" applyFont="1" applyBorder="1" applyAlignment="1">
      <alignment horizontal="left"/>
    </xf>
    <xf numFmtId="4" fontId="44" fillId="20" borderId="25" xfId="0" applyNumberFormat="1" applyFont="1" applyFill="1" applyBorder="1" applyAlignment="1">
      <alignment horizontal="center" vertical="top" wrapText="1"/>
    </xf>
    <xf numFmtId="4" fontId="44" fillId="20" borderId="22" xfId="0" applyNumberFormat="1" applyFont="1" applyFill="1" applyBorder="1" applyAlignment="1">
      <alignment horizontal="center" vertical="top" wrapText="1"/>
    </xf>
    <xf numFmtId="4" fontId="44" fillId="20" borderId="20" xfId="0" applyNumberFormat="1" applyFont="1" applyFill="1" applyBorder="1" applyAlignment="1">
      <alignment horizontal="center" vertical="top" wrapText="1"/>
    </xf>
    <xf numFmtId="0" fontId="41" fillId="0" borderId="19" xfId="0" applyFont="1" applyBorder="1" applyAlignment="1">
      <alignment horizontal="left" vertical="top"/>
    </xf>
    <xf numFmtId="0" fontId="48" fillId="0" borderId="0" xfId="0" applyFont="1" applyBorder="1" applyAlignment="1">
      <alignment horizontal="left"/>
    </xf>
    <xf numFmtId="4" fontId="44" fillId="18" borderId="25" xfId="0" applyNumberFormat="1" applyFont="1" applyFill="1" applyBorder="1" applyAlignment="1">
      <alignment horizontal="center" vertical="top" wrapText="1"/>
    </xf>
    <xf numFmtId="4" fontId="44" fillId="18" borderId="22" xfId="0" applyNumberFormat="1" applyFont="1" applyFill="1" applyBorder="1" applyAlignment="1">
      <alignment horizontal="center" vertical="top" wrapText="1"/>
    </xf>
    <xf numFmtId="4" fontId="44" fillId="18" borderId="20" xfId="0" applyNumberFormat="1" applyFont="1" applyFill="1" applyBorder="1" applyAlignment="1">
      <alignment horizontal="center" vertical="top" wrapText="1"/>
    </xf>
    <xf numFmtId="4" fontId="44" fillId="19" borderId="25" xfId="0" applyNumberFormat="1" applyFont="1" applyFill="1" applyBorder="1" applyAlignment="1">
      <alignment horizontal="center" vertical="top" wrapText="1"/>
    </xf>
    <xf numFmtId="4" fontId="44" fillId="19" borderId="22" xfId="0" applyNumberFormat="1" applyFont="1" applyFill="1" applyBorder="1" applyAlignment="1">
      <alignment horizontal="center" vertical="top" wrapText="1"/>
    </xf>
    <xf numFmtId="4" fontId="44" fillId="19" borderId="20" xfId="0" applyNumberFormat="1" applyFont="1" applyFill="1" applyBorder="1" applyAlignment="1">
      <alignment horizontal="center" vertical="top" wrapText="1"/>
    </xf>
    <xf numFmtId="0" fontId="41" fillId="16" borderId="1" xfId="0" applyFont="1" applyFill="1" applyBorder="1" applyAlignment="1">
      <alignment horizontal="center" vertical="center" wrapText="1"/>
    </xf>
    <xf numFmtId="0" fontId="41" fillId="16" borderId="25" xfId="0" applyFont="1" applyFill="1" applyBorder="1" applyAlignment="1">
      <alignment horizontal="center" vertical="center" wrapText="1"/>
    </xf>
    <xf numFmtId="0" fontId="41" fillId="16" borderId="20" xfId="0" applyFont="1" applyFill="1" applyBorder="1" applyAlignment="1">
      <alignment horizontal="center" vertical="center" wrapText="1"/>
    </xf>
    <xf numFmtId="0" fontId="41" fillId="2" borderId="6" xfId="0" applyFont="1" applyFill="1" applyBorder="1" applyAlignment="1">
      <alignment horizontal="left" vertical="top" wrapText="1"/>
    </xf>
    <xf numFmtId="0" fontId="41" fillId="2" borderId="7" xfId="0" applyFont="1" applyFill="1" applyBorder="1" applyAlignment="1">
      <alignment horizontal="left" vertical="top" wrapText="1"/>
    </xf>
    <xf numFmtId="0" fontId="46" fillId="3" borderId="1" xfId="0" applyFont="1" applyFill="1" applyBorder="1" applyAlignment="1">
      <alignment horizontal="right"/>
    </xf>
    <xf numFmtId="0" fontId="44" fillId="0" borderId="25" xfId="0" applyFont="1" applyBorder="1" applyAlignment="1">
      <alignment horizontal="right" vertical="center" wrapText="1"/>
    </xf>
    <xf numFmtId="0" fontId="44" fillId="0" borderId="22" xfId="0" applyFont="1" applyBorder="1" applyAlignment="1">
      <alignment horizontal="right" vertical="center" wrapText="1"/>
    </xf>
    <xf numFmtId="0" fontId="44" fillId="0" borderId="20" xfId="0" applyFont="1" applyBorder="1" applyAlignment="1">
      <alignment horizontal="right" vertical="center" wrapText="1"/>
    </xf>
    <xf numFmtId="0" fontId="41" fillId="2" borderId="1" xfId="0" applyFont="1" applyFill="1" applyBorder="1" applyAlignment="1">
      <alignment horizontal="left" vertical="top" wrapText="1"/>
    </xf>
    <xf numFmtId="0" fontId="44" fillId="0" borderId="1" xfId="0" applyFont="1" applyFill="1" applyBorder="1" applyAlignment="1">
      <alignment horizontal="left" wrapText="1"/>
    </xf>
    <xf numFmtId="0" fontId="44" fillId="0" borderId="1" xfId="0" applyFont="1" applyFill="1" applyBorder="1" applyAlignment="1">
      <alignment horizontal="left" vertical="top" wrapText="1"/>
    </xf>
    <xf numFmtId="0" fontId="42" fillId="0" borderId="1" xfId="0" applyFont="1" applyBorder="1" applyAlignment="1">
      <alignment horizontal="left" vertical="top" wrapText="1"/>
    </xf>
    <xf numFmtId="0" fontId="42" fillId="0" borderId="1" xfId="0" applyFont="1" applyBorder="1" applyAlignment="1">
      <alignment horizontal="center"/>
    </xf>
    <xf numFmtId="0" fontId="42" fillId="0" borderId="1" xfId="0" applyFont="1" applyBorder="1" applyAlignment="1">
      <alignment horizontal="left" vertical="center" wrapText="1"/>
    </xf>
    <xf numFmtId="0" fontId="51" fillId="0" borderId="1" xfId="0" applyFont="1" applyBorder="1" applyAlignment="1">
      <alignment vertical="top" wrapText="1"/>
    </xf>
    <xf numFmtId="0" fontId="41" fillId="2" borderId="1" xfId="0" applyFont="1" applyFill="1" applyBorder="1" applyAlignment="1">
      <alignment horizontal="center" vertical="top" wrapText="1"/>
    </xf>
    <xf numFmtId="0" fontId="44" fillId="36" borderId="1" xfId="0" applyFont="1" applyFill="1" applyBorder="1" applyAlignment="1">
      <alignment vertical="center" wrapText="1"/>
    </xf>
    <xf numFmtId="0" fontId="48" fillId="2" borderId="1" xfId="0" applyFont="1" applyFill="1" applyBorder="1" applyAlignment="1">
      <alignment horizontal="center" vertical="center"/>
    </xf>
    <xf numFmtId="0" fontId="42" fillId="0" borderId="1" xfId="0" applyFont="1" applyBorder="1" applyAlignment="1">
      <alignment horizontal="left" wrapText="1"/>
    </xf>
    <xf numFmtId="0" fontId="44" fillId="36" borderId="1" xfId="0" applyFont="1" applyFill="1" applyBorder="1" applyAlignment="1">
      <alignment horizontal="left" vertical="center" wrapText="1"/>
    </xf>
    <xf numFmtId="0" fontId="44" fillId="36" borderId="25" xfId="0" applyFont="1" applyFill="1" applyBorder="1" applyAlignment="1">
      <alignment horizontal="center" vertical="center" wrapText="1"/>
    </xf>
    <xf numFmtId="0" fontId="44" fillId="36" borderId="22" xfId="0" applyFont="1" applyFill="1" applyBorder="1" applyAlignment="1">
      <alignment horizontal="center" vertical="center" wrapText="1"/>
    </xf>
    <xf numFmtId="0" fontId="44" fillId="36" borderId="20" xfId="0" applyFont="1" applyFill="1" applyBorder="1" applyAlignment="1">
      <alignment horizontal="center" vertical="center" wrapText="1"/>
    </xf>
    <xf numFmtId="0" fontId="48" fillId="2" borderId="6" xfId="0" applyFont="1" applyFill="1" applyBorder="1" applyAlignment="1">
      <alignment horizontal="center" vertical="center"/>
    </xf>
    <xf numFmtId="0" fontId="48" fillId="2" borderId="7" xfId="0" applyFont="1" applyFill="1" applyBorder="1" applyAlignment="1">
      <alignment horizontal="center" vertical="center"/>
    </xf>
    <xf numFmtId="0" fontId="42" fillId="0" borderId="1" xfId="0" applyFont="1" applyBorder="1" applyAlignment="1">
      <alignment vertical="top" wrapText="1"/>
    </xf>
    <xf numFmtId="0" fontId="42" fillId="0" borderId="1" xfId="0" applyFont="1" applyBorder="1" applyAlignment="1">
      <alignment wrapText="1"/>
    </xf>
    <xf numFmtId="0" fontId="41" fillId="2" borderId="1" xfId="0" applyFont="1" applyFill="1" applyBorder="1" applyAlignment="1">
      <alignment vertical="top" wrapText="1"/>
    </xf>
    <xf numFmtId="0" fontId="48" fillId="2" borderId="1" xfId="0" applyFont="1" applyFill="1" applyBorder="1" applyAlignment="1">
      <alignment horizontal="center" vertical="center" wrapText="1"/>
    </xf>
    <xf numFmtId="0" fontId="44" fillId="3" borderId="1" xfId="0" applyFont="1" applyFill="1" applyBorder="1" applyAlignment="1">
      <alignment horizontal="left"/>
    </xf>
    <xf numFmtId="0" fontId="41" fillId="21" borderId="1" xfId="0" applyFont="1" applyFill="1" applyBorder="1" applyAlignment="1">
      <alignment horizontal="center"/>
    </xf>
    <xf numFmtId="0" fontId="44" fillId="0" borderId="6" xfId="0" applyFont="1" applyBorder="1" applyAlignment="1">
      <alignment horizontal="left" vertical="center" wrapText="1"/>
    </xf>
    <xf numFmtId="0" fontId="44" fillId="0" borderId="61" xfId="0" applyFont="1" applyBorder="1" applyAlignment="1">
      <alignment horizontal="left" vertical="center" wrapText="1"/>
    </xf>
    <xf numFmtId="0" fontId="44" fillId="0" borderId="1" xfId="0" applyFont="1" applyBorder="1" applyAlignment="1">
      <alignment horizontal="left" vertical="center" wrapText="1"/>
    </xf>
    <xf numFmtId="0" fontId="44" fillId="0" borderId="25" xfId="0" applyFont="1" applyBorder="1" applyAlignment="1">
      <alignment horizontal="left" vertical="center" wrapText="1"/>
    </xf>
    <xf numFmtId="0" fontId="44" fillId="0" borderId="22" xfId="0" applyFont="1" applyBorder="1" applyAlignment="1">
      <alignment horizontal="left" vertical="center" wrapText="1"/>
    </xf>
    <xf numFmtId="0" fontId="44" fillId="0" borderId="20" xfId="0" applyFont="1" applyBorder="1" applyAlignment="1">
      <alignment horizontal="left" vertical="center" wrapText="1"/>
    </xf>
    <xf numFmtId="0" fontId="41" fillId="21" borderId="82" xfId="0" applyFont="1" applyFill="1" applyBorder="1" applyAlignment="1">
      <alignment horizontal="center" vertical="center"/>
    </xf>
    <xf numFmtId="0" fontId="41" fillId="21" borderId="23" xfId="0" applyFont="1" applyFill="1" applyBorder="1" applyAlignment="1">
      <alignment horizontal="center" vertical="center"/>
    </xf>
    <xf numFmtId="0" fontId="41" fillId="21" borderId="52" xfId="0" applyFont="1" applyFill="1" applyBorder="1" applyAlignment="1">
      <alignment horizontal="center" vertical="center"/>
    </xf>
    <xf numFmtId="0" fontId="41" fillId="21" borderId="18" xfId="0" applyFont="1" applyFill="1" applyBorder="1" applyAlignment="1">
      <alignment horizontal="center" vertical="center"/>
    </xf>
    <xf numFmtId="0" fontId="41" fillId="21" borderId="6" xfId="0" applyFont="1" applyFill="1" applyBorder="1" applyAlignment="1">
      <alignment horizontal="center" vertical="center"/>
    </xf>
    <xf numFmtId="0" fontId="41" fillId="21" borderId="7" xfId="0" applyFont="1" applyFill="1" applyBorder="1" applyAlignment="1">
      <alignment horizontal="center" vertical="center"/>
    </xf>
    <xf numFmtId="43" fontId="44" fillId="0" borderId="25" xfId="20" applyFont="1" applyFill="1" applyBorder="1" applyAlignment="1" applyProtection="1">
      <alignment horizontal="center" vertical="center" wrapText="1"/>
      <protection/>
    </xf>
    <xf numFmtId="43" fontId="44" fillId="0" borderId="22" xfId="20" applyFont="1" applyFill="1" applyBorder="1" applyAlignment="1" applyProtection="1">
      <alignment horizontal="center" vertical="center" wrapText="1"/>
      <protection/>
    </xf>
    <xf numFmtId="43" fontId="44" fillId="0" borderId="20" xfId="20" applyFont="1" applyFill="1" applyBorder="1" applyAlignment="1" applyProtection="1">
      <alignment horizontal="center" vertical="center" wrapText="1"/>
      <protection/>
    </xf>
    <xf numFmtId="0" fontId="44" fillId="0" borderId="6" xfId="0" applyFont="1" applyBorder="1" applyAlignment="1">
      <alignment horizontal="left" vertical="top" wrapText="1"/>
    </xf>
    <xf numFmtId="0" fontId="44" fillId="0" borderId="7" xfId="0" applyFont="1" applyBorder="1" applyAlignment="1">
      <alignment horizontal="left" vertical="top" wrapText="1"/>
    </xf>
    <xf numFmtId="0" fontId="42" fillId="0" borderId="1" xfId="0" applyFont="1" applyBorder="1" applyAlignment="1">
      <alignment horizontal="center" wrapText="1"/>
    </xf>
    <xf numFmtId="0" fontId="44" fillId="0" borderId="25" xfId="0" applyFont="1" applyBorder="1" applyAlignment="1">
      <alignment horizontal="left" vertical="top" wrapText="1"/>
    </xf>
    <xf numFmtId="0" fontId="44" fillId="0" borderId="22" xfId="0" applyFont="1" applyBorder="1" applyAlignment="1">
      <alignment horizontal="left" vertical="top" wrapText="1"/>
    </xf>
    <xf numFmtId="0" fontId="44" fillId="0" borderId="20" xfId="0" applyFont="1" applyBorder="1" applyAlignment="1">
      <alignment horizontal="left" vertical="top" wrapText="1"/>
    </xf>
    <xf numFmtId="0" fontId="44" fillId="0" borderId="1" xfId="0" applyFont="1" applyBorder="1" applyAlignment="1">
      <alignment vertical="top" wrapText="1"/>
    </xf>
    <xf numFmtId="0" fontId="44" fillId="3" borderId="25" xfId="0" applyFont="1" applyFill="1" applyBorder="1" applyAlignment="1">
      <alignment horizontal="center" vertical="center" wrapText="1"/>
    </xf>
    <xf numFmtId="0" fontId="44" fillId="3" borderId="22" xfId="0" applyFont="1" applyFill="1" applyBorder="1" applyAlignment="1">
      <alignment horizontal="center" vertical="center" wrapText="1"/>
    </xf>
    <xf numFmtId="0" fontId="44" fillId="3" borderId="20" xfId="0" applyFont="1" applyFill="1" applyBorder="1" applyAlignment="1">
      <alignment horizontal="center" vertical="center" wrapText="1"/>
    </xf>
    <xf numFmtId="0" fontId="41" fillId="2" borderId="6" xfId="0" applyFont="1" applyFill="1" applyBorder="1" applyAlignment="1">
      <alignment horizontal="center" wrapText="1"/>
    </xf>
    <xf numFmtId="0" fontId="41" fillId="2" borderId="61" xfId="0" applyFont="1" applyFill="1" applyBorder="1" applyAlignment="1">
      <alignment horizontal="center" wrapText="1"/>
    </xf>
    <xf numFmtId="0" fontId="41" fillId="2" borderId="7" xfId="0" applyFont="1" applyFill="1" applyBorder="1" applyAlignment="1">
      <alignment horizontal="center" wrapText="1"/>
    </xf>
    <xf numFmtId="0" fontId="44" fillId="36"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6" xfId="0" applyFont="1" applyFill="1" applyBorder="1" applyAlignment="1">
      <alignment horizontal="left" vertical="top" wrapText="1"/>
    </xf>
    <xf numFmtId="0" fontId="44" fillId="0" borderId="61" xfId="0" applyFont="1" applyFill="1" applyBorder="1" applyAlignment="1">
      <alignment horizontal="left" vertical="top" wrapText="1"/>
    </xf>
    <xf numFmtId="0" fontId="44" fillId="0" borderId="7" xfId="0" applyFont="1" applyFill="1" applyBorder="1" applyAlignment="1">
      <alignment horizontal="left" vertical="top" wrapText="1"/>
    </xf>
    <xf numFmtId="0" fontId="41" fillId="2" borderId="6" xfId="0" applyFont="1" applyFill="1" applyBorder="1" applyAlignment="1">
      <alignment horizontal="left" vertical="top" wrapText="1"/>
    </xf>
    <xf numFmtId="0" fontId="41" fillId="2" borderId="61" xfId="0" applyFont="1" applyFill="1" applyBorder="1" applyAlignment="1">
      <alignment horizontal="left" vertical="top" wrapText="1"/>
    </xf>
    <xf numFmtId="0" fontId="41" fillId="21" borderId="6" xfId="0" applyFont="1" applyFill="1" applyBorder="1" applyAlignment="1">
      <alignment horizontal="center"/>
    </xf>
    <xf numFmtId="0" fontId="41" fillId="21" borderId="7" xfId="0" applyFont="1" applyFill="1" applyBorder="1" applyAlignment="1">
      <alignment horizontal="center"/>
    </xf>
    <xf numFmtId="0" fontId="44" fillId="3" borderId="6" xfId="0" applyFont="1" applyFill="1" applyBorder="1" applyAlignment="1">
      <alignment/>
    </xf>
    <xf numFmtId="0" fontId="44" fillId="3" borderId="7" xfId="0" applyFont="1" applyFill="1" applyBorder="1" applyAlignment="1">
      <alignment/>
    </xf>
    <xf numFmtId="0" fontId="44" fillId="0" borderId="25" xfId="0" applyFont="1" applyBorder="1" applyAlignment="1">
      <alignment horizontal="center" vertical="top" wrapText="1"/>
    </xf>
    <xf numFmtId="0" fontId="44" fillId="0" borderId="20" xfId="0" applyFont="1" applyBorder="1" applyAlignment="1">
      <alignment horizontal="center" vertical="top" wrapText="1"/>
    </xf>
    <xf numFmtId="0" fontId="42" fillId="0" borderId="1" xfId="0" applyFont="1" applyBorder="1" applyAlignment="1">
      <alignment horizontal="center" vertical="top" wrapText="1"/>
    </xf>
    <xf numFmtId="0" fontId="48" fillId="2" borderId="1" xfId="0" applyFont="1" applyFill="1" applyBorder="1" applyAlignment="1">
      <alignment horizontal="left" wrapText="1"/>
    </xf>
    <xf numFmtId="0" fontId="42" fillId="0" borderId="1" xfId="0" applyFont="1" applyFill="1" applyBorder="1" applyAlignment="1">
      <alignment horizontal="left" vertical="top" wrapText="1"/>
    </xf>
    <xf numFmtId="0" fontId="42" fillId="0" borderId="82" xfId="0" applyFont="1" applyBorder="1" applyAlignment="1">
      <alignment horizontal="left" wrapText="1"/>
    </xf>
    <xf numFmtId="0" fontId="42" fillId="0" borderId="24" xfId="0" applyFont="1" applyBorder="1" applyAlignment="1">
      <alignment horizontal="left" wrapText="1"/>
    </xf>
    <xf numFmtId="0" fontId="42" fillId="0" borderId="23" xfId="0" applyFont="1" applyBorder="1" applyAlignment="1">
      <alignment horizontal="left" wrapText="1"/>
    </xf>
    <xf numFmtId="0" fontId="44" fillId="0" borderId="52" xfId="0" applyFont="1" applyFill="1" applyBorder="1" applyAlignment="1">
      <alignment horizontal="left" vertical="top"/>
    </xf>
    <xf numFmtId="0" fontId="44" fillId="0" borderId="19" xfId="0" applyFont="1" applyFill="1" applyBorder="1" applyAlignment="1">
      <alignment horizontal="left" vertical="top"/>
    </xf>
    <xf numFmtId="0" fontId="44" fillId="0" borderId="18" xfId="0" applyFont="1" applyFill="1" applyBorder="1" applyAlignment="1">
      <alignment horizontal="left" vertical="top"/>
    </xf>
    <xf numFmtId="0" fontId="48" fillId="2" borderId="25" xfId="0" applyFont="1" applyFill="1" applyBorder="1" applyAlignment="1">
      <alignment horizontal="left" wrapText="1"/>
    </xf>
    <xf numFmtId="0" fontId="44" fillId="0" borderId="1" xfId="0" applyFont="1" applyBorder="1" applyAlignment="1">
      <alignment horizontal="left" vertical="top" wrapText="1"/>
    </xf>
    <xf numFmtId="0" fontId="44" fillId="3" borderId="25" xfId="0" applyFont="1" applyFill="1" applyBorder="1" applyAlignment="1">
      <alignment horizontal="center" vertical="center"/>
    </xf>
    <xf numFmtId="0" fontId="44" fillId="3" borderId="22" xfId="0" applyFont="1" applyFill="1" applyBorder="1" applyAlignment="1">
      <alignment horizontal="center" vertical="center"/>
    </xf>
    <xf numFmtId="0" fontId="44" fillId="3" borderId="20" xfId="0" applyFont="1" applyFill="1" applyBorder="1" applyAlignment="1">
      <alignment horizontal="center" vertical="center"/>
    </xf>
    <xf numFmtId="4" fontId="44" fillId="0" borderId="1" xfId="0" applyNumberFormat="1" applyFont="1" applyFill="1" applyBorder="1" applyAlignment="1">
      <alignment vertical="top" wrapText="1"/>
    </xf>
    <xf numFmtId="0" fontId="41" fillId="2" borderId="25" xfId="0" applyFont="1" applyFill="1" applyBorder="1" applyAlignment="1">
      <alignment horizontal="left" vertical="top" wrapText="1"/>
    </xf>
    <xf numFmtId="0" fontId="41" fillId="2" borderId="20" xfId="0" applyFont="1" applyFill="1" applyBorder="1" applyAlignment="1">
      <alignment horizontal="left" vertical="top" wrapText="1"/>
    </xf>
    <xf numFmtId="0" fontId="44" fillId="0" borderId="67" xfId="0" applyFont="1" applyFill="1" applyBorder="1" applyAlignment="1">
      <alignment horizontal="left" vertical="top" wrapText="1"/>
    </xf>
    <xf numFmtId="0" fontId="44" fillId="0" borderId="31" xfId="0" applyFont="1" applyFill="1" applyBorder="1" applyAlignment="1">
      <alignment horizontal="left" vertical="top" wrapText="1"/>
    </xf>
    <xf numFmtId="0" fontId="41" fillId="4" borderId="83" xfId="0" applyFont="1" applyFill="1" applyBorder="1" applyAlignment="1">
      <alignment horizontal="right"/>
    </xf>
    <xf numFmtId="0" fontId="41" fillId="4" borderId="47" xfId="0" applyFont="1" applyFill="1" applyBorder="1" applyAlignment="1">
      <alignment horizontal="right"/>
    </xf>
    <xf numFmtId="4" fontId="44" fillId="4" borderId="75" xfId="0" applyNumberFormat="1" applyFont="1" applyFill="1" applyBorder="1" applyAlignment="1">
      <alignment horizontal="center"/>
    </xf>
    <xf numFmtId="4" fontId="44" fillId="4" borderId="30" xfId="0" applyNumberFormat="1" applyFont="1" applyFill="1" applyBorder="1" applyAlignment="1">
      <alignment horizontal="center"/>
    </xf>
    <xf numFmtId="4" fontId="44" fillId="4" borderId="84" xfId="0" applyNumberFormat="1" applyFont="1" applyFill="1" applyBorder="1" applyAlignment="1">
      <alignment horizontal="center" wrapText="1"/>
    </xf>
    <xf numFmtId="4" fontId="44" fillId="4" borderId="2" xfId="0" applyNumberFormat="1" applyFont="1" applyFill="1" applyBorder="1" applyAlignment="1">
      <alignment horizontal="center" wrapText="1"/>
    </xf>
    <xf numFmtId="0" fontId="41" fillId="4" borderId="67" xfId="0" applyFont="1" applyFill="1" applyBorder="1" applyAlignment="1">
      <alignment horizontal="center" wrapText="1"/>
    </xf>
    <xf numFmtId="0" fontId="41" fillId="4" borderId="31" xfId="0" applyFont="1" applyFill="1" applyBorder="1" applyAlignment="1">
      <alignment horizontal="center" wrapText="1"/>
    </xf>
    <xf numFmtId="0" fontId="41" fillId="0" borderId="85" xfId="0" applyFont="1" applyBorder="1" applyAlignment="1">
      <alignment horizontal="center" wrapText="1"/>
    </xf>
    <xf numFmtId="0" fontId="41" fillId="0" borderId="84" xfId="0" applyFont="1" applyBorder="1" applyAlignment="1">
      <alignment horizontal="center" wrapText="1"/>
    </xf>
    <xf numFmtId="0" fontId="51" fillId="0" borderId="67" xfId="0" applyFont="1" applyFill="1" applyBorder="1" applyAlignment="1">
      <alignment horizontal="left" vertical="top" wrapText="1"/>
    </xf>
    <xf numFmtId="0" fontId="51" fillId="0" borderId="31" xfId="0" applyFont="1" applyFill="1" applyBorder="1" applyAlignment="1">
      <alignment horizontal="left" vertical="top" wrapText="1"/>
    </xf>
    <xf numFmtId="4" fontId="44" fillId="2" borderId="75" xfId="0" applyNumberFormat="1" applyFont="1" applyFill="1" applyBorder="1" applyAlignment="1">
      <alignment horizontal="center" wrapText="1"/>
    </xf>
    <xf numFmtId="4" fontId="44" fillId="2" borderId="30" xfId="0" applyNumberFormat="1" applyFont="1" applyFill="1" applyBorder="1" applyAlignment="1">
      <alignment horizontal="center" wrapText="1"/>
    </xf>
    <xf numFmtId="0" fontId="50" fillId="0" borderId="71" xfId="0" applyFont="1" applyBorder="1" applyAlignment="1">
      <alignment wrapText="1"/>
    </xf>
    <xf numFmtId="0" fontId="50" fillId="0" borderId="0" xfId="0" applyFont="1" applyBorder="1" applyAlignment="1">
      <alignment wrapText="1"/>
    </xf>
    <xf numFmtId="0" fontId="50" fillId="0" borderId="17" xfId="0" applyFont="1" applyBorder="1" applyAlignment="1">
      <alignment wrapText="1"/>
    </xf>
    <xf numFmtId="0" fontId="50" fillId="0" borderId="69" xfId="0" applyFont="1" applyBorder="1" applyAlignment="1">
      <alignment wrapText="1"/>
    </xf>
    <xf numFmtId="0" fontId="50" fillId="0" borderId="47" xfId="0" applyFont="1" applyBorder="1" applyAlignment="1">
      <alignment wrapText="1"/>
    </xf>
    <xf numFmtId="0" fontId="50" fillId="0" borderId="2" xfId="0" applyFont="1" applyBorder="1" applyAlignment="1">
      <alignment wrapText="1"/>
    </xf>
    <xf numFmtId="0" fontId="44" fillId="0" borderId="75"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75" xfId="0" applyFont="1" applyBorder="1" applyAlignment="1">
      <alignment horizontal="center" wrapText="1"/>
    </xf>
    <xf numFmtId="0" fontId="44" fillId="0" borderId="30" xfId="0" applyFont="1" applyBorder="1" applyAlignment="1">
      <alignment horizontal="center" wrapText="1"/>
    </xf>
    <xf numFmtId="0" fontId="44" fillId="0" borderId="86" xfId="0" applyFont="1" applyBorder="1" applyAlignment="1">
      <alignment horizontal="center" vertical="center" wrapText="1"/>
    </xf>
    <xf numFmtId="0" fontId="44" fillId="0" borderId="80" xfId="0" applyFont="1" applyBorder="1" applyAlignment="1">
      <alignment horizontal="center" vertical="center" wrapText="1"/>
    </xf>
    <xf numFmtId="0" fontId="50" fillId="0" borderId="67" xfId="0" applyFont="1" applyBorder="1" applyAlignment="1">
      <alignment horizontal="left" wrapText="1"/>
    </xf>
    <xf numFmtId="0" fontId="50" fillId="0" borderId="87" xfId="0" applyFont="1" applyBorder="1" applyAlignment="1">
      <alignment horizontal="left" wrapText="1"/>
    </xf>
    <xf numFmtId="0" fontId="50" fillId="0" borderId="31" xfId="0" applyFont="1" applyBorder="1" applyAlignment="1">
      <alignment horizontal="left" wrapText="1"/>
    </xf>
    <xf numFmtId="0" fontId="44" fillId="0" borderId="88" xfId="0" applyFont="1" applyBorder="1" applyAlignment="1">
      <alignment horizontal="center" vertical="center" wrapText="1"/>
    </xf>
    <xf numFmtId="0" fontId="50" fillId="0" borderId="85" xfId="0" applyFont="1" applyBorder="1" applyAlignment="1">
      <alignment wrapText="1"/>
    </xf>
    <xf numFmtId="0" fontId="50" fillId="0" borderId="83" xfId="0" applyFont="1" applyBorder="1" applyAlignment="1">
      <alignment wrapText="1"/>
    </xf>
    <xf numFmtId="0" fontId="50" fillId="0" borderId="84" xfId="0" applyFont="1" applyBorder="1" applyAlignment="1">
      <alignment wrapText="1"/>
    </xf>
    <xf numFmtId="0" fontId="41" fillId="4" borderId="67" xfId="0" applyFont="1" applyFill="1" applyBorder="1" applyAlignment="1">
      <alignment horizontal="center"/>
    </xf>
    <xf numFmtId="0" fontId="41" fillId="4" borderId="89" xfId="0" applyFont="1" applyFill="1" applyBorder="1" applyAlignment="1">
      <alignment horizontal="center"/>
    </xf>
    <xf numFmtId="0" fontId="41" fillId="4" borderId="85" xfId="0" applyFont="1" applyFill="1" applyBorder="1" applyAlignment="1">
      <alignment horizontal="center"/>
    </xf>
    <xf numFmtId="0" fontId="41" fillId="4" borderId="90" xfId="0" applyFont="1" applyFill="1" applyBorder="1" applyAlignment="1">
      <alignment horizontal="center"/>
    </xf>
    <xf numFmtId="0" fontId="41" fillId="0" borderId="67" xfId="0" applyFont="1" applyBorder="1" applyAlignment="1">
      <alignment horizontal="right" wrapText="1"/>
    </xf>
    <xf numFmtId="0" fontId="41" fillId="0" borderId="31" xfId="0" applyFont="1" applyBorder="1" applyAlignment="1">
      <alignment horizontal="right" wrapText="1"/>
    </xf>
    <xf numFmtId="0" fontId="41" fillId="0" borderId="67" xfId="0" applyFont="1" applyBorder="1" applyAlignment="1">
      <alignment wrapText="1"/>
    </xf>
    <xf numFmtId="0" fontId="41" fillId="0" borderId="87" xfId="0" applyFont="1" applyBorder="1" applyAlignment="1">
      <alignment wrapText="1"/>
    </xf>
    <xf numFmtId="0" fontId="41" fillId="0" borderId="31" xfId="0" applyFont="1" applyBorder="1" applyAlignment="1">
      <alignment wrapText="1"/>
    </xf>
    <xf numFmtId="0" fontId="41" fillId="4" borderId="91" xfId="0" applyFont="1" applyFill="1" applyBorder="1" applyAlignment="1">
      <alignment horizontal="right" wrapText="1" indent="1"/>
    </xf>
    <xf numFmtId="0" fontId="41" fillId="4" borderId="92" xfId="0" applyFont="1" applyFill="1" applyBorder="1" applyAlignment="1">
      <alignment horizontal="right" wrapText="1" indent="1"/>
    </xf>
    <xf numFmtId="0" fontId="41" fillId="4" borderId="91" xfId="0" applyFont="1" applyFill="1" applyBorder="1" applyAlignment="1">
      <alignment horizontal="center" wrapText="1"/>
    </xf>
    <xf numFmtId="0" fontId="41" fillId="4" borderId="93" xfId="0" applyFont="1" applyFill="1" applyBorder="1" applyAlignment="1">
      <alignment horizontal="center" wrapText="1"/>
    </xf>
    <xf numFmtId="0" fontId="41" fillId="4" borderId="94" xfId="0" applyFont="1" applyFill="1" applyBorder="1" applyAlignment="1">
      <alignment horizontal="center" wrapText="1"/>
    </xf>
    <xf numFmtId="0" fontId="41" fillId="4" borderId="95" xfId="0" applyFont="1" applyFill="1" applyBorder="1" applyAlignment="1">
      <alignment horizontal="center" wrapText="1"/>
    </xf>
    <xf numFmtId="0" fontId="93" fillId="2" borderId="75" xfId="0" applyFont="1" applyFill="1" applyBorder="1" applyAlignment="1">
      <alignment horizontal="center" vertical="center" wrapText="1"/>
    </xf>
    <xf numFmtId="0" fontId="93" fillId="2" borderId="80" xfId="0" applyFont="1" applyFill="1" applyBorder="1" applyAlignment="1">
      <alignment horizontal="center" vertical="center" wrapText="1"/>
    </xf>
    <xf numFmtId="0" fontId="93" fillId="2" borderId="30" xfId="0" applyFont="1" applyFill="1" applyBorder="1" applyAlignment="1">
      <alignment horizontal="center" vertical="center" wrapText="1"/>
    </xf>
    <xf numFmtId="0" fontId="41" fillId="4" borderId="67" xfId="0" applyFont="1" applyFill="1" applyBorder="1" applyAlignment="1">
      <alignment horizontal="right" wrapText="1"/>
    </xf>
    <xf numFmtId="0" fontId="41" fillId="4" borderId="31" xfId="0" applyFont="1" applyFill="1" applyBorder="1" applyAlignment="1">
      <alignment horizontal="right" wrapText="1"/>
    </xf>
    <xf numFmtId="0" fontId="44" fillId="0" borderId="85" xfId="0" applyFont="1" applyBorder="1" applyAlignment="1">
      <alignment horizontal="center" vertical="center" wrapText="1"/>
    </xf>
    <xf numFmtId="0" fontId="44" fillId="0" borderId="84"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17" xfId="0" applyFont="1" applyBorder="1" applyAlignment="1">
      <alignment horizontal="center" vertical="center" wrapText="1"/>
    </xf>
    <xf numFmtId="0" fontId="44" fillId="17" borderId="88" xfId="0" applyFont="1" applyFill="1" applyBorder="1" applyAlignment="1">
      <alignment horizontal="center" vertical="center" wrapText="1"/>
    </xf>
    <xf numFmtId="0" fontId="44" fillId="17" borderId="80" xfId="0" applyFont="1" applyFill="1" applyBorder="1" applyAlignment="1">
      <alignment horizontal="center" vertical="center" wrapText="1"/>
    </xf>
    <xf numFmtId="0" fontId="44" fillId="17" borderId="30" xfId="0" applyFont="1" applyFill="1" applyBorder="1" applyAlignment="1">
      <alignment horizontal="center" vertical="center" wrapText="1"/>
    </xf>
    <xf numFmtId="4" fontId="44" fillId="17" borderId="88" xfId="0" applyNumberFormat="1" applyFont="1" applyFill="1" applyBorder="1" applyAlignment="1">
      <alignment horizontal="center" wrapText="1"/>
    </xf>
    <xf numFmtId="4" fontId="44" fillId="17" borderId="80" xfId="0" applyNumberFormat="1" applyFont="1" applyFill="1" applyBorder="1" applyAlignment="1">
      <alignment horizontal="center" wrapText="1"/>
    </xf>
    <xf numFmtId="4" fontId="44" fillId="17" borderId="96" xfId="0" applyNumberFormat="1" applyFont="1" applyFill="1" applyBorder="1" applyAlignment="1">
      <alignment horizontal="center" wrapText="1"/>
    </xf>
    <xf numFmtId="0" fontId="44" fillId="0" borderId="67"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67" xfId="0" applyFont="1" applyBorder="1" applyAlignment="1">
      <alignment horizontal="center" vertical="top" wrapText="1"/>
    </xf>
    <xf numFmtId="0" fontId="44" fillId="0" borderId="31" xfId="0" applyFont="1" applyBorder="1" applyAlignment="1">
      <alignment horizontal="center" vertical="top" wrapText="1"/>
    </xf>
    <xf numFmtId="0" fontId="44" fillId="0" borderId="29"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2" xfId="0" applyFont="1" applyBorder="1" applyAlignment="1">
      <alignment horizontal="center" vertical="center" wrapText="1"/>
    </xf>
    <xf numFmtId="0" fontId="41" fillId="0" borderId="97" xfId="0" applyFont="1" applyBorder="1" applyAlignment="1">
      <alignment horizontal="center" wrapText="1"/>
    </xf>
    <xf numFmtId="0" fontId="41" fillId="0" borderId="98" xfId="0" applyFont="1" applyBorder="1" applyAlignment="1">
      <alignment horizontal="center" wrapText="1"/>
    </xf>
    <xf numFmtId="0" fontId="41" fillId="0" borderId="67" xfId="0" applyFont="1" applyFill="1" applyBorder="1" applyAlignment="1">
      <alignment wrapText="1"/>
    </xf>
    <xf numFmtId="0" fontId="41" fillId="0" borderId="87" xfId="0" applyFont="1" applyFill="1" applyBorder="1" applyAlignment="1">
      <alignment wrapText="1"/>
    </xf>
    <xf numFmtId="0" fontId="41" fillId="0" borderId="31" xfId="0" applyFont="1" applyFill="1" applyBorder="1" applyAlignment="1">
      <alignment wrapText="1"/>
    </xf>
    <xf numFmtId="0" fontId="41" fillId="4" borderId="67" xfId="0" applyFont="1" applyFill="1" applyBorder="1" applyAlignment="1">
      <alignment horizontal="right" wrapText="1" indent="1"/>
    </xf>
    <xf numFmtId="0" fontId="41" fillId="4" borderId="31" xfId="0" applyFont="1" applyFill="1" applyBorder="1" applyAlignment="1">
      <alignment horizontal="right" wrapText="1" indent="1"/>
    </xf>
    <xf numFmtId="0" fontId="41" fillId="4" borderId="87" xfId="0" applyFont="1" applyFill="1" applyBorder="1" applyAlignment="1">
      <alignment horizontal="center" wrapText="1"/>
    </xf>
    <xf numFmtId="0" fontId="41" fillId="4" borderId="89" xfId="0" applyFont="1" applyFill="1" applyBorder="1" applyAlignment="1">
      <alignment horizontal="center" wrapText="1"/>
    </xf>
    <xf numFmtId="0" fontId="44" fillId="17" borderId="96" xfId="0" applyFont="1" applyFill="1" applyBorder="1" applyAlignment="1">
      <alignment horizontal="center" vertical="center" wrapText="1"/>
    </xf>
    <xf numFmtId="0" fontId="44" fillId="17" borderId="80" xfId="0" applyFont="1" applyFill="1" applyBorder="1" applyAlignment="1">
      <alignment horizontal="center" wrapText="1"/>
    </xf>
    <xf numFmtId="0" fontId="44" fillId="17" borderId="96" xfId="0" applyFont="1" applyFill="1" applyBorder="1" applyAlignment="1">
      <alignment horizontal="center" wrapText="1"/>
    </xf>
    <xf numFmtId="0" fontId="41" fillId="4" borderId="85" xfId="0" applyFont="1" applyFill="1" applyBorder="1" applyAlignment="1">
      <alignment horizontal="center" vertical="center"/>
    </xf>
    <xf numFmtId="0" fontId="41" fillId="4" borderId="83" xfId="0" applyFont="1" applyFill="1" applyBorder="1" applyAlignment="1">
      <alignment horizontal="center" vertical="center"/>
    </xf>
    <xf numFmtId="0" fontId="41" fillId="4" borderId="84" xfId="0" applyFont="1" applyFill="1" applyBorder="1" applyAlignment="1">
      <alignment horizontal="center" vertical="center"/>
    </xf>
    <xf numFmtId="0" fontId="41" fillId="4" borderId="71" xfId="0" applyFont="1" applyFill="1" applyBorder="1" applyAlignment="1">
      <alignment horizontal="center" vertical="center"/>
    </xf>
    <xf numFmtId="0" fontId="41" fillId="4" borderId="0" xfId="0" applyFont="1" applyFill="1" applyBorder="1" applyAlignment="1">
      <alignment horizontal="center" vertical="center"/>
    </xf>
    <xf numFmtId="0" fontId="41" fillId="4" borderId="17" xfId="0" applyFont="1" applyFill="1" applyBorder="1" applyAlignment="1">
      <alignment horizontal="center" vertical="center"/>
    </xf>
    <xf numFmtId="0" fontId="41" fillId="4" borderId="69" xfId="0" applyFont="1" applyFill="1" applyBorder="1" applyAlignment="1">
      <alignment horizontal="center" vertical="center"/>
    </xf>
    <xf numFmtId="0" fontId="41" fillId="4" borderId="47" xfId="0" applyFont="1" applyFill="1" applyBorder="1" applyAlignment="1">
      <alignment horizontal="center" vertical="center"/>
    </xf>
    <xf numFmtId="0" fontId="41" fillId="4" borderId="2" xfId="0" applyFont="1" applyFill="1" applyBorder="1" applyAlignment="1">
      <alignment horizontal="center" vertical="center"/>
    </xf>
    <xf numFmtId="0" fontId="44" fillId="4" borderId="86" xfId="0" applyFont="1" applyFill="1" applyBorder="1" applyAlignment="1">
      <alignment horizontal="left" indent="1"/>
    </xf>
    <xf numFmtId="0" fontId="44" fillId="4" borderId="80" xfId="0" applyFont="1" applyFill="1" applyBorder="1" applyAlignment="1">
      <alignment horizontal="left" indent="1"/>
    </xf>
    <xf numFmtId="0" fontId="44" fillId="4" borderId="30" xfId="0" applyFont="1" applyFill="1" applyBorder="1" applyAlignment="1">
      <alignment horizontal="left" indent="1"/>
    </xf>
    <xf numFmtId="0" fontId="44" fillId="4" borderId="67" xfId="0" applyFont="1" applyFill="1" applyBorder="1" applyAlignment="1">
      <alignment horizontal="left" wrapText="1" indent="1"/>
    </xf>
    <xf numFmtId="0" fontId="44" fillId="4" borderId="31" xfId="0" applyFont="1" applyFill="1" applyBorder="1" applyAlignment="1">
      <alignment horizontal="left" wrapText="1" indent="1"/>
    </xf>
    <xf numFmtId="0" fontId="44" fillId="4" borderId="89" xfId="0" applyFont="1" applyFill="1" applyBorder="1" applyAlignment="1">
      <alignment horizontal="left" wrapText="1" indent="1"/>
    </xf>
    <xf numFmtId="0" fontId="50" fillId="0" borderId="99" xfId="0" applyFont="1" applyBorder="1" applyAlignment="1">
      <alignment wrapText="1"/>
    </xf>
    <xf numFmtId="0" fontId="50" fillId="0" borderId="100" xfId="0" applyFont="1" applyFill="1" applyBorder="1" applyAlignment="1">
      <alignment wrapText="1"/>
    </xf>
    <xf numFmtId="0" fontId="50" fillId="0" borderId="101" xfId="0" applyFont="1" applyFill="1" applyBorder="1" applyAlignment="1">
      <alignment wrapText="1"/>
    </xf>
    <xf numFmtId="0" fontId="50" fillId="0" borderId="102" xfId="0" applyFont="1" applyFill="1" applyBorder="1" applyAlignment="1">
      <alignment wrapText="1"/>
    </xf>
    <xf numFmtId="0" fontId="44" fillId="0" borderId="88" xfId="0" applyFont="1" applyFill="1" applyBorder="1" applyAlignment="1">
      <alignment horizontal="center" vertical="center" wrapText="1"/>
    </xf>
    <xf numFmtId="0" fontId="44" fillId="0" borderId="80" xfId="0" applyFont="1" applyFill="1" applyBorder="1" applyAlignment="1">
      <alignment horizontal="center" vertical="center" wrapText="1"/>
    </xf>
    <xf numFmtId="0" fontId="44" fillId="0" borderId="96" xfId="0" applyFont="1" applyFill="1" applyBorder="1" applyAlignment="1">
      <alignment horizontal="center" vertical="center" wrapText="1"/>
    </xf>
    <xf numFmtId="0" fontId="44" fillId="0" borderId="88" xfId="0" applyFont="1" applyFill="1" applyBorder="1" applyAlignment="1">
      <alignment horizontal="center" wrapText="1"/>
    </xf>
    <xf numFmtId="0" fontId="44" fillId="0" borderId="80" xfId="0" applyFont="1" applyFill="1" applyBorder="1" applyAlignment="1">
      <alignment horizontal="center" wrapText="1"/>
    </xf>
    <xf numFmtId="0" fontId="44" fillId="0" borderId="96" xfId="0" applyFont="1" applyFill="1" applyBorder="1" applyAlignment="1">
      <alignment horizontal="center" wrapText="1"/>
    </xf>
    <xf numFmtId="4" fontId="44" fillId="0" borderId="88" xfId="0" applyNumberFormat="1" applyFont="1" applyFill="1" applyBorder="1" applyAlignment="1">
      <alignment horizontal="center" wrapText="1"/>
    </xf>
    <xf numFmtId="0" fontId="50" fillId="0" borderId="90" xfId="0" applyFont="1" applyBorder="1" applyAlignment="1">
      <alignment wrapText="1"/>
    </xf>
    <xf numFmtId="0" fontId="44" fillId="0" borderId="96" xfId="0" applyFont="1" applyBorder="1" applyAlignment="1">
      <alignment horizontal="center" vertical="center" wrapText="1"/>
    </xf>
    <xf numFmtId="4" fontId="44" fillId="0" borderId="86" xfId="0" applyNumberFormat="1" applyFont="1" applyFill="1" applyBorder="1" applyAlignment="1">
      <alignment horizontal="center"/>
    </xf>
    <xf numFmtId="0" fontId="44" fillId="0" borderId="80" xfId="0" applyFont="1" applyFill="1" applyBorder="1" applyAlignment="1">
      <alignment horizontal="center"/>
    </xf>
    <xf numFmtId="0" fontId="44" fillId="0" borderId="30" xfId="0" applyFont="1" applyFill="1" applyBorder="1" applyAlignment="1">
      <alignment horizontal="center"/>
    </xf>
    <xf numFmtId="4" fontId="44" fillId="0" borderId="88" xfId="0" applyNumberFormat="1" applyFont="1" applyBorder="1" applyAlignment="1">
      <alignment horizontal="center" wrapText="1"/>
    </xf>
    <xf numFmtId="0" fontId="44" fillId="0" borderId="80" xfId="0" applyFont="1" applyBorder="1" applyAlignment="1">
      <alignment horizontal="center" wrapText="1"/>
    </xf>
    <xf numFmtId="0" fontId="44" fillId="0" borderId="96" xfId="0" applyFont="1" applyBorder="1" applyAlignment="1">
      <alignment horizontal="center" wrapText="1"/>
    </xf>
    <xf numFmtId="0" fontId="41" fillId="4" borderId="103" xfId="0" applyFont="1" applyFill="1" applyBorder="1" applyAlignment="1">
      <alignment horizontal="center" vertical="center" wrapText="1"/>
    </xf>
    <xf numFmtId="0" fontId="41" fillId="4" borderId="104" xfId="0" applyFont="1" applyFill="1" applyBorder="1" applyAlignment="1">
      <alignment horizontal="center" vertical="center" wrapText="1"/>
    </xf>
    <xf numFmtId="0" fontId="41" fillId="4" borderId="105" xfId="0" applyFont="1" applyFill="1" applyBorder="1" applyAlignment="1">
      <alignment horizontal="center" vertical="center" wrapText="1"/>
    </xf>
    <xf numFmtId="0" fontId="41" fillId="4" borderId="71"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1" fillId="4" borderId="17" xfId="0" applyFont="1" applyFill="1" applyBorder="1" applyAlignment="1">
      <alignment horizontal="center" vertical="center" wrapText="1"/>
    </xf>
    <xf numFmtId="0" fontId="41" fillId="4" borderId="69" xfId="0" applyFont="1" applyFill="1" applyBorder="1" applyAlignment="1">
      <alignment horizontal="center" vertical="center" wrapText="1"/>
    </xf>
    <xf numFmtId="0" fontId="41" fillId="4" borderId="47" xfId="0" applyFont="1" applyFill="1" applyBorder="1" applyAlignment="1">
      <alignment horizontal="center" vertical="center" wrapText="1"/>
    </xf>
    <xf numFmtId="0" fontId="41" fillId="4" borderId="2" xfId="0" applyFont="1" applyFill="1" applyBorder="1" applyAlignment="1">
      <alignment horizontal="center" vertical="center" wrapText="1"/>
    </xf>
    <xf numFmtId="0" fontId="44" fillId="4" borderId="75" xfId="0" applyFont="1" applyFill="1" applyBorder="1" applyAlignment="1">
      <alignment horizontal="left" indent="1"/>
    </xf>
    <xf numFmtId="0" fontId="44" fillId="2" borderId="75" xfId="0" applyFont="1" applyFill="1" applyBorder="1" applyAlignment="1">
      <alignment horizontal="center" vertical="center" wrapText="1"/>
    </xf>
    <xf numFmtId="0" fontId="44" fillId="2" borderId="80" xfId="0" applyFont="1" applyFill="1" applyBorder="1" applyAlignment="1">
      <alignment horizontal="center" vertical="center" wrapText="1"/>
    </xf>
    <xf numFmtId="0" fontId="44" fillId="2" borderId="29" xfId="0" applyFont="1" applyFill="1" applyBorder="1" applyAlignment="1">
      <alignment horizontal="center" vertical="center" wrapText="1"/>
    </xf>
    <xf numFmtId="43" fontId="120" fillId="4" borderId="35" xfId="20" applyFont="1" applyFill="1" applyBorder="1" applyAlignment="1">
      <alignment horizontal="center" vertical="center" wrapText="1"/>
    </xf>
    <xf numFmtId="43" fontId="120" fillId="4" borderId="53" xfId="20" applyFont="1" applyFill="1" applyBorder="1" applyAlignment="1">
      <alignment horizontal="center" vertical="center" wrapText="1"/>
    </xf>
    <xf numFmtId="43" fontId="120" fillId="4" borderId="55" xfId="20" applyFont="1" applyFill="1" applyBorder="1" applyAlignment="1">
      <alignment horizontal="center" vertical="center" wrapText="1"/>
    </xf>
    <xf numFmtId="0" fontId="41" fillId="0" borderId="89" xfId="0" applyFont="1" applyBorder="1" applyAlignment="1">
      <alignment wrapText="1"/>
    </xf>
    <xf numFmtId="0" fontId="41" fillId="0" borderId="89" xfId="0" applyFont="1" applyFill="1" applyBorder="1" applyAlignment="1">
      <alignment wrapText="1"/>
    </xf>
    <xf numFmtId="43" fontId="41" fillId="4" borderId="75" xfId="20" applyFont="1" applyFill="1" applyBorder="1" applyAlignment="1">
      <alignment horizontal="center" vertical="center" wrapText="1"/>
    </xf>
    <xf numFmtId="43" fontId="41" fillId="4" borderId="80" xfId="20" applyFont="1" applyFill="1" applyBorder="1" applyAlignment="1">
      <alignment horizontal="center" vertical="center" wrapText="1"/>
    </xf>
    <xf numFmtId="43" fontId="41" fillId="4" borderId="29" xfId="20" applyFont="1" applyFill="1" applyBorder="1" applyAlignment="1">
      <alignment horizontal="center" vertical="center" wrapText="1"/>
    </xf>
    <xf numFmtId="0" fontId="42" fillId="0" borderId="30" xfId="0" applyFont="1" applyBorder="1" applyAlignment="1">
      <alignment horizontal="center" vertical="center" wrapText="1"/>
    </xf>
    <xf numFmtId="0" fontId="44" fillId="0" borderId="90" xfId="0" applyFont="1" applyBorder="1" applyAlignment="1">
      <alignment horizontal="center" vertical="center" wrapText="1"/>
    </xf>
    <xf numFmtId="0" fontId="44" fillId="0" borderId="99" xfId="0" applyFont="1" applyBorder="1" applyAlignment="1">
      <alignment horizontal="center" vertical="center" wrapText="1"/>
    </xf>
    <xf numFmtId="0" fontId="44" fillId="0" borderId="106" xfId="0" applyFont="1" applyBorder="1" applyAlignment="1">
      <alignment horizontal="center" vertical="center" wrapText="1"/>
    </xf>
    <xf numFmtId="0" fontId="44" fillId="0" borderId="107" xfId="0" applyFont="1" applyBorder="1" applyAlignment="1">
      <alignment horizontal="center" vertical="center" wrapText="1"/>
    </xf>
    <xf numFmtId="0" fontId="44" fillId="0" borderId="108" xfId="0" applyFont="1" applyBorder="1" applyAlignment="1">
      <alignment horizontal="center" vertical="top" wrapText="1"/>
    </xf>
    <xf numFmtId="0" fontId="44" fillId="0" borderId="89" xfId="0" applyFont="1" applyBorder="1" applyAlignment="1">
      <alignment horizontal="center" vertical="top" wrapText="1"/>
    </xf>
    <xf numFmtId="0" fontId="44" fillId="0" borderId="109" xfId="0" applyFont="1" applyBorder="1" applyAlignment="1">
      <alignment horizontal="center" vertical="center" wrapText="1"/>
    </xf>
    <xf numFmtId="0" fontId="42" fillId="0" borderId="83"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89" xfId="0" applyFont="1" applyBorder="1" applyAlignment="1">
      <alignment horizontal="center" vertical="center" wrapText="1"/>
    </xf>
    <xf numFmtId="0" fontId="41" fillId="0" borderId="110" xfId="0" applyFont="1" applyBorder="1" applyAlignment="1">
      <alignment horizontal="center" wrapText="1"/>
    </xf>
    <xf numFmtId="0" fontId="41" fillId="0" borderId="111" xfId="0" applyFont="1" applyBorder="1" applyAlignment="1">
      <alignment horizontal="center" wrapText="1"/>
    </xf>
    <xf numFmtId="0" fontId="44" fillId="4" borderId="88" xfId="0" applyFont="1" applyFill="1" applyBorder="1" applyAlignment="1">
      <alignment vertical="center" wrapText="1"/>
    </xf>
    <xf numFmtId="0" fontId="44" fillId="4" borderId="80" xfId="0" applyFont="1" applyFill="1" applyBorder="1" applyAlignment="1">
      <alignment vertical="center" wrapText="1"/>
    </xf>
    <xf numFmtId="0" fontId="44" fillId="4" borderId="96" xfId="0" applyFont="1" applyFill="1" applyBorder="1" applyAlignment="1">
      <alignment vertical="center" wrapText="1"/>
    </xf>
    <xf numFmtId="0" fontId="44" fillId="4" borderId="88" xfId="0" applyFont="1" applyFill="1" applyBorder="1" applyAlignment="1">
      <alignment horizontal="center" vertical="center" wrapText="1"/>
    </xf>
    <xf numFmtId="0" fontId="44" fillId="4" borderId="80" xfId="0" applyFont="1" applyFill="1" applyBorder="1" applyAlignment="1">
      <alignment horizontal="center" vertical="center" wrapText="1"/>
    </xf>
    <xf numFmtId="0" fontId="44" fillId="4" borderId="30" xfId="0" applyFont="1" applyFill="1" applyBorder="1" applyAlignment="1">
      <alignment horizontal="center" vertical="center" wrapText="1"/>
    </xf>
    <xf numFmtId="0" fontId="44" fillId="4" borderId="86" xfId="0" applyFont="1" applyFill="1" applyBorder="1" applyAlignment="1">
      <alignment vertical="center" wrapText="1"/>
    </xf>
    <xf numFmtId="0" fontId="44" fillId="4" borderId="75" xfId="0" applyFont="1" applyFill="1" applyBorder="1" applyAlignment="1">
      <alignment horizontal="center" vertical="center" wrapText="1"/>
    </xf>
    <xf numFmtId="0" fontId="41" fillId="4" borderId="69" xfId="0" applyFont="1" applyFill="1" applyBorder="1" applyAlignment="1">
      <alignment horizontal="center"/>
    </xf>
    <xf numFmtId="0" fontId="41" fillId="4" borderId="112" xfId="0" applyFont="1" applyFill="1" applyBorder="1" applyAlignment="1">
      <alignment horizontal="center"/>
    </xf>
    <xf numFmtId="2" fontId="42" fillId="0" borderId="75" xfId="0" applyNumberFormat="1" applyFont="1" applyBorder="1" applyAlignment="1">
      <alignment horizontal="center" vertical="center"/>
    </xf>
    <xf numFmtId="2" fontId="42" fillId="0" borderId="80" xfId="0" applyNumberFormat="1" applyFont="1" applyBorder="1" applyAlignment="1">
      <alignment horizontal="center" vertical="center"/>
    </xf>
    <xf numFmtId="2" fontId="42" fillId="0" borderId="30" xfId="0" applyNumberFormat="1" applyFont="1" applyBorder="1" applyAlignment="1">
      <alignment horizontal="center" vertical="center"/>
    </xf>
    <xf numFmtId="0" fontId="41" fillId="2" borderId="75" xfId="0" applyFont="1" applyFill="1" applyBorder="1" applyAlignment="1">
      <alignment horizontal="center" vertical="center" wrapText="1"/>
    </xf>
    <xf numFmtId="0" fontId="41" fillId="2" borderId="80" xfId="0" applyFont="1" applyFill="1" applyBorder="1" applyAlignment="1">
      <alignment horizontal="center" vertical="center" wrapText="1"/>
    </xf>
    <xf numFmtId="0" fontId="41" fillId="2" borderId="30" xfId="0" applyFont="1" applyFill="1" applyBorder="1" applyAlignment="1">
      <alignment horizontal="center" vertical="center" wrapText="1"/>
    </xf>
    <xf numFmtId="0" fontId="41" fillId="4" borderId="31" xfId="0" applyFont="1" applyFill="1" applyBorder="1" applyAlignment="1">
      <alignment horizontal="center"/>
    </xf>
    <xf numFmtId="0" fontId="122" fillId="0" borderId="85" xfId="0" applyFont="1" applyBorder="1" applyAlignment="1">
      <alignment wrapText="1"/>
    </xf>
    <xf numFmtId="0" fontId="122" fillId="0" borderId="83" xfId="0" applyFont="1" applyBorder="1" applyAlignment="1">
      <alignment wrapText="1"/>
    </xf>
    <xf numFmtId="0" fontId="122" fillId="0" borderId="84" xfId="0" applyFont="1" applyBorder="1" applyAlignment="1">
      <alignment wrapText="1"/>
    </xf>
    <xf numFmtId="0" fontId="122" fillId="0" borderId="69" xfId="0" applyFont="1" applyBorder="1" applyAlignment="1">
      <alignment wrapText="1"/>
    </xf>
    <xf numFmtId="0" fontId="122" fillId="0" borderId="47" xfId="0" applyFont="1" applyBorder="1" applyAlignment="1">
      <alignment wrapText="1"/>
    </xf>
    <xf numFmtId="0" fontId="122" fillId="0" borderId="2" xfId="0" applyFont="1" applyBorder="1" applyAlignment="1">
      <alignment wrapText="1"/>
    </xf>
    <xf numFmtId="0" fontId="41" fillId="4" borderId="75" xfId="0" applyFont="1" applyFill="1" applyBorder="1" applyAlignment="1">
      <alignment horizontal="center" vertical="center" wrapText="1"/>
    </xf>
    <xf numFmtId="0" fontId="41" fillId="4" borderId="80" xfId="0" applyFont="1" applyFill="1" applyBorder="1" applyAlignment="1">
      <alignment horizontal="center" vertical="center" wrapText="1"/>
    </xf>
    <xf numFmtId="0" fontId="41" fillId="4" borderId="30" xfId="0" applyFont="1" applyFill="1" applyBorder="1" applyAlignment="1">
      <alignment horizontal="center" vertical="center" wrapText="1"/>
    </xf>
    <xf numFmtId="0" fontId="41" fillId="23" borderId="75" xfId="0" applyFont="1" applyFill="1" applyBorder="1" applyAlignment="1">
      <alignment horizontal="center" vertical="center" wrapText="1"/>
    </xf>
    <xf numFmtId="0" fontId="41" fillId="23" borderId="80" xfId="0" applyFont="1" applyFill="1" applyBorder="1" applyAlignment="1">
      <alignment horizontal="center" vertical="center" wrapText="1"/>
    </xf>
    <xf numFmtId="0" fontId="41" fillId="23" borderId="30" xfId="0" applyFont="1" applyFill="1" applyBorder="1" applyAlignment="1">
      <alignment horizontal="center" vertical="center" wrapText="1"/>
    </xf>
    <xf numFmtId="0" fontId="4" fillId="4" borderId="67" xfId="0" applyFont="1" applyFill="1" applyBorder="1" applyAlignment="1">
      <alignment horizontal="center"/>
    </xf>
    <xf numFmtId="0" fontId="4" fillId="4" borderId="89" xfId="0" applyFont="1" applyFill="1" applyBorder="1" applyAlignment="1">
      <alignment horizontal="center"/>
    </xf>
    <xf numFmtId="0" fontId="5" fillId="0" borderId="67" xfId="0" applyFont="1" applyBorder="1" applyAlignment="1">
      <alignment wrapText="1"/>
    </xf>
    <xf numFmtId="0" fontId="5" fillId="0" borderId="87" xfId="0" applyFont="1" applyBorder="1" applyAlignment="1">
      <alignment wrapText="1"/>
    </xf>
    <xf numFmtId="0" fontId="5" fillId="0" borderId="31" xfId="0" applyFont="1" applyBorder="1" applyAlignment="1">
      <alignment wrapText="1"/>
    </xf>
    <xf numFmtId="0" fontId="41" fillId="4" borderId="108" xfId="0" applyFont="1" applyFill="1" applyBorder="1" applyAlignment="1">
      <alignment horizontal="center" wrapText="1"/>
    </xf>
    <xf numFmtId="0" fontId="44" fillId="0" borderId="75" xfId="0" applyFont="1" applyBorder="1" applyAlignment="1">
      <alignment horizontal="left" vertical="top" wrapText="1"/>
    </xf>
    <xf numFmtId="0" fontId="44" fillId="0" borderId="30" xfId="0" applyFont="1" applyBorder="1" applyAlignment="1">
      <alignment horizontal="left" vertical="top" wrapText="1"/>
    </xf>
    <xf numFmtId="0" fontId="44" fillId="0" borderId="88" xfId="0" applyFont="1" applyBorder="1" applyAlignment="1">
      <alignment horizontal="left" vertical="center" wrapText="1"/>
    </xf>
    <xf numFmtId="0" fontId="44" fillId="0" borderId="80" xfId="0" applyFont="1" applyBorder="1" applyAlignment="1">
      <alignment horizontal="left" vertical="center" wrapText="1"/>
    </xf>
    <xf numFmtId="0" fontId="44" fillId="0" borderId="30" xfId="0" applyFont="1" applyBorder="1" applyAlignment="1">
      <alignment horizontal="left" vertical="center" wrapText="1"/>
    </xf>
    <xf numFmtId="0" fontId="44" fillId="0" borderId="75" xfId="0" applyFont="1" applyBorder="1" applyAlignment="1">
      <alignment horizontal="left" vertical="center" wrapText="1"/>
    </xf>
    <xf numFmtId="0" fontId="5" fillId="0" borderId="89" xfId="0" applyFont="1" applyBorder="1" applyAlignment="1">
      <alignment wrapText="1"/>
    </xf>
    <xf numFmtId="0" fontId="44" fillId="0" borderId="88" xfId="0" applyFont="1" applyBorder="1" applyAlignment="1">
      <alignment horizontal="left" vertical="top" wrapText="1"/>
    </xf>
    <xf numFmtId="0" fontId="44" fillId="0" borderId="80" xfId="0" applyFont="1" applyBorder="1" applyAlignment="1">
      <alignment horizontal="left" vertical="top" wrapText="1"/>
    </xf>
    <xf numFmtId="0" fontId="14" fillId="8" borderId="0" xfId="0" applyFont="1" applyFill="1" applyBorder="1" applyAlignment="1">
      <alignment horizontal="center"/>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8" borderId="0" xfId="0" applyFont="1" applyFill="1" applyBorder="1" applyAlignment="1">
      <alignment horizontal="left"/>
    </xf>
    <xf numFmtId="0" fontId="47" fillId="5" borderId="67" xfId="24" applyFont="1" applyFill="1" applyBorder="1" applyAlignment="1">
      <alignment horizontal="center" vertical="center" wrapText="1"/>
      <protection/>
    </xf>
    <xf numFmtId="0" fontId="47" fillId="5" borderId="87" xfId="24" applyFont="1" applyFill="1" applyBorder="1" applyAlignment="1">
      <alignment horizontal="center" vertical="center" wrapText="1"/>
      <protection/>
    </xf>
    <xf numFmtId="0" fontId="47" fillId="5" borderId="31" xfId="24" applyFont="1" applyFill="1" applyBorder="1" applyAlignment="1">
      <alignment horizontal="center" vertical="center" wrapText="1"/>
      <protection/>
    </xf>
    <xf numFmtId="0" fontId="47" fillId="5" borderId="58" xfId="24" applyFont="1" applyFill="1" applyBorder="1" applyAlignment="1">
      <alignment horizontal="center" vertical="center" wrapText="1"/>
      <protection/>
    </xf>
    <xf numFmtId="0" fontId="47" fillId="5" borderId="59" xfId="24" applyFont="1" applyFill="1" applyBorder="1" applyAlignment="1">
      <alignment horizontal="center" vertical="center" wrapText="1"/>
      <protection/>
    </xf>
    <xf numFmtId="0" fontId="47" fillId="5" borderId="33" xfId="24" applyFont="1" applyFill="1" applyBorder="1" applyAlignment="1">
      <alignment horizontal="center" vertical="center" wrapText="1"/>
      <protection/>
    </xf>
    <xf numFmtId="0" fontId="47" fillId="5" borderId="64" xfId="24" applyFont="1" applyFill="1" applyBorder="1" applyAlignment="1">
      <alignment horizontal="center" vertical="center" wrapText="1"/>
      <protection/>
    </xf>
    <xf numFmtId="0" fontId="47" fillId="5" borderId="113" xfId="24" applyFont="1" applyFill="1" applyBorder="1" applyAlignment="1">
      <alignment horizontal="center" vertical="center" wrapText="1"/>
      <protection/>
    </xf>
    <xf numFmtId="0" fontId="47" fillId="5" borderId="57" xfId="24" applyFont="1" applyFill="1" applyBorder="1" applyAlignment="1">
      <alignment horizontal="center" vertical="center" wrapText="1"/>
      <protection/>
    </xf>
    <xf numFmtId="0" fontId="47" fillId="5" borderId="64" xfId="0" applyFont="1" applyFill="1" applyBorder="1" applyAlignment="1">
      <alignment horizontal="center" vertical="center" wrapText="1"/>
    </xf>
    <xf numFmtId="0" fontId="47" fillId="5" borderId="113" xfId="0" applyFont="1" applyFill="1" applyBorder="1" applyAlignment="1">
      <alignment horizontal="center" vertical="center" wrapText="1"/>
    </xf>
    <xf numFmtId="0" fontId="47" fillId="5" borderId="58" xfId="0" applyFont="1" applyFill="1" applyBorder="1" applyAlignment="1">
      <alignment horizontal="center" vertical="center" wrapText="1"/>
    </xf>
    <xf numFmtId="0" fontId="47" fillId="5" borderId="59" xfId="0" applyFont="1" applyFill="1" applyBorder="1" applyAlignment="1">
      <alignment horizontal="center" vertical="center" wrapText="1"/>
    </xf>
    <xf numFmtId="43" fontId="46" fillId="0" borderId="1" xfId="20" applyFont="1" applyBorder="1" applyAlignment="1">
      <alignment horizontal="center" vertical="center" wrapText="1"/>
    </xf>
    <xf numFmtId="0" fontId="110" fillId="0" borderId="0" xfId="0" applyFont="1" applyAlignment="1">
      <alignment horizontal="left" vertical="center" wrapText="1"/>
    </xf>
    <xf numFmtId="0" fontId="117" fillId="44" borderId="1" xfId="29" applyFont="1" applyFill="1" applyBorder="1" applyAlignment="1">
      <alignment horizontal="center" vertical="center" wrapText="1"/>
      <protection/>
    </xf>
    <xf numFmtId="10" fontId="46" fillId="0" borderId="1" xfId="21" applyNumberFormat="1" applyFont="1" applyBorder="1" applyAlignment="1">
      <alignment horizontal="center" vertical="center" wrapText="1"/>
    </xf>
    <xf numFmtId="0" fontId="123" fillId="51" borderId="1" xfId="0" applyFont="1" applyFill="1" applyBorder="1" applyAlignment="1">
      <alignment vertical="center" wrapText="1"/>
    </xf>
    <xf numFmtId="0" fontId="117" fillId="44" borderId="1" xfId="0" applyFont="1" applyFill="1" applyBorder="1" applyAlignment="1">
      <alignment horizontal="center" vertical="center" wrapText="1"/>
    </xf>
    <xf numFmtId="0" fontId="48" fillId="0" borderId="1" xfId="0" applyFont="1" applyBorder="1" applyAlignment="1">
      <alignment vertical="center" wrapText="1"/>
    </xf>
    <xf numFmtId="43" fontId="46" fillId="0" borderId="1" xfId="20" applyFont="1" applyBorder="1" applyAlignment="1">
      <alignment vertical="center" wrapText="1"/>
    </xf>
    <xf numFmtId="0" fontId="123" fillId="50" borderId="1" xfId="0" applyFont="1" applyFill="1" applyBorder="1" applyAlignment="1">
      <alignment horizontal="center" vertical="center" wrapText="1"/>
    </xf>
    <xf numFmtId="0" fontId="123" fillId="50" borderId="6" xfId="0" applyFont="1" applyFill="1" applyBorder="1" applyAlignment="1">
      <alignment horizontal="center" vertical="center" wrapText="1"/>
    </xf>
    <xf numFmtId="0" fontId="123" fillId="50" borderId="61" xfId="0" applyFont="1" applyFill="1" applyBorder="1" applyAlignment="1">
      <alignment horizontal="center" vertical="center" wrapText="1"/>
    </xf>
    <xf numFmtId="0" fontId="123" fillId="50" borderId="7" xfId="0" applyFont="1" applyFill="1" applyBorder="1" applyAlignment="1">
      <alignment horizontal="center" vertical="center" wrapText="1"/>
    </xf>
    <xf numFmtId="0" fontId="115" fillId="0" borderId="0" xfId="0" applyFont="1" applyAlignment="1">
      <alignment horizontal="center" vertical="center"/>
    </xf>
    <xf numFmtId="0" fontId="116" fillId="0" borderId="0" xfId="0" applyFont="1" applyAlignment="1">
      <alignment horizontal="left"/>
    </xf>
    <xf numFmtId="0" fontId="85" fillId="44" borderId="82" xfId="0" applyFont="1" applyFill="1" applyBorder="1" applyAlignment="1">
      <alignment horizontal="center" vertical="center" wrapText="1"/>
    </xf>
    <xf numFmtId="0" fontId="85" fillId="44" borderId="23" xfId="0" applyFont="1" applyFill="1" applyBorder="1" applyAlignment="1">
      <alignment horizontal="center" vertical="center" wrapText="1"/>
    </xf>
    <xf numFmtId="0" fontId="85" fillId="44" borderId="114" xfId="0" applyFont="1" applyFill="1" applyBorder="1" applyAlignment="1">
      <alignment horizontal="center" vertical="center" wrapText="1"/>
    </xf>
    <xf numFmtId="0" fontId="85" fillId="44" borderId="21" xfId="0" applyFont="1" applyFill="1" applyBorder="1" applyAlignment="1">
      <alignment horizontal="center" vertical="center" wrapText="1"/>
    </xf>
    <xf numFmtId="0" fontId="85" fillId="44" borderId="52" xfId="0" applyFont="1" applyFill="1" applyBorder="1" applyAlignment="1">
      <alignment horizontal="center" vertical="center" wrapText="1"/>
    </xf>
    <xf numFmtId="0" fontId="85" fillId="44" borderId="18" xfId="0" applyFont="1" applyFill="1" applyBorder="1" applyAlignment="1">
      <alignment horizontal="center" vertical="center" wrapText="1"/>
    </xf>
    <xf numFmtId="0" fontId="85" fillId="44" borderId="25" xfId="0" applyFont="1" applyFill="1" applyBorder="1" applyAlignment="1">
      <alignment horizontal="center" vertical="center" wrapText="1"/>
    </xf>
    <xf numFmtId="0" fontId="85" fillId="44" borderId="22" xfId="0" applyFont="1" applyFill="1" applyBorder="1" applyAlignment="1">
      <alignment horizontal="center" vertical="center" wrapText="1"/>
    </xf>
    <xf numFmtId="0" fontId="85" fillId="44" borderId="20" xfId="0" applyFont="1" applyFill="1" applyBorder="1" applyAlignment="1">
      <alignment horizontal="center" vertical="center" wrapText="1"/>
    </xf>
    <xf numFmtId="0" fontId="85" fillId="44" borderId="1" xfId="29" applyFont="1" applyFill="1" applyBorder="1" applyAlignment="1">
      <alignment horizontal="center" vertical="center" wrapText="1"/>
      <protection/>
    </xf>
    <xf numFmtId="0" fontId="87" fillId="47" borderId="6" xfId="0" applyFont="1" applyFill="1" applyBorder="1" applyAlignment="1">
      <alignment horizontal="left" vertical="center"/>
    </xf>
    <xf numFmtId="0" fontId="87" fillId="47" borderId="7" xfId="0" applyFont="1" applyFill="1" applyBorder="1" applyAlignment="1">
      <alignment horizontal="left" vertical="center"/>
    </xf>
    <xf numFmtId="0" fontId="110" fillId="47" borderId="6" xfId="0" applyFont="1" applyFill="1" applyBorder="1" applyAlignment="1">
      <alignment horizontal="left" vertical="center"/>
    </xf>
    <xf numFmtId="0" fontId="110" fillId="47" borderId="7" xfId="0" applyFont="1" applyFill="1" applyBorder="1" applyAlignment="1">
      <alignment horizontal="left" vertical="center"/>
    </xf>
    <xf numFmtId="0" fontId="87" fillId="48" borderId="6" xfId="0" applyFont="1" applyFill="1" applyBorder="1" applyAlignment="1">
      <alignment horizontal="left" vertical="center" wrapText="1"/>
    </xf>
    <xf numFmtId="0" fontId="87" fillId="48" borderId="7" xfId="0" applyFont="1" applyFill="1" applyBorder="1" applyAlignment="1">
      <alignment horizontal="left" vertical="center" wrapText="1"/>
    </xf>
    <xf numFmtId="43" fontId="41" fillId="7" borderId="25" xfId="20" applyFont="1" applyFill="1" applyBorder="1" applyAlignment="1">
      <alignment horizontal="center" vertical="center"/>
    </xf>
    <xf numFmtId="43" fontId="41" fillId="7" borderId="20" xfId="20" applyFont="1" applyFill="1" applyBorder="1" applyAlignment="1">
      <alignment horizontal="center" vertical="center"/>
    </xf>
    <xf numFmtId="43" fontId="41" fillId="0" borderId="25" xfId="20" applyFont="1" applyFill="1" applyBorder="1" applyAlignment="1">
      <alignment horizontal="center" vertical="center"/>
    </xf>
    <xf numFmtId="43" fontId="41" fillId="0" borderId="20" xfId="20" applyFont="1" applyFill="1" applyBorder="1" applyAlignment="1">
      <alignment horizontal="center" vertical="center"/>
    </xf>
    <xf numFmtId="43" fontId="110" fillId="0" borderId="1" xfId="20" applyFont="1" applyFill="1" applyBorder="1" applyAlignment="1">
      <alignment horizontal="center" vertical="center"/>
    </xf>
    <xf numFmtId="43" fontId="110" fillId="7" borderId="1" xfId="20" applyFont="1" applyFill="1" applyBorder="1" applyAlignment="1">
      <alignment horizontal="center" vertical="center"/>
    </xf>
    <xf numFmtId="0" fontId="115" fillId="0" borderId="0" xfId="0" applyFont="1" applyAlignment="1">
      <alignment horizontal="left" vertical="center"/>
    </xf>
    <xf numFmtId="0" fontId="110" fillId="47" borderId="1" xfId="0" applyFont="1" applyFill="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07" fillId="5" borderId="115" xfId="0" applyFont="1" applyFill="1" applyBorder="1" applyAlignment="1">
      <alignment horizontal="center" vertical="center" wrapText="1"/>
    </xf>
    <xf numFmtId="0" fontId="107" fillId="5" borderId="61" xfId="0" applyFont="1" applyFill="1" applyBorder="1" applyAlignment="1">
      <alignment horizontal="center" vertical="center" wrapText="1"/>
    </xf>
    <xf numFmtId="0" fontId="107" fillId="5" borderId="7" xfId="0" applyFont="1" applyFill="1" applyBorder="1" applyAlignment="1">
      <alignment horizontal="center" vertical="center" wrapText="1"/>
    </xf>
    <xf numFmtId="0" fontId="14" fillId="54" borderId="0" xfId="0" applyFont="1" applyFill="1" applyAlignment="1">
      <alignment horizontal="center" vertical="center"/>
    </xf>
    <xf numFmtId="0" fontId="14" fillId="5" borderId="116"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2" fillId="3" borderId="58" xfId="0" applyFont="1" applyFill="1" applyBorder="1" applyAlignment="1">
      <alignment horizontal="center"/>
    </xf>
    <xf numFmtId="0" fontId="12" fillId="3" borderId="59" xfId="0" applyFont="1" applyFill="1" applyBorder="1" applyAlignment="1">
      <alignment horizontal="center"/>
    </xf>
    <xf numFmtId="0" fontId="88" fillId="29" borderId="32" xfId="0" applyFont="1" applyFill="1" applyBorder="1" applyAlignment="1">
      <alignment horizontal="center" vertical="center"/>
    </xf>
    <xf numFmtId="0" fontId="88" fillId="29" borderId="117" xfId="0" applyFont="1" applyFill="1" applyBorder="1" applyAlignment="1">
      <alignment horizontal="center" vertical="center"/>
    </xf>
    <xf numFmtId="0" fontId="85" fillId="29" borderId="118" xfId="0" applyFont="1" applyFill="1" applyBorder="1" applyAlignment="1">
      <alignment horizontal="center" vertical="center"/>
    </xf>
    <xf numFmtId="0" fontId="85" fillId="29" borderId="116" xfId="0" applyFont="1" applyFill="1" applyBorder="1" applyAlignment="1">
      <alignment horizontal="center" vertical="center"/>
    </xf>
    <xf numFmtId="0" fontId="88" fillId="41" borderId="119" xfId="0" applyFont="1" applyFill="1" applyBorder="1" applyAlignment="1">
      <alignment horizontal="center" vertical="center"/>
    </xf>
    <xf numFmtId="0" fontId="88" fillId="41" borderId="120" xfId="0" applyFont="1" applyFill="1" applyBorder="1" applyAlignment="1">
      <alignment horizontal="center" vertical="center"/>
    </xf>
    <xf numFmtId="0" fontId="88" fillId="41" borderId="117" xfId="0" applyFont="1" applyFill="1" applyBorder="1" applyAlignment="1">
      <alignment horizontal="center" vertical="center"/>
    </xf>
    <xf numFmtId="0" fontId="88" fillId="41" borderId="58" xfId="0" applyFont="1" applyFill="1" applyBorder="1" applyAlignment="1">
      <alignment horizontal="center"/>
    </xf>
    <xf numFmtId="0" fontId="88" fillId="41" borderId="59" xfId="0" applyFont="1" applyFill="1" applyBorder="1" applyAlignment="1">
      <alignment horizontal="center"/>
    </xf>
    <xf numFmtId="0" fontId="88" fillId="41" borderId="33" xfId="0" applyFont="1" applyFill="1" applyBorder="1" applyAlignment="1">
      <alignment horizontal="center"/>
    </xf>
    <xf numFmtId="4" fontId="98" fillId="0" borderId="71" xfId="0" applyNumberFormat="1" applyFont="1" applyFill="1" applyBorder="1" applyAlignment="1">
      <alignment horizontal="left" vertical="center" wrapText="1"/>
    </xf>
    <xf numFmtId="0" fontId="87" fillId="42" borderId="73" xfId="0" applyFont="1" applyFill="1" applyBorder="1" applyAlignment="1">
      <alignment horizontal="left" vertical="center" wrapText="1"/>
    </xf>
    <xf numFmtId="0" fontId="87" fillId="42" borderId="76" xfId="0" applyFont="1" applyFill="1" applyBorder="1" applyAlignment="1">
      <alignment horizontal="left" vertical="center" wrapText="1"/>
    </xf>
    <xf numFmtId="0" fontId="87" fillId="42" borderId="72" xfId="0" applyFont="1" applyFill="1" applyBorder="1" applyAlignment="1">
      <alignment horizontal="left" vertical="center" wrapText="1"/>
    </xf>
    <xf numFmtId="4" fontId="0" fillId="42" borderId="25" xfId="0" applyNumberFormat="1" applyFill="1" applyBorder="1" applyAlignment="1">
      <alignment horizontal="center" vertical="center"/>
    </xf>
    <xf numFmtId="4" fontId="0" fillId="42" borderId="20" xfId="0" applyNumberFormat="1" applyFill="1" applyBorder="1" applyAlignment="1">
      <alignment horizontal="center" vertical="center"/>
    </xf>
    <xf numFmtId="0" fontId="87" fillId="42" borderId="25" xfId="0" applyFont="1" applyFill="1" applyBorder="1" applyAlignment="1">
      <alignment horizontal="center" vertical="center" wrapText="1"/>
    </xf>
    <xf numFmtId="0" fontId="87" fillId="42" borderId="22" xfId="0" applyFont="1" applyFill="1" applyBorder="1" applyAlignment="1">
      <alignment horizontal="center" vertical="center" wrapText="1"/>
    </xf>
    <xf numFmtId="0" fontId="87" fillId="42" borderId="20" xfId="0" applyFont="1" applyFill="1" applyBorder="1" applyAlignment="1">
      <alignment horizontal="center" vertical="center" wrapText="1"/>
    </xf>
    <xf numFmtId="0" fontId="87" fillId="42" borderId="73" xfId="0" applyFont="1" applyFill="1" applyBorder="1" applyAlignment="1">
      <alignment horizontal="center" vertical="center" wrapText="1"/>
    </xf>
    <xf numFmtId="0" fontId="87" fillId="42" borderId="76" xfId="0" applyFont="1" applyFill="1" applyBorder="1" applyAlignment="1">
      <alignment horizontal="center" vertical="center" wrapText="1"/>
    </xf>
    <xf numFmtId="0" fontId="87" fillId="42" borderId="121" xfId="0" applyFont="1" applyFill="1" applyBorder="1" applyAlignment="1">
      <alignment horizontal="center" vertical="center" wrapText="1"/>
    </xf>
    <xf numFmtId="0" fontId="88" fillId="41" borderId="119" xfId="0" applyFont="1" applyFill="1" applyBorder="1" applyAlignment="1">
      <alignment horizontal="center"/>
    </xf>
    <xf numFmtId="0" fontId="88" fillId="41" borderId="120" xfId="0" applyFont="1" applyFill="1" applyBorder="1" applyAlignment="1">
      <alignment horizontal="center"/>
    </xf>
    <xf numFmtId="0" fontId="88" fillId="41" borderId="117" xfId="0" applyFont="1" applyFill="1" applyBorder="1" applyAlignment="1">
      <alignment horizontal="center"/>
    </xf>
    <xf numFmtId="43" fontId="0" fillId="42" borderId="59" xfId="0" applyNumberFormat="1" applyFill="1" applyBorder="1" applyAlignment="1">
      <alignment horizontal="center" vertical="center"/>
    </xf>
    <xf numFmtId="0" fontId="0" fillId="42" borderId="1" xfId="0" applyFill="1" applyBorder="1" applyAlignment="1">
      <alignment horizontal="center" vertical="center"/>
    </xf>
    <xf numFmtId="4" fontId="87" fillId="42" borderId="59" xfId="21" applyNumberFormat="1" applyFont="1" applyFill="1" applyBorder="1" applyAlignment="1">
      <alignment horizontal="center" vertical="center"/>
    </xf>
    <xf numFmtId="4" fontId="87" fillId="42" borderId="1" xfId="21" applyNumberFormat="1" applyFont="1" applyFill="1" applyBorder="1" applyAlignment="1">
      <alignment horizontal="center" vertical="center"/>
    </xf>
    <xf numFmtId="0" fontId="87" fillId="42" borderId="33" xfId="0" applyFont="1" applyFill="1" applyBorder="1" applyAlignment="1">
      <alignment horizontal="center" vertical="center" wrapText="1"/>
    </xf>
    <xf numFmtId="0" fontId="87" fillId="42" borderId="9" xfId="0" applyFont="1" applyFill="1" applyBorder="1" applyAlignment="1">
      <alignment horizontal="center" vertical="center" wrapText="1"/>
    </xf>
    <xf numFmtId="0" fontId="88" fillId="29" borderId="32" xfId="0" applyFont="1" applyFill="1" applyBorder="1" applyAlignment="1">
      <alignment horizontal="center" vertical="center" wrapText="1"/>
    </xf>
    <xf numFmtId="0" fontId="88" fillId="29" borderId="120" xfId="0" applyFont="1" applyFill="1" applyBorder="1" applyAlignment="1">
      <alignment horizontal="center" vertical="center" wrapText="1"/>
    </xf>
    <xf numFmtId="0" fontId="88" fillId="29" borderId="117" xfId="0" applyFont="1" applyFill="1" applyBorder="1" applyAlignment="1">
      <alignment horizontal="center" vertical="center" wrapText="1"/>
    </xf>
    <xf numFmtId="0" fontId="88" fillId="29" borderId="118" xfId="0" applyFont="1" applyFill="1" applyBorder="1" applyAlignment="1">
      <alignment horizontal="center" vertical="center"/>
    </xf>
    <xf numFmtId="0" fontId="88" fillId="29" borderId="116" xfId="0" applyFont="1" applyFill="1" applyBorder="1" applyAlignment="1">
      <alignment horizontal="center" vertical="center"/>
    </xf>
    <xf numFmtId="0" fontId="88" fillId="41" borderId="119" xfId="0" applyFont="1" applyFill="1" applyBorder="1" applyAlignment="1">
      <alignment horizontal="center" vertical="center" wrapText="1"/>
    </xf>
    <xf numFmtId="0" fontId="88" fillId="41" borderId="120" xfId="0" applyFont="1" applyFill="1" applyBorder="1" applyAlignment="1">
      <alignment horizontal="center" vertical="center" wrapText="1"/>
    </xf>
    <xf numFmtId="0" fontId="88" fillId="41" borderId="117" xfId="0" applyFont="1" applyFill="1" applyBorder="1" applyAlignment="1">
      <alignment horizontal="center" vertical="center" wrapText="1"/>
    </xf>
    <xf numFmtId="0" fontId="88" fillId="41" borderId="58" xfId="0" applyFont="1" applyFill="1" applyBorder="1" applyAlignment="1">
      <alignment horizontal="center" vertical="center"/>
    </xf>
    <xf numFmtId="0" fontId="88" fillId="41" borderId="59" xfId="0" applyFont="1" applyFill="1" applyBorder="1" applyAlignment="1">
      <alignment horizontal="center" vertical="center"/>
    </xf>
    <xf numFmtId="0" fontId="88" fillId="41" borderId="33" xfId="0" applyFont="1" applyFill="1" applyBorder="1" applyAlignment="1">
      <alignment horizontal="center" vertical="center"/>
    </xf>
    <xf numFmtId="0" fontId="88" fillId="29" borderId="25" xfId="0" applyFont="1" applyFill="1" applyBorder="1" applyAlignment="1">
      <alignment horizontal="center" vertical="center"/>
    </xf>
    <xf numFmtId="0" fontId="88" fillId="29" borderId="20" xfId="0" applyFont="1" applyFill="1" applyBorder="1" applyAlignment="1">
      <alignment horizontal="center" vertical="center"/>
    </xf>
    <xf numFmtId="0" fontId="88" fillId="29" borderId="82" xfId="0" applyFont="1" applyFill="1" applyBorder="1" applyAlignment="1">
      <alignment horizontal="center" vertical="center"/>
    </xf>
    <xf numFmtId="0" fontId="88" fillId="29" borderId="52" xfId="0" applyFont="1" applyFill="1" applyBorder="1" applyAlignment="1">
      <alignment horizontal="center" vertical="center"/>
    </xf>
    <xf numFmtId="0" fontId="88" fillId="29" borderId="1" xfId="0"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4" fontId="87" fillId="42" borderId="1" xfId="0" applyNumberFormat="1" applyFont="1" applyFill="1" applyBorder="1" applyAlignment="1">
      <alignment horizontal="center" vertical="center"/>
    </xf>
    <xf numFmtId="0" fontId="88" fillId="41" borderId="1" xfId="0" applyFont="1" applyFill="1" applyBorder="1" applyAlignment="1">
      <alignment horizontal="center"/>
    </xf>
    <xf numFmtId="0" fontId="87" fillId="42" borderId="25" xfId="0" applyFont="1" applyFill="1" applyBorder="1" applyAlignment="1">
      <alignment horizontal="left" vertical="center" wrapText="1"/>
    </xf>
    <xf numFmtId="0" fontId="87" fillId="42" borderId="20" xfId="0" applyFont="1" applyFill="1" applyBorder="1" applyAlignment="1">
      <alignment horizontal="left" vertical="center" wrapText="1"/>
    </xf>
    <xf numFmtId="0" fontId="85" fillId="29" borderId="118" xfId="0" applyFont="1" applyFill="1" applyBorder="1" applyAlignment="1">
      <alignment horizontal="center" vertical="center" wrapText="1"/>
    </xf>
    <xf numFmtId="0" fontId="85" fillId="29" borderId="116" xfId="0" applyFont="1" applyFill="1" applyBorder="1" applyAlignment="1">
      <alignment horizontal="center" vertical="center" wrapText="1"/>
    </xf>
    <xf numFmtId="0" fontId="87" fillId="42" borderId="72" xfId="0" applyFont="1" applyFill="1" applyBorder="1" applyAlignment="1">
      <alignment horizontal="center" vertical="center" wrapText="1"/>
    </xf>
    <xf numFmtId="0" fontId="87" fillId="42" borderId="12" xfId="0" applyFont="1" applyFill="1" applyBorder="1" applyAlignment="1">
      <alignment horizontal="center" vertical="center" wrapText="1"/>
    </xf>
    <xf numFmtId="2" fontId="87" fillId="42" borderId="1" xfId="0" applyNumberFormat="1" applyFont="1" applyFill="1" applyBorder="1" applyAlignment="1">
      <alignment horizontal="center" vertical="center"/>
    </xf>
    <xf numFmtId="0" fontId="87" fillId="42" borderId="1" xfId="0" applyFont="1" applyFill="1" applyBorder="1" applyAlignment="1">
      <alignment horizontal="center" vertical="center"/>
    </xf>
    <xf numFmtId="0" fontId="87" fillId="42" borderId="11" xfId="0" applyFont="1" applyFill="1" applyBorder="1" applyAlignment="1">
      <alignment horizontal="center" vertical="center"/>
    </xf>
    <xf numFmtId="4" fontId="87" fillId="33" borderId="25" xfId="21" applyNumberFormat="1" applyFont="1" applyFill="1" applyBorder="1" applyAlignment="1">
      <alignment horizontal="right" vertical="center"/>
    </xf>
    <xf numFmtId="4" fontId="87" fillId="33" borderId="20" xfId="21" applyNumberFormat="1" applyFont="1" applyFill="1" applyBorder="1" applyAlignment="1">
      <alignment horizontal="right" vertical="center"/>
    </xf>
    <xf numFmtId="4" fontId="110" fillId="42" borderId="25" xfId="21" applyNumberFormat="1" applyFont="1" applyFill="1" applyBorder="1" applyAlignment="1">
      <alignment horizontal="center" vertical="center"/>
    </xf>
    <xf numFmtId="4" fontId="110" fillId="42" borderId="122" xfId="21" applyNumberFormat="1" applyFont="1" applyFill="1" applyBorder="1" applyAlignment="1">
      <alignment horizontal="center" vertical="center"/>
    </xf>
    <xf numFmtId="4" fontId="110" fillId="42" borderId="20" xfId="21" applyNumberFormat="1" applyFont="1" applyFill="1" applyBorder="1" applyAlignment="1">
      <alignment horizontal="center" vertical="center"/>
    </xf>
    <xf numFmtId="0" fontId="87" fillId="42" borderId="8" xfId="0" applyFont="1" applyFill="1" applyBorder="1" applyAlignment="1">
      <alignment horizontal="left" vertical="center" wrapText="1" indent="1"/>
    </xf>
    <xf numFmtId="0" fontId="87" fillId="42" borderId="8" xfId="0" applyFont="1" applyFill="1" applyBorder="1" applyAlignment="1">
      <alignment horizontal="left" vertical="center" indent="1"/>
    </xf>
    <xf numFmtId="0" fontId="0" fillId="42" borderId="59" xfId="0" applyFill="1" applyBorder="1" applyAlignment="1">
      <alignment horizontal="center" vertical="center"/>
    </xf>
    <xf numFmtId="0" fontId="88" fillId="29" borderId="120" xfId="0" applyFont="1" applyFill="1" applyBorder="1" applyAlignment="1">
      <alignment horizontal="center" vertical="center"/>
    </xf>
    <xf numFmtId="4" fontId="0" fillId="42" borderId="16" xfId="0" applyNumberFormat="1" applyFill="1" applyBorder="1" applyAlignment="1">
      <alignment horizontal="center" vertical="center"/>
    </xf>
    <xf numFmtId="4" fontId="0" fillId="42" borderId="15" xfId="0" applyNumberFormat="1" applyFill="1" applyBorder="1" applyAlignment="1">
      <alignment horizontal="center" vertical="center"/>
    </xf>
    <xf numFmtId="4" fontId="0" fillId="42" borderId="1" xfId="0" applyNumberFormat="1" applyFill="1" applyBorder="1" applyAlignment="1">
      <alignment horizontal="left" vertical="center" indent="1"/>
    </xf>
    <xf numFmtId="0" fontId="87" fillId="42" borderId="58" xfId="0" applyFont="1" applyFill="1" applyBorder="1" applyAlignment="1">
      <alignment horizontal="left" vertical="center" wrapText="1" indent="1"/>
    </xf>
    <xf numFmtId="0" fontId="87" fillId="33" borderId="73" xfId="0" applyFont="1" applyFill="1" applyBorder="1" applyAlignment="1">
      <alignment horizontal="center" vertical="center" wrapText="1"/>
    </xf>
    <xf numFmtId="0" fontId="87" fillId="33" borderId="76" xfId="0" applyFont="1" applyFill="1" applyBorder="1" applyAlignment="1">
      <alignment horizontal="center" vertical="center" wrapText="1"/>
    </xf>
    <xf numFmtId="0" fontId="87" fillId="33" borderId="72" xfId="0" applyFont="1" applyFill="1" applyBorder="1" applyAlignment="1">
      <alignment horizontal="center" vertical="center" wrapText="1"/>
    </xf>
    <xf numFmtId="4" fontId="0" fillId="0" borderId="0" xfId="0" applyNumberFormat="1" applyAlignment="1">
      <alignment horizontal="center" vertical="center"/>
    </xf>
    <xf numFmtId="0" fontId="87" fillId="42" borderId="121" xfId="0" applyFont="1" applyFill="1" applyBorder="1" applyAlignment="1">
      <alignment horizontal="left" vertical="center" wrapText="1"/>
    </xf>
    <xf numFmtId="0" fontId="87" fillId="0" borderId="8" xfId="0" applyFont="1" applyBorder="1" applyAlignment="1">
      <alignment horizontal="left" vertical="center"/>
    </xf>
    <xf numFmtId="0" fontId="87" fillId="0" borderId="1" xfId="0" applyFont="1" applyBorder="1" applyAlignment="1">
      <alignment horizontal="left" vertical="center"/>
    </xf>
    <xf numFmtId="0" fontId="87" fillId="42" borderId="8" xfId="0" applyFont="1" applyFill="1" applyBorder="1" applyAlignment="1">
      <alignment horizontal="left" vertical="center" indent="4"/>
    </xf>
    <xf numFmtId="0" fontId="0" fillId="42" borderId="11" xfId="0" applyFill="1" applyBorder="1" applyAlignment="1">
      <alignment horizontal="center" vertical="center"/>
    </xf>
    <xf numFmtId="4" fontId="0" fillId="42" borderId="1" xfId="21" applyNumberFormat="1" applyFont="1" applyFill="1" applyBorder="1" applyAlignment="1">
      <alignment horizontal="center" vertical="center"/>
    </xf>
    <xf numFmtId="4" fontId="0" fillId="42" borderId="11" xfId="21" applyNumberFormat="1" applyFont="1" applyFill="1" applyBorder="1" applyAlignment="1">
      <alignment horizontal="center" vertical="center"/>
    </xf>
    <xf numFmtId="0" fontId="87" fillId="42" borderId="1" xfId="0" applyFont="1" applyFill="1" applyBorder="1" applyAlignment="1">
      <alignment horizontal="center" vertical="center" wrapText="1"/>
    </xf>
    <xf numFmtId="0" fontId="87" fillId="42" borderId="10" xfId="0" applyFont="1" applyFill="1" applyBorder="1" applyAlignment="1">
      <alignment horizontal="left" vertical="center" indent="1"/>
    </xf>
    <xf numFmtId="0" fontId="90" fillId="30" borderId="0" xfId="0" applyFont="1" applyFill="1" applyAlignment="1">
      <alignment horizontal="center"/>
    </xf>
    <xf numFmtId="0" fontId="88" fillId="29" borderId="8" xfId="0" applyFont="1" applyFill="1" applyBorder="1" applyAlignment="1">
      <alignment horizontal="center" vertical="center"/>
    </xf>
    <xf numFmtId="0" fontId="87" fillId="42" borderId="123" xfId="0" applyFont="1" applyFill="1" applyBorder="1" applyAlignment="1">
      <alignment horizontal="left" vertical="center"/>
    </xf>
    <xf numFmtId="0" fontId="87" fillId="42" borderId="24" xfId="0" applyFont="1" applyFill="1" applyBorder="1" applyAlignment="1">
      <alignment horizontal="left" vertical="center"/>
    </xf>
    <xf numFmtId="0" fontId="87" fillId="42" borderId="23" xfId="0" applyFont="1" applyFill="1" applyBorder="1" applyAlignment="1">
      <alignment horizontal="left" vertical="center"/>
    </xf>
    <xf numFmtId="0" fontId="87" fillId="42" borderId="124" xfId="0" applyFont="1" applyFill="1" applyBorder="1" applyAlignment="1">
      <alignment horizontal="left" vertical="center"/>
    </xf>
    <xf numFmtId="0" fontId="87" fillId="42" borderId="19" xfId="0" applyFont="1" applyFill="1" applyBorder="1" applyAlignment="1">
      <alignment horizontal="left" vertical="center"/>
    </xf>
    <xf numFmtId="0" fontId="87" fillId="42" borderId="18" xfId="0" applyFont="1" applyFill="1" applyBorder="1" applyAlignment="1">
      <alignment horizontal="left" vertical="center"/>
    </xf>
    <xf numFmtId="4" fontId="0" fillId="42" borderId="122" xfId="0" applyNumberFormat="1" applyFill="1" applyBorder="1" applyAlignment="1">
      <alignment horizontal="center" vertical="center"/>
    </xf>
    <xf numFmtId="170" fontId="87" fillId="42" borderId="25" xfId="0" applyNumberFormat="1" applyFont="1" applyFill="1" applyBorder="1" applyAlignment="1">
      <alignment horizontal="center" vertical="center"/>
    </xf>
    <xf numFmtId="170" fontId="87" fillId="42" borderId="20" xfId="0" applyNumberFormat="1" applyFont="1" applyFill="1" applyBorder="1" applyAlignment="1">
      <alignment horizontal="center" vertical="center"/>
    </xf>
    <xf numFmtId="170" fontId="87" fillId="42" borderId="122" xfId="0" applyNumberFormat="1" applyFont="1" applyFill="1" applyBorder="1" applyAlignment="1">
      <alignment horizontal="center" vertical="center"/>
    </xf>
    <xf numFmtId="2" fontId="87" fillId="42" borderId="25" xfId="0" applyNumberFormat="1" applyFont="1" applyFill="1" applyBorder="1" applyAlignment="1">
      <alignment horizontal="center" vertical="center" wrapText="1"/>
    </xf>
    <xf numFmtId="4" fontId="87" fillId="42" borderId="25" xfId="0" applyNumberFormat="1" applyFont="1" applyFill="1" applyBorder="1" applyAlignment="1">
      <alignment horizontal="center" vertical="center"/>
    </xf>
    <xf numFmtId="0" fontId="87" fillId="42" borderId="20" xfId="0" applyFont="1" applyFill="1" applyBorder="1" applyAlignment="1">
      <alignment horizontal="center" vertical="center"/>
    </xf>
    <xf numFmtId="0" fontId="87" fillId="42" borderId="122" xfId="0" applyFont="1" applyFill="1" applyBorder="1" applyAlignment="1">
      <alignment horizontal="center" vertical="center"/>
    </xf>
    <xf numFmtId="0" fontId="87" fillId="42" borderId="8" xfId="0" applyFont="1" applyFill="1" applyBorder="1" applyAlignment="1">
      <alignment vertical="center"/>
    </xf>
    <xf numFmtId="0" fontId="87" fillId="42" borderId="1" xfId="0" applyFont="1" applyFill="1" applyBorder="1" applyAlignment="1">
      <alignment vertical="center"/>
    </xf>
    <xf numFmtId="0" fontId="87" fillId="42" borderId="10" xfId="0" applyFont="1" applyFill="1" applyBorder="1" applyAlignment="1">
      <alignment vertical="center"/>
    </xf>
    <xf numFmtId="0" fontId="87" fillId="42" borderId="11" xfId="0" applyFont="1" applyFill="1" applyBorder="1" applyAlignment="1">
      <alignment vertical="center"/>
    </xf>
  </cellXfs>
  <cellStyles count="16">
    <cellStyle name="Normal" xfId="0"/>
    <cellStyle name="Percent" xfId="15"/>
    <cellStyle name="Currency" xfId="16"/>
    <cellStyle name="Currency [0]" xfId="17"/>
    <cellStyle name="Comma" xfId="18"/>
    <cellStyle name="Comma [0]" xfId="19"/>
    <cellStyle name="Millares" xfId="20"/>
    <cellStyle name="Porcentaje" xfId="21"/>
    <cellStyle name="Hipervínculo" xfId="22"/>
    <cellStyle name="Normal 3" xfId="23"/>
    <cellStyle name="Normal 2" xfId="24"/>
    <cellStyle name="Millares 2" xfId="25"/>
    <cellStyle name="Porcentaje 2" xfId="26"/>
    <cellStyle name="Hipervínculo 2" xfId="27"/>
    <cellStyle name="Millares 3" xfId="28"/>
    <cellStyle name="Normal 2 2"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microsoft.com/office/2017/10/relationships/person" Target="persons/person.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2285"/>
          <c:y val="0.0415"/>
          <c:w val="0.7525"/>
          <c:h val="0.90125"/>
        </c:manualLayout>
      </c:layout>
      <c:bar3D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('RESULTADOS RAGEI 2016'!$G$7,'RESULTADOS RAGEI 2016'!$G$20,'RESULTADOS RAGEI 2016'!$G$34,'RESULTADOS RAGEI 2016'!$G$37:$G$42)</c:f>
              <c:strCache/>
            </c:strRef>
          </c:cat>
          <c:val>
            <c:numRef>
              <c:f>('RESULTADOS RAGEI 2016'!$N$7,'RESULTADOS RAGEI 2016'!$N$20,'RESULTADOS RAGEI 2016'!$N$34,'RESULTADOS RAGEI 2016'!$N$37:$N$42)</c:f>
              <c:numCache/>
            </c:numRef>
          </c:val>
          <c:shape val="box"/>
        </c:ser>
        <c:shape val="box"/>
        <c:axId val="44471042"/>
        <c:axId val="64695059"/>
      </c:bar3DChart>
      <c:catAx>
        <c:axId val="44471042"/>
        <c:scaling>
          <c:orientation val="minMax"/>
        </c:scaling>
        <c:axPos val="l"/>
        <c:title>
          <c:tx>
            <c:rich>
              <a:bodyPr vert="horz" rot="0" anchor="ctr"/>
              <a:lstStyle/>
              <a:p>
                <a:pPr algn="ctr">
                  <a:defRPr/>
                </a:pPr>
                <a:r>
                  <a:rPr lang="en-US" cap="none" sz="1000" b="1" u="none" baseline="0">
                    <a:solidFill>
                      <a:srgbClr val="000000"/>
                    </a:solidFill>
                    <a:latin typeface="Calibri"/>
                    <a:ea typeface="Calibri"/>
                    <a:cs typeface="Calibri"/>
                  </a:rPr>
                  <a:t>GgCO</a:t>
                </a:r>
                <a:r>
                  <a:rPr lang="en-US" cap="none" sz="1000" b="1" u="none" baseline="-25000">
                    <a:solidFill>
                      <a:srgbClr val="000000"/>
                    </a:solidFill>
                    <a:latin typeface="Calibri"/>
                    <a:ea typeface="Calibri"/>
                    <a:cs typeface="Calibri"/>
                  </a:rPr>
                  <a:t>2</a:t>
                </a:r>
                <a:r>
                  <a:rPr lang="en-US" cap="none" sz="1000" b="1" u="none" baseline="0">
                    <a:solidFill>
                      <a:srgbClr val="000000"/>
                    </a:solidFill>
                    <a:latin typeface="Calibri"/>
                    <a:ea typeface="Calibri"/>
                    <a:cs typeface="Calibri"/>
                  </a:rPr>
                  <a:t>eq</a:t>
                </a:r>
              </a:p>
            </c:rich>
          </c:tx>
          <c:layout>
            <c:manualLayout>
              <c:xMode val="edge"/>
              <c:yMode val="edge"/>
              <c:x val="0.885"/>
              <c:y val="0.06225"/>
            </c:manualLayout>
          </c:layout>
          <c:overlay val="0"/>
          <c:spPr>
            <a:noFill/>
            <a:ln>
              <a:noFill/>
            </a:ln>
          </c:spPr>
        </c:title>
        <c:delete val="0"/>
        <c:numFmt formatCode="General" sourceLinked="1"/>
        <c:majorTickMark val="out"/>
        <c:minorTickMark val="none"/>
        <c:tickLblPos val="nextTo"/>
        <c:spPr>
          <a:ln w="6480">
            <a:solidFill>
              <a:srgbClr val="8B8B8B"/>
            </a:solidFill>
            <a:round/>
          </a:ln>
        </c:spPr>
        <c:txPr>
          <a:bodyPr/>
          <a:lstStyle/>
          <a:p>
            <a:pPr>
              <a:defRPr lang="en-US" cap="none" sz="1000" b="0" u="none" baseline="0">
                <a:solidFill>
                  <a:srgbClr val="000000"/>
                </a:solidFill>
                <a:latin typeface="Calibri"/>
                <a:ea typeface="Calibri"/>
                <a:cs typeface="Calibri"/>
              </a:defRPr>
            </a:pPr>
          </a:p>
        </c:txPr>
        <c:crossAx val="64695059"/>
        <c:crosses val="autoZero"/>
        <c:auto val="1"/>
        <c:lblOffset val="100"/>
        <c:noMultiLvlLbl val="1"/>
      </c:catAx>
      <c:valAx>
        <c:axId val="64695059"/>
        <c:scaling>
          <c:orientation val="minMax"/>
        </c:scaling>
        <c:axPos val="b"/>
        <c:delete val="1"/>
        <c:majorTickMark val="out"/>
        <c:minorTickMark val="none"/>
        <c:tickLblPos val="nextTo"/>
        <c:crossAx val="44471042"/>
        <c:crosses val="autoZero"/>
        <c:crossBetween val="between"/>
        <c:dispUnits/>
      </c:valAx>
      <c:spPr>
        <a:noFill/>
        <a:ln w="6480">
          <a:solidFill>
            <a:srgbClr val="8B8B8B"/>
          </a:solidFill>
          <a:round/>
        </a:ln>
      </c:spPr>
    </c:plotArea>
    <c:floor>
      <c:spPr>
        <a:noFill/>
        <a:ln w="6480">
          <a:solidFill>
            <a:srgbClr val="8B8B8B"/>
          </a:solidFill>
          <a:round/>
        </a:ln>
      </c:spPr>
      <c:thickness val="0"/>
    </c:floor>
    <c:sideWall>
      <c:thickness val="0"/>
    </c:sideWall>
    <c:backWall>
      <c:spPr>
        <a:noFill/>
        <a:ln w="6480">
          <a:solidFill>
            <a:srgbClr val="8B8B8B"/>
          </a:solidFill>
          <a:round/>
        </a:ln>
      </c:spPr>
      <c:thickness val="0"/>
    </c:backWall>
    <c:plotVisOnly val="1"/>
    <c:dispBlanksAs val="gap"/>
    <c:showDLblsOverMax val="0"/>
  </c:chart>
  <c:spPr>
    <a:solidFill>
      <a:srgbClr val="FFFFFF"/>
    </a:solidFill>
    <a:ln>
      <a:solidFill>
        <a:srgbClr val="000000"/>
      </a:solidFill>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anteriores'!$G$43</c:f>
              <c:strCache>
                <c:ptCount val="1"/>
                <c:pt idx="0">
                  <c:v>Cultivo de arroz</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anteriores'!$H$5:$N$5</c:f>
              <c:numCache/>
            </c:numRef>
          </c:cat>
          <c:val>
            <c:numRef>
              <c:f>'Recálculos RAGEI anteriores'!$H$43:$N$43</c:f>
              <c:numCache/>
            </c:numRef>
          </c:val>
        </c:ser>
        <c:axId val="677842"/>
        <c:axId val="6100579"/>
      </c:barChart>
      <c:catAx>
        <c:axId val="67784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100579"/>
        <c:crosses val="autoZero"/>
        <c:auto val="1"/>
        <c:lblOffset val="100"/>
        <c:noMultiLvlLbl val="0"/>
      </c:catAx>
      <c:valAx>
        <c:axId val="6100579"/>
        <c:scaling>
          <c:orientation val="minMax"/>
        </c:scaling>
        <c:axPos val="l"/>
        <c:title>
          <c:tx>
            <c:rich>
              <a:bodyPr vert="horz" rot="-5400000" anchor="ctr"/>
              <a:lstStyle/>
              <a:p>
                <a:pPr algn="ctr">
                  <a:defRPr/>
                </a:pPr>
                <a:r>
                  <a:rPr lang="en-US" cap="none" sz="1000" b="0" i="0" u="none" baseline="0">
                    <a:solidFill>
                      <a:srgbClr val="000000">
                        <a:lumMod val="65000"/>
                        <a:lumOff val="35000"/>
                      </a:srgbClr>
                    </a:solidFill>
                    <a:latin typeface="+mn-lt"/>
                    <a:ea typeface="+mn-cs"/>
                    <a:cs typeface="+mn-cs"/>
                  </a:rPr>
                  <a:t>Emisiones  de Gg CO</a:t>
                </a:r>
                <a:r>
                  <a:rPr lang="en-US" cap="none" sz="1000" b="0" i="0" u="none" baseline="-25000">
                    <a:solidFill>
                      <a:srgbClr val="000000">
                        <a:lumMod val="65000"/>
                        <a:lumOff val="35000"/>
                      </a:srgbClr>
                    </a:solidFill>
                    <a:latin typeface="+mn-lt"/>
                    <a:ea typeface="+mn-cs"/>
                    <a:cs typeface="+mn-cs"/>
                  </a:rPr>
                  <a:t>2</a:t>
                </a:r>
                <a:r>
                  <a:rPr lang="en-US" cap="none" sz="1000" b="0" i="0" u="none" baseline="0">
                    <a:solidFill>
                      <a:srgbClr val="000000">
                        <a:lumMod val="65000"/>
                        <a:lumOff val="35000"/>
                      </a:srgbClr>
                    </a:solidFill>
                    <a:latin typeface="+mn-lt"/>
                    <a:ea typeface="+mn-cs"/>
                    <a:cs typeface="+mn-cs"/>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77842"/>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anteriores'!$G$39</c:f>
              <c:strCache>
                <c:ptCount val="1"/>
                <c:pt idx="0">
                  <c:v>Aplicación de urea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anteriores'!$H$5:$N$5</c:f>
              <c:numCache/>
            </c:numRef>
          </c:cat>
          <c:val>
            <c:numRef>
              <c:f>'Recálculos RAGEI anteriores'!$H$39:$N$39</c:f>
              <c:numCache/>
            </c:numRef>
          </c:val>
        </c:ser>
        <c:axId val="54905212"/>
        <c:axId val="24384861"/>
      </c:barChart>
      <c:catAx>
        <c:axId val="5490521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4384861"/>
        <c:crosses val="autoZero"/>
        <c:auto val="1"/>
        <c:lblOffset val="100"/>
        <c:noMultiLvlLbl val="0"/>
      </c:catAx>
      <c:valAx>
        <c:axId val="24384861"/>
        <c:scaling>
          <c:orientation val="minMax"/>
        </c:scaling>
        <c:axPos val="l"/>
        <c:title>
          <c:tx>
            <c:rich>
              <a:bodyPr vert="horz" rot="-5400000" anchor="ctr"/>
              <a:lstStyle/>
              <a:p>
                <a:pPr algn="ctr">
                  <a:defRPr/>
                </a:pPr>
                <a:r>
                  <a:rPr lang="en-US" cap="none" sz="1000" b="0" i="0" u="none" baseline="0">
                    <a:solidFill>
                      <a:srgbClr val="000000">
                        <a:lumMod val="65000"/>
                        <a:lumOff val="35000"/>
                      </a:srgbClr>
                    </a:solidFill>
                    <a:latin typeface="+mn-lt"/>
                    <a:ea typeface="+mn-cs"/>
                    <a:cs typeface="+mn-cs"/>
                  </a:rPr>
                  <a:t>Emisiones  de Gg CO</a:t>
                </a:r>
                <a:r>
                  <a:rPr lang="en-US" cap="none" sz="1000" b="0" i="0" u="none" baseline="-25000">
                    <a:solidFill>
                      <a:srgbClr val="000000">
                        <a:lumMod val="65000"/>
                        <a:lumOff val="35000"/>
                      </a:srgbClr>
                    </a:solidFill>
                    <a:latin typeface="+mn-lt"/>
                    <a:ea typeface="+mn-cs"/>
                    <a:cs typeface="+mn-cs"/>
                  </a:rPr>
                  <a:t>2</a:t>
                </a:r>
                <a:r>
                  <a:rPr lang="en-US" cap="none" sz="1000" b="0" i="0" u="none" baseline="0">
                    <a:solidFill>
                      <a:srgbClr val="000000">
                        <a:lumMod val="65000"/>
                        <a:lumOff val="35000"/>
                      </a:srgbClr>
                    </a:solidFill>
                    <a:latin typeface="+mn-lt"/>
                    <a:ea typeface="+mn-cs"/>
                    <a:cs typeface="+mn-cs"/>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905212"/>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anteriores'!$G$8</c:f>
              <c:strCache>
                <c:ptCount val="1"/>
                <c:pt idx="0">
                  <c:v>Fermentación entérica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anteriores'!$I$5:$N$5</c:f>
              <c:numCache/>
            </c:numRef>
          </c:cat>
          <c:val>
            <c:numRef>
              <c:f>'Recálculos RAGEI anteriores'!$I$8:$N$8</c:f>
              <c:numCache/>
            </c:numRef>
          </c:val>
        </c:ser>
        <c:axId val="18137158"/>
        <c:axId val="29016695"/>
      </c:barChart>
      <c:catAx>
        <c:axId val="1813715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9016695"/>
        <c:crosses val="autoZero"/>
        <c:auto val="1"/>
        <c:lblOffset val="100"/>
        <c:noMultiLvlLbl val="0"/>
      </c:catAx>
      <c:valAx>
        <c:axId val="29016695"/>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Gg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137158"/>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anteriores'!$G$21</c:f>
              <c:strCache>
                <c:ptCount val="1"/>
                <c:pt idx="0">
                  <c:v>Manejo de estiércol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anteriores'!$I$5:$N$5</c:f>
              <c:numCache/>
            </c:numRef>
          </c:cat>
          <c:val>
            <c:numRef>
              <c:f>'Recálculos RAGEI anteriores'!$I$21:$N$21</c:f>
              <c:numCache/>
            </c:numRef>
          </c:val>
        </c:ser>
        <c:axId val="59823664"/>
        <c:axId val="1542065"/>
      </c:barChart>
      <c:catAx>
        <c:axId val="5982366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42065"/>
        <c:crosses val="autoZero"/>
        <c:auto val="1"/>
        <c:lblOffset val="100"/>
        <c:noMultiLvlLbl val="0"/>
      </c:catAx>
      <c:valAx>
        <c:axId val="1542065"/>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Gg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823664"/>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anteriores'!$G$35</c:f>
              <c:strCache>
                <c:ptCount val="1"/>
                <c:pt idx="0">
                  <c:v>Emisiones por quema de biomasa </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anteriores'!$I$5:$N$5</c:f>
              <c:numCache/>
            </c:numRef>
          </c:cat>
          <c:val>
            <c:numRef>
              <c:f>'Recálculos RAGEI anteriores'!$I$35:$N$35</c:f>
              <c:numCache/>
            </c:numRef>
          </c:val>
        </c:ser>
        <c:axId val="13878586"/>
        <c:axId val="57798411"/>
      </c:barChart>
      <c:catAx>
        <c:axId val="1387858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7798411"/>
        <c:crosses val="autoZero"/>
        <c:auto val="1"/>
        <c:lblOffset val="100"/>
        <c:noMultiLvlLbl val="0"/>
      </c:catAx>
      <c:valAx>
        <c:axId val="57798411"/>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Gg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878586"/>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anteriores'!$G$40</c:f>
              <c:strCache>
                <c:ptCount val="1"/>
                <c:pt idx="0">
                  <c:v>Emisiones directas de N2O de suelos gestionados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anteriores'!$I$5:$N$5</c:f>
              <c:numCache/>
            </c:numRef>
          </c:cat>
          <c:val>
            <c:numRef>
              <c:f>'Recálculos RAGEI anteriores'!$I$40:$N$40</c:f>
              <c:numCache/>
            </c:numRef>
          </c:val>
        </c:ser>
        <c:axId val="50423652"/>
        <c:axId val="51159685"/>
      </c:barChart>
      <c:catAx>
        <c:axId val="5042365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159685"/>
        <c:crosses val="autoZero"/>
        <c:auto val="1"/>
        <c:lblOffset val="100"/>
        <c:noMultiLvlLbl val="0"/>
      </c:catAx>
      <c:valAx>
        <c:axId val="51159685"/>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Gg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423652"/>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anteriores'!$G$42</c:f>
              <c:strCache>
                <c:ptCount val="1"/>
                <c:pt idx="0">
                  <c:v>Emisiones indirectas de N2O por manejo del estiércol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anteriores'!$I$5:$N$5</c:f>
              <c:numCache/>
            </c:numRef>
          </c:cat>
          <c:val>
            <c:numRef>
              <c:f>'Recálculos RAGEI anteriores'!$I$42:$N$42</c:f>
              <c:numCache/>
            </c:numRef>
          </c:val>
        </c:ser>
        <c:axId val="57783982"/>
        <c:axId val="50293791"/>
      </c:barChart>
      <c:catAx>
        <c:axId val="5778398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0293791"/>
        <c:crosses val="autoZero"/>
        <c:auto val="1"/>
        <c:lblOffset val="100"/>
        <c:noMultiLvlLbl val="0"/>
      </c:catAx>
      <c:valAx>
        <c:axId val="50293791"/>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Gg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783982"/>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anteriores'!$G$43</c:f>
              <c:strCache>
                <c:ptCount val="1"/>
                <c:pt idx="0">
                  <c:v>Cultivo de arroz</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anteriores'!$I$5:$N$5</c:f>
              <c:numCache/>
            </c:numRef>
          </c:cat>
          <c:val>
            <c:numRef>
              <c:f>'Recálculos RAGEI anteriores'!$I$43:$N$43</c:f>
              <c:numCache/>
            </c:numRef>
          </c:val>
        </c:ser>
        <c:axId val="49990936"/>
        <c:axId val="47265241"/>
      </c:barChart>
      <c:catAx>
        <c:axId val="4999093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7265241"/>
        <c:crosses val="autoZero"/>
        <c:auto val="1"/>
        <c:lblOffset val="100"/>
        <c:noMultiLvlLbl val="0"/>
      </c:catAx>
      <c:valAx>
        <c:axId val="47265241"/>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Gg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9990936"/>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anteriores'!$G$6</c:f>
              <c:strCache>
                <c:ptCount val="1"/>
                <c:pt idx="0">
                  <c:v>Agricultura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anteriores'!$I$5:$N$5</c:f>
              <c:numCache/>
            </c:numRef>
          </c:cat>
          <c:val>
            <c:numRef>
              <c:f>'Recálculos RAGEI anteriores'!$I$6:$N$6</c:f>
              <c:numCache/>
            </c:numRef>
          </c:val>
        </c:ser>
        <c:axId val="22733986"/>
        <c:axId val="3279283"/>
      </c:barChart>
      <c:catAx>
        <c:axId val="2273398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279283"/>
        <c:crosses val="autoZero"/>
        <c:auto val="1"/>
        <c:lblOffset val="100"/>
        <c:noMultiLvlLbl val="0"/>
      </c:catAx>
      <c:valAx>
        <c:axId val="3279283"/>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Gg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733986"/>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anteriores'!$G$39</c:f>
              <c:strCache>
                <c:ptCount val="1"/>
                <c:pt idx="0">
                  <c:v>Aplicación de urea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anteriores'!$I$5:$N$5</c:f>
              <c:numCache/>
            </c:numRef>
          </c:cat>
          <c:val>
            <c:numRef>
              <c:f>'Recálculos RAGEI anteriores'!$I$39:$N$39</c:f>
              <c:numCache/>
            </c:numRef>
          </c:val>
        </c:ser>
        <c:axId val="29513548"/>
        <c:axId val="64295341"/>
      </c:barChart>
      <c:catAx>
        <c:axId val="2951354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295341"/>
        <c:crosses val="autoZero"/>
        <c:auto val="1"/>
        <c:lblOffset val="100"/>
        <c:noMultiLvlLbl val="0"/>
      </c:catAx>
      <c:valAx>
        <c:axId val="64295341"/>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Gg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513548"/>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30"/>
      <c:rotY val="180"/>
      <c:depthPercent val="100"/>
      <c:rAngAx val="0"/>
      <c:perspective val="30"/>
    </c:view3D>
    <c:plotArea>
      <c:layout>
        <c:manualLayout>
          <c:layoutTarget val="inner"/>
          <c:xMode val="edge"/>
          <c:yMode val="edge"/>
          <c:x val="0.11525"/>
          <c:y val="0.13175"/>
          <c:w val="0.76925"/>
          <c:h val="0.736"/>
        </c:manualLayout>
      </c:layout>
      <c:pie3DChart>
        <c:varyColors val="1"/>
        <c:ser>
          <c:idx val="0"/>
          <c:order val="0"/>
          <c:tx>
            <c:strRef>
              <c:f>'RESULTADOS RAGEI 2016'!$N$42</c:f>
              <c:strCache>
                <c:ptCount val="1"/>
                <c:pt idx="0">
                  <c:v> 1,084.91 </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25400">
                <a:solidFill>
                  <a:schemeClr val="bg1"/>
                </a:solidFill>
              </a:ln>
              <a:sp3d contourW="25400">
                <a:contourClr>
                  <a:schemeClr val="bg1"/>
                </a:contourClr>
              </a:sp3d>
            </c:spPr>
          </c:dPt>
          <c:dPt>
            <c:idx val="1"/>
            <c:spPr>
              <a:solidFill>
                <a:schemeClr val="accent2"/>
              </a:solidFill>
              <a:ln w="25400">
                <a:solidFill>
                  <a:schemeClr val="bg1"/>
                </a:solidFill>
              </a:ln>
              <a:sp3d contourW="25400">
                <a:contourClr>
                  <a:schemeClr val="bg1"/>
                </a:contourClr>
              </a:sp3d>
            </c:spPr>
          </c:dPt>
          <c:dPt>
            <c:idx val="2"/>
            <c:spPr>
              <a:solidFill>
                <a:schemeClr val="accent3"/>
              </a:solidFill>
              <a:ln w="25400">
                <a:solidFill>
                  <a:schemeClr val="bg1"/>
                </a:solidFill>
              </a:ln>
              <a:sp3d contourW="25400">
                <a:contourClr>
                  <a:schemeClr val="bg1"/>
                </a:contourClr>
              </a:sp3d>
            </c:spPr>
          </c:dPt>
          <c:dPt>
            <c:idx val="3"/>
            <c:spPr>
              <a:solidFill>
                <a:schemeClr val="accent4"/>
              </a:solidFill>
              <a:ln w="25400">
                <a:solidFill>
                  <a:schemeClr val="bg1"/>
                </a:solidFill>
              </a:ln>
              <a:sp3d contourW="25400">
                <a:contourClr>
                  <a:schemeClr val="bg1"/>
                </a:contourClr>
              </a:sp3d>
            </c:spPr>
          </c:dPt>
          <c:dPt>
            <c:idx val="4"/>
            <c:spPr>
              <a:solidFill>
                <a:schemeClr val="accent5"/>
              </a:solidFill>
              <a:ln w="25400">
                <a:solidFill>
                  <a:schemeClr val="bg1"/>
                </a:solidFill>
              </a:ln>
              <a:sp3d contourW="25400">
                <a:contourClr>
                  <a:schemeClr val="bg1"/>
                </a:contourClr>
              </a:sp3d>
            </c:spPr>
          </c:dPt>
          <c:dPt>
            <c:idx val="5"/>
            <c:spPr>
              <a:solidFill>
                <a:schemeClr val="accent6"/>
              </a:solidFill>
              <a:ln w="25400">
                <a:solidFill>
                  <a:schemeClr val="bg1"/>
                </a:solidFill>
              </a:ln>
              <a:sp3d contourW="25400">
                <a:contourClr>
                  <a:schemeClr val="bg1"/>
                </a:contourClr>
              </a:sp3d>
            </c:spPr>
          </c:dPt>
          <c:dPt>
            <c:idx val="6"/>
            <c:spPr>
              <a:solidFill>
                <a:schemeClr val="accent1">
                  <a:lumMod val="60000"/>
                </a:schemeClr>
              </a:solidFill>
              <a:ln w="25400">
                <a:solidFill>
                  <a:schemeClr val="bg1"/>
                </a:solidFill>
              </a:ln>
              <a:sp3d contourW="25400">
                <a:contourClr>
                  <a:schemeClr val="bg1"/>
                </a:contourClr>
              </a:sp3d>
            </c:spPr>
          </c:dPt>
          <c:dPt>
            <c:idx val="7"/>
            <c:spPr>
              <a:solidFill>
                <a:schemeClr val="accent2">
                  <a:lumMod val="60000"/>
                </a:schemeClr>
              </a:solidFill>
              <a:ln w="25400">
                <a:solidFill>
                  <a:schemeClr val="bg1"/>
                </a:solidFill>
              </a:ln>
              <a:sp3d contourW="25400">
                <a:contourClr>
                  <a:schemeClr val="bg1"/>
                </a:contourClr>
              </a:sp3d>
            </c:spPr>
          </c:dPt>
          <c:dLbls>
            <c:dLbl>
              <c:idx val="5"/>
              <c:layout>
                <c:manualLayout>
                  <c:x val="0.008"/>
                  <c:y val="-0.03"/>
                </c:manualLayout>
              </c:layout>
              <c:dLblPos val="bestFit"/>
              <c:showLegendKey val="0"/>
              <c:showVal val="0"/>
              <c:showBubbleSize val="0"/>
              <c:showCatName val="0"/>
              <c:showSerName val="0"/>
              <c:showPercent val="1"/>
            </c:dLbl>
            <c:numFmt formatCode="0.00%" sourceLinked="0"/>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('RESULTADOS RAGEI 2016'!$G$7,'RESULTADOS RAGEI 2016'!$G$20,'RESULTADOS RAGEI 2016'!$G$34,'RESULTADOS RAGEI 2016'!$G$38,'RESULTADOS RAGEI 2016'!$G$39,'RESULTADOS RAGEI 2016'!$G$40,'RESULTADOS RAGEI 2016'!$G$41,'RESULTADOS RAGEI 2016'!$G$42)</c:f>
              <c:strCache/>
            </c:strRef>
          </c:cat>
          <c:val>
            <c:numRef>
              <c:f>('RESULTADOS RAGEI 2016'!$N$7,'RESULTADOS RAGEI 2016'!$N$20,'RESULTADOS RAGEI 2016'!$N$34,'RESULTADOS RAGEI 2016'!$N$38,'RESULTADOS RAGEI 2016'!$N$39,'RESULTADOS RAGEI 2016'!$N$40,'RESULTADOS RAGEI 2016'!$N$41,'RESULTADOS RAGEI 2016'!$N$42)</c:f>
              <c:numCache/>
            </c:numRef>
          </c:val>
        </c:ser>
      </c:pie3D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anteriores'!$G$6</c:f>
              <c:strCache>
                <c:ptCount val="1"/>
                <c:pt idx="0">
                  <c:v>Agricultura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anteriores'!$H$5:$N$5</c:f>
              <c:numCache/>
            </c:numRef>
          </c:cat>
          <c:val>
            <c:numRef>
              <c:f>'Recálculos RAGEI anteriores'!$H$6:$N$6</c:f>
              <c:numCache/>
            </c:numRef>
          </c:val>
        </c:ser>
        <c:axId val="41787158"/>
        <c:axId val="40540103"/>
      </c:barChart>
      <c:catAx>
        <c:axId val="4178715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0540103"/>
        <c:crosses val="autoZero"/>
        <c:auto val="1"/>
        <c:lblOffset val="100"/>
        <c:noMultiLvlLbl val="0"/>
      </c:catAx>
      <c:valAx>
        <c:axId val="40540103"/>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Gg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1787158"/>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anteriores'!$G$41</c:f>
              <c:strCache>
                <c:ptCount val="1"/>
                <c:pt idx="0">
                  <c:v>Emisiones indirectas de N2O de suelos gestionados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anteriores'!$I$5:$N$5</c:f>
              <c:numCache/>
            </c:numRef>
          </c:cat>
          <c:val>
            <c:numRef>
              <c:f>'Recálculos RAGEI anteriores'!$I$41:$N$41</c:f>
              <c:numCache/>
            </c:numRef>
          </c:val>
        </c:ser>
        <c:axId val="29316608"/>
        <c:axId val="62522881"/>
      </c:barChart>
      <c:catAx>
        <c:axId val="2931660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2522881"/>
        <c:crosses val="autoZero"/>
        <c:auto val="1"/>
        <c:lblOffset val="100"/>
        <c:noMultiLvlLbl val="0"/>
      </c:catAx>
      <c:valAx>
        <c:axId val="62522881"/>
        <c:scaling>
          <c:orientation val="minMax"/>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Emisiones  de Gg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316608"/>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stacked"/>
        <c:varyColors val="0"/>
        <c:ser>
          <c:idx val="0"/>
          <c:order val="0"/>
          <c:tx>
            <c:strRef>
              <c:f>'Serie Temporal'!$AA$6</c:f>
              <c:strCache>
                <c:ptCount val="1"/>
                <c:pt idx="0">
                  <c:v>Fermentación entérica</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Temporal'!$AC$4:$AN$5</c:f>
              <c:multiLvlStrCache/>
            </c:multiLvlStrRef>
          </c:cat>
          <c:val>
            <c:numRef>
              <c:f>'Serie Temporal'!$AC$6:$AN$6</c:f>
              <c:numCache/>
            </c:numRef>
          </c:val>
        </c:ser>
        <c:ser>
          <c:idx val="1"/>
          <c:order val="1"/>
          <c:tx>
            <c:strRef>
              <c:f>'Serie Temporal'!$AA$7</c:f>
              <c:strCache>
                <c:ptCount val="1"/>
                <c:pt idx="0">
                  <c:v>Manejo del estiércol</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Temporal'!$AC$4:$AN$5</c:f>
              <c:multiLvlStrCache/>
            </c:multiLvlStrRef>
          </c:cat>
          <c:val>
            <c:numRef>
              <c:f>'Serie Temporal'!$AC$7:$AN$7</c:f>
              <c:numCache/>
            </c:numRef>
          </c:val>
        </c:ser>
        <c:ser>
          <c:idx val="2"/>
          <c:order val="2"/>
          <c:tx>
            <c:strRef>
              <c:f>'Serie Temporal'!$AA$8</c:f>
              <c:strCache>
                <c:ptCount val="1"/>
                <c:pt idx="0">
                  <c:v>Emisiones por quemado de biomasa </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Temporal'!$AC$4:$AN$5</c:f>
              <c:multiLvlStrCache/>
            </c:multiLvlStrRef>
          </c:cat>
          <c:val>
            <c:numRef>
              <c:f>'Serie Temporal'!$AC$8:$AN$8</c:f>
              <c:numCache/>
            </c:numRef>
          </c:val>
        </c:ser>
        <c:ser>
          <c:idx val="3"/>
          <c:order val="3"/>
          <c:tx>
            <c:strRef>
              <c:f>'Serie Temporal'!$AA$9</c:f>
              <c:strCache>
                <c:ptCount val="1"/>
                <c:pt idx="0">
                  <c:v>Aplicación de urea</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Temporal'!$AC$4:$AN$5</c:f>
              <c:multiLvlStrCache/>
            </c:multiLvlStrRef>
          </c:cat>
          <c:val>
            <c:numRef>
              <c:f>'Serie Temporal'!$AC$9:$AN$9</c:f>
              <c:numCache/>
            </c:numRef>
          </c:val>
        </c:ser>
        <c:ser>
          <c:idx val="4"/>
          <c:order val="4"/>
          <c:tx>
            <c:strRef>
              <c:f>'Serie Temporal'!$AA$10</c:f>
              <c:strCache>
                <c:ptCount val="1"/>
                <c:pt idx="0">
                  <c:v>Emisiones directas de N2O de suelos gestionados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Temporal'!$AC$4:$AN$5</c:f>
              <c:multiLvlStrCache/>
            </c:multiLvlStrRef>
          </c:cat>
          <c:val>
            <c:numRef>
              <c:f>'Serie Temporal'!$AC$10:$AN$10</c:f>
              <c:numCache/>
            </c:numRef>
          </c:val>
        </c:ser>
        <c:ser>
          <c:idx val="5"/>
          <c:order val="5"/>
          <c:tx>
            <c:strRef>
              <c:f>'Serie Temporal'!$AA$11</c:f>
              <c:strCache>
                <c:ptCount val="1"/>
                <c:pt idx="0">
                  <c:v>Emisiones indirectas de N2O de suelos gestionados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Temporal'!$AC$4:$AN$5</c:f>
              <c:multiLvlStrCache/>
            </c:multiLvlStrRef>
          </c:cat>
          <c:val>
            <c:numRef>
              <c:f>'Serie Temporal'!$AC$11:$AN$11</c:f>
              <c:numCache/>
            </c:numRef>
          </c:val>
        </c:ser>
        <c:ser>
          <c:idx val="6"/>
          <c:order val="6"/>
          <c:tx>
            <c:strRef>
              <c:f>'Serie Temporal'!$AA$12</c:f>
              <c:strCache>
                <c:ptCount val="1"/>
                <c:pt idx="0">
                  <c:v>Emisiones indirectas de N2O por manejo del estiércol</c:v>
                </c:pt>
              </c:strCache>
            </c:strRef>
          </c:tx>
          <c:spPr>
            <a:solidFill>
              <a:schemeClr val="accent2">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Temporal'!$AC$4:$AN$5</c:f>
              <c:multiLvlStrCache/>
            </c:multiLvlStrRef>
          </c:cat>
          <c:val>
            <c:numRef>
              <c:f>'Serie Temporal'!$AC$12:$AN$12</c:f>
              <c:numCache/>
            </c:numRef>
          </c:val>
        </c:ser>
        <c:ser>
          <c:idx val="7"/>
          <c:order val="7"/>
          <c:tx>
            <c:strRef>
              <c:f>'Serie Temporal'!$AA$13</c:f>
              <c:strCache>
                <c:ptCount val="1"/>
                <c:pt idx="0">
                  <c:v>Cultivos de arroz</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Temporal'!$AC$4:$AN$5</c:f>
              <c:multiLvlStrCache/>
            </c:multiLvlStrRef>
          </c:cat>
          <c:val>
            <c:numRef>
              <c:f>'Serie Temporal'!$AC$13:$AN$13</c:f>
              <c:numCache/>
            </c:numRef>
          </c:val>
        </c:ser>
        <c:overlap val="100"/>
        <c:gapWidth val="95"/>
        <c:axId val="25835018"/>
        <c:axId val="31188571"/>
      </c:barChart>
      <c:catAx>
        <c:axId val="2583501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188571"/>
        <c:crosses val="autoZero"/>
        <c:auto val="1"/>
        <c:lblOffset val="100"/>
        <c:noMultiLvlLbl val="0"/>
      </c:catAx>
      <c:valAx>
        <c:axId val="31188571"/>
        <c:scaling>
          <c:orientation val="minMax"/>
        </c:scaling>
        <c:axPos val="l"/>
        <c:title>
          <c:tx>
            <c:rich>
              <a:bodyPr vert="horz" rot="-5400000" anchor="ctr"/>
              <a:lstStyle/>
              <a:p>
                <a:pPr algn="ctr">
                  <a:defRPr/>
                </a:pPr>
                <a:r>
                  <a:rPr lang="en-US" cap="none" sz="1200" b="0" i="0" u="none" baseline="0">
                    <a:latin typeface="Calibri"/>
                    <a:ea typeface="Calibri"/>
                    <a:cs typeface="Calibri"/>
                  </a:rPr>
                  <a:t>Emisiones  de Gg CO</a:t>
                </a:r>
                <a:r>
                  <a:rPr lang="en-US" cap="none" sz="1200" b="0" i="0" u="none" baseline="-25000">
                    <a:latin typeface="Calibri"/>
                    <a:ea typeface="Calibri"/>
                    <a:cs typeface="Calibri"/>
                  </a:rPr>
                  <a:t>2</a:t>
                </a:r>
                <a:r>
                  <a:rPr lang="en-US" cap="none" sz="1200" b="0" i="0" u="none" baseline="0">
                    <a:latin typeface="Calibri"/>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5835018"/>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stacked"/>
        <c:varyColors val="0"/>
        <c:ser>
          <c:idx val="0"/>
          <c:order val="0"/>
          <c:tx>
            <c:strRef>
              <c:f>'Serie Temporal'!$AA$28</c:f>
              <c:strCache>
                <c:ptCount val="1"/>
                <c:pt idx="0">
                  <c:v>Fermentación entérica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Temporal'!$AC$26:$AM$27</c:f>
              <c:multiLvlStrCache/>
            </c:multiLvlStrRef>
          </c:cat>
          <c:val>
            <c:numRef>
              <c:f>'Serie Temporal'!$AC$28:$AM$28</c:f>
              <c:numCache/>
            </c:numRef>
          </c:val>
        </c:ser>
        <c:ser>
          <c:idx val="1"/>
          <c:order val="1"/>
          <c:tx>
            <c:strRef>
              <c:f>'Serie Temporal'!$AA$29</c:f>
              <c:strCache>
                <c:ptCount val="1"/>
                <c:pt idx="0">
                  <c:v>Manejo del estiércol</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Temporal'!$AC$26:$AM$27</c:f>
              <c:multiLvlStrCache/>
            </c:multiLvlStrRef>
          </c:cat>
          <c:val>
            <c:numRef>
              <c:f>'Serie Temporal'!$AC$29:$AM$29</c:f>
              <c:numCache/>
            </c:numRef>
          </c:val>
        </c:ser>
        <c:ser>
          <c:idx val="2"/>
          <c:order val="2"/>
          <c:tx>
            <c:strRef>
              <c:f>'Serie Temporal'!$AA$30</c:f>
              <c:strCache>
                <c:ptCount val="1"/>
                <c:pt idx="0">
                  <c:v>Emisiones por quemado de biomasa </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Temporal'!$AC$26:$AM$27</c:f>
              <c:multiLvlStrCache/>
            </c:multiLvlStrRef>
          </c:cat>
          <c:val>
            <c:numRef>
              <c:f>'Serie Temporal'!$AC$30:$AM$30</c:f>
              <c:numCache/>
            </c:numRef>
          </c:val>
        </c:ser>
        <c:ser>
          <c:idx val="3"/>
          <c:order val="3"/>
          <c:tx>
            <c:strRef>
              <c:f>'Serie Temporal'!$AA$31</c:f>
              <c:strCache>
                <c:ptCount val="1"/>
                <c:pt idx="0">
                  <c:v>Aplicación de urea</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Temporal'!$AC$26:$AM$27</c:f>
              <c:multiLvlStrCache/>
            </c:multiLvlStrRef>
          </c:cat>
          <c:val>
            <c:numRef>
              <c:f>'Serie Temporal'!$AC$31:$AM$31</c:f>
              <c:numCache/>
            </c:numRef>
          </c:val>
        </c:ser>
        <c:ser>
          <c:idx val="4"/>
          <c:order val="4"/>
          <c:tx>
            <c:strRef>
              <c:f>'Serie Temporal'!$AA$32</c:f>
              <c:strCache>
                <c:ptCount val="1"/>
                <c:pt idx="0">
                  <c:v>Emisiones directas de N2O de suelos gestionados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Temporal'!$AC$26:$AM$27</c:f>
              <c:multiLvlStrCache/>
            </c:multiLvlStrRef>
          </c:cat>
          <c:val>
            <c:numRef>
              <c:f>'Serie Temporal'!$AC$32:$AM$32</c:f>
              <c:numCache/>
            </c:numRef>
          </c:val>
        </c:ser>
        <c:ser>
          <c:idx val="5"/>
          <c:order val="5"/>
          <c:tx>
            <c:strRef>
              <c:f>'Serie Temporal'!$AA$33</c:f>
              <c:strCache>
                <c:ptCount val="1"/>
                <c:pt idx="0">
                  <c:v>Emisiones indirectas de N2O de suelos gestionados</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Temporal'!$AC$26:$AM$27</c:f>
              <c:multiLvlStrCache/>
            </c:multiLvlStrRef>
          </c:cat>
          <c:val>
            <c:numRef>
              <c:f>'Serie Temporal'!$AC$33:$AM$33</c:f>
              <c:numCache/>
            </c:numRef>
          </c:val>
        </c:ser>
        <c:ser>
          <c:idx val="6"/>
          <c:order val="6"/>
          <c:tx>
            <c:strRef>
              <c:f>'Serie Temporal'!$AA$34</c:f>
              <c:strCache>
                <c:ptCount val="1"/>
                <c:pt idx="0">
                  <c:v>Emisiones indirectas de N2O por manejo del estiércol</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Temporal'!$AC$26:$AM$27</c:f>
              <c:multiLvlStrCache/>
            </c:multiLvlStrRef>
          </c:cat>
          <c:val>
            <c:numRef>
              <c:f>'Serie Temporal'!$AC$34:$AM$34</c:f>
              <c:numCache/>
            </c:numRef>
          </c:val>
        </c:ser>
        <c:ser>
          <c:idx val="7"/>
          <c:order val="7"/>
          <c:tx>
            <c:strRef>
              <c:f>'Serie Temporal'!$AA$35</c:f>
              <c:strCache>
                <c:ptCount val="1"/>
                <c:pt idx="0">
                  <c:v>Cultivos de arroz</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'Serie Temporal'!$AC$26:$AM$27</c:f>
              <c:multiLvlStrCache/>
            </c:multiLvlStrRef>
          </c:cat>
          <c:val>
            <c:numRef>
              <c:f>'Serie Temporal'!$AC$35:$AM$35</c:f>
              <c:numCache/>
            </c:numRef>
          </c:val>
        </c:ser>
        <c:overlap val="100"/>
        <c:gapWidth val="95"/>
        <c:axId val="12261684"/>
        <c:axId val="43246293"/>
      </c:barChart>
      <c:catAx>
        <c:axId val="1226168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246293"/>
        <c:crosses val="autoZero"/>
        <c:auto val="1"/>
        <c:lblOffset val="100"/>
        <c:noMultiLvlLbl val="0"/>
      </c:catAx>
      <c:valAx>
        <c:axId val="43246293"/>
        <c:scaling>
          <c:orientation val="minMax"/>
        </c:scaling>
        <c:axPos val="l"/>
        <c:title>
          <c:tx>
            <c:rich>
              <a:bodyPr vert="horz" rot="-5400000" anchor="ctr"/>
              <a:lstStyle/>
              <a:p>
                <a:pPr algn="ctr">
                  <a:defRPr/>
                </a:pPr>
                <a:r>
                  <a:rPr lang="en-US" cap="none" sz="1200" b="0" i="0" u="none" baseline="0">
                    <a:latin typeface="Calibri"/>
                    <a:ea typeface="Calibri"/>
                    <a:cs typeface="Calibri"/>
                  </a:rPr>
                  <a:t>Emisiones  de Gg CO</a:t>
                </a:r>
                <a:r>
                  <a:rPr lang="en-US" cap="none" sz="1200" b="0" i="0" u="none" baseline="-25000">
                    <a:latin typeface="Calibri"/>
                    <a:ea typeface="Calibri"/>
                    <a:cs typeface="Calibri"/>
                  </a:rPr>
                  <a:t>2</a:t>
                </a:r>
                <a:r>
                  <a:rPr lang="en-US" cap="none" sz="1200" b="0" i="0" u="none" baseline="0">
                    <a:latin typeface="Calibri"/>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2261684"/>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1"/>
          <c:order val="0"/>
          <c:tx>
            <c:strRef>
              <c:f>'Comparación GL1996 vs GL2006'!$D$6</c:f>
              <c:strCache>
                <c:ptCount val="1"/>
                <c:pt idx="0">
                  <c:v>GL 2006</c:v>
                </c:pt>
              </c:strCache>
            </c:strRef>
          </c:tx>
          <c:spPr>
            <a:ln w="28575" cap="rnd">
              <a:solidFill>
                <a:srgbClr val="336699"/>
              </a:solidFill>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99"/>
              </a:solidFill>
              <a:ln w="9525">
                <a:solidFill>
                  <a:srgbClr val="336699"/>
                </a:solidFill>
              </a:ln>
            </c:spPr>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numRef>
              <c:f>'Comparación GL1996 vs GL2006'!$E$5:$K$5</c:f>
              <c:numCache/>
            </c:numRef>
          </c:cat>
          <c:val>
            <c:numRef>
              <c:f>'Comparación GL1996 vs GL2006'!$E$6:$K$6</c:f>
              <c:numCache/>
            </c:numRef>
          </c:val>
          <c:smooth val="0"/>
        </c:ser>
        <c:ser>
          <c:idx val="2"/>
          <c:order val="1"/>
          <c:tx>
            <c:strRef>
              <c:f>'Comparación GL1996 vs GL2006'!$D$7</c:f>
              <c:strCache>
                <c:ptCount val="1"/>
                <c:pt idx="0">
                  <c:v>GL 1996</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3"/>
              </a:solidFill>
              <a:ln w="9525">
                <a:solidFill>
                  <a:schemeClr val="accent3"/>
                </a:solidFill>
              </a:ln>
            </c:spPr>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b"/>
            <c:showLegendKey val="0"/>
            <c:showVal val="1"/>
            <c:showBubbleSize val="0"/>
            <c:showCatName val="0"/>
            <c:showSerName val="0"/>
            <c:showLeaderLines val="1"/>
            <c:showPercent val="0"/>
          </c:dLbls>
          <c:cat>
            <c:numRef>
              <c:f>'Comparación GL1996 vs GL2006'!$E$5:$K$5</c:f>
              <c:numCache/>
            </c:numRef>
          </c:cat>
          <c:val>
            <c:numRef>
              <c:f>'Comparación GL1996 vs GL2006'!$E$7:$K$7</c:f>
              <c:numCache/>
            </c:numRef>
          </c:val>
          <c:smooth val="0"/>
        </c:ser>
        <c:marker val="1"/>
        <c:axId val="53672318"/>
        <c:axId val="13288815"/>
      </c:lineChart>
      <c:catAx>
        <c:axId val="5367231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288815"/>
        <c:crosses val="autoZero"/>
        <c:auto val="1"/>
        <c:lblOffset val="100"/>
        <c:noMultiLvlLbl val="0"/>
      </c:catAx>
      <c:valAx>
        <c:axId val="1328881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Gg CO</a:t>
                </a:r>
                <a:r>
                  <a:rPr lang="en-US" cap="none" sz="1000" b="0" i="0" u="none" baseline="-25000">
                    <a:latin typeface="Calibri"/>
                    <a:ea typeface="Calibri"/>
                    <a:cs typeface="Calibri"/>
                  </a:rPr>
                  <a:t>2</a:t>
                </a:r>
                <a:r>
                  <a:rPr lang="en-US" cap="none" sz="1000" b="0" i="0" u="none" baseline="0">
                    <a:solidFill>
                      <a:schemeClr val="tx1">
                        <a:lumMod val="65000"/>
                        <a:lumOff val="35000"/>
                      </a:schemeClr>
                    </a:solidFill>
                    <a:latin typeface="+mn-lt"/>
                    <a:ea typeface="Calibri"/>
                    <a:cs typeface="Calibri"/>
                  </a:rPr>
                  <a:t>eq</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67231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275"/>
          <c:y val="0.08075"/>
          <c:w val="0.95775"/>
          <c:h val="0.76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('RESULTADOS RAGEI 2016'!$G$7,'RESULTADOS RAGEI 2016'!$G$20,'RESULTADOS RAGEI 2016'!$G$34,'RESULTADOS RAGEI 2016'!$G$37:$G$42)</c:f>
              <c:strCache/>
            </c:strRef>
          </c:cat>
          <c:val>
            <c:numRef>
              <c:f>('RESULTADOS RAGEI 2016'!$N$7,'RESULTADOS RAGEI 2016'!$N$20,'RESULTADOS RAGEI 2016'!$N$34,'RESULTADOS RAGEI 2016'!$N$37:$N$42)</c:f>
              <c:numCache/>
            </c:numRef>
          </c:val>
        </c:ser>
        <c:axId val="45384620"/>
        <c:axId val="5808397"/>
      </c:barChart>
      <c:catAx>
        <c:axId val="45384620"/>
        <c:scaling>
          <c:orientation val="minMax"/>
        </c:scaling>
        <c:axPos val="b"/>
        <c:delete val="0"/>
        <c:numFmt formatCode="General" sourceLinked="1"/>
        <c:majorTickMark val="out"/>
        <c:minorTickMark val="none"/>
        <c:tickLblPos val="nextTo"/>
        <c:spPr>
          <a:ln w="6480">
            <a:solidFill>
              <a:srgbClr val="8B8B8B"/>
            </a:solidFill>
            <a:round/>
          </a:ln>
        </c:spPr>
        <c:txPr>
          <a:bodyPr/>
          <a:lstStyle/>
          <a:p>
            <a:pPr>
              <a:defRPr lang="en-US" cap="none" sz="900" b="0" u="none" baseline="0">
                <a:solidFill>
                  <a:srgbClr val="000000"/>
                </a:solidFill>
                <a:latin typeface="Arial"/>
                <a:ea typeface="Arial"/>
                <a:cs typeface="Arial"/>
              </a:defRPr>
            </a:pPr>
          </a:p>
        </c:txPr>
        <c:crossAx val="5808397"/>
        <c:crosses val="autoZero"/>
        <c:auto val="1"/>
        <c:lblOffset val="100"/>
        <c:noMultiLvlLbl val="1"/>
      </c:catAx>
      <c:valAx>
        <c:axId val="5808397"/>
        <c:scaling>
          <c:orientation val="minMax"/>
        </c:scaling>
        <c:axPos val="l"/>
        <c:delete val="1"/>
        <c:majorTickMark val="out"/>
        <c:minorTickMark val="none"/>
        <c:tickLblPos val="nextTo"/>
        <c:crossAx val="45384620"/>
        <c:crosses val="autoZero"/>
        <c:crossBetween val="between"/>
        <c:dispUnits/>
      </c:valAx>
      <c:spPr>
        <a:solidFill>
          <a:srgbClr val="FFFFFF"/>
        </a:solidFill>
        <a:ln>
          <a:noFill/>
        </a:ln>
      </c:spPr>
    </c:plotArea>
    <c:plotVisOnly val="1"/>
    <c:dispBlanksAs val="gap"/>
    <c:showDLblsOverMax val="0"/>
  </c:chart>
  <c:spPr>
    <a:solidFill>
      <a:srgbClr val="FFFFFF"/>
    </a:solidFill>
    <a:ln>
      <a:noFill/>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anteriores'!$G$40</c:f>
              <c:strCache>
                <c:ptCount val="1"/>
                <c:pt idx="0">
                  <c:v>Emisiones directas de N2O de suelos gestionados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anteriores'!$H$5:$N$5</c:f>
              <c:numCache/>
            </c:numRef>
          </c:cat>
          <c:val>
            <c:numRef>
              <c:f>'Recálculos RAGEI anteriores'!$H$40:$N$40</c:f>
              <c:numCache/>
            </c:numRef>
          </c:val>
        </c:ser>
        <c:axId val="52275574"/>
        <c:axId val="718119"/>
      </c:barChart>
      <c:catAx>
        <c:axId val="5227557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718119"/>
        <c:crosses val="autoZero"/>
        <c:auto val="1"/>
        <c:lblOffset val="100"/>
        <c:noMultiLvlLbl val="0"/>
      </c:catAx>
      <c:valAx>
        <c:axId val="718119"/>
        <c:scaling>
          <c:orientation val="minMax"/>
        </c:scaling>
        <c:axPos val="l"/>
        <c:title>
          <c:tx>
            <c:rich>
              <a:bodyPr vert="horz" rot="-5400000" anchor="ctr"/>
              <a:lstStyle/>
              <a:p>
                <a:pPr algn="ctr">
                  <a:defRPr/>
                </a:pPr>
                <a:r>
                  <a:rPr lang="en-US" cap="none" sz="1000" b="0" i="0" u="none" baseline="0">
                    <a:solidFill>
                      <a:srgbClr val="000000">
                        <a:lumMod val="65000"/>
                        <a:lumOff val="35000"/>
                      </a:srgbClr>
                    </a:solidFill>
                    <a:latin typeface="+mn-lt"/>
                    <a:ea typeface="+mn-cs"/>
                    <a:cs typeface="+mn-cs"/>
                  </a:rPr>
                  <a:t>Emisiones  de Gg CO</a:t>
                </a:r>
                <a:r>
                  <a:rPr lang="en-US" cap="none" sz="1000" b="0" i="0" u="none" baseline="-25000">
                    <a:solidFill>
                      <a:srgbClr val="000000">
                        <a:lumMod val="65000"/>
                        <a:lumOff val="35000"/>
                      </a:srgbClr>
                    </a:solidFill>
                    <a:latin typeface="+mn-lt"/>
                    <a:ea typeface="+mn-cs"/>
                    <a:cs typeface="+mn-cs"/>
                  </a:rPr>
                  <a:t>2</a:t>
                </a:r>
                <a:r>
                  <a:rPr lang="en-US" cap="none" sz="1000" b="0" i="0" u="none" baseline="0">
                    <a:solidFill>
                      <a:srgbClr val="000000">
                        <a:lumMod val="65000"/>
                        <a:lumOff val="35000"/>
                      </a:srgbClr>
                    </a:solidFill>
                    <a:latin typeface="+mn-lt"/>
                    <a:ea typeface="+mn-cs"/>
                    <a:cs typeface="+mn-cs"/>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2275574"/>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anteriores'!$G$8</c:f>
              <c:strCache>
                <c:ptCount val="1"/>
                <c:pt idx="0">
                  <c:v>Fermentación entérica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anteriores'!$H$5:$N$5</c:f>
              <c:numCache/>
            </c:numRef>
          </c:cat>
          <c:val>
            <c:numRef>
              <c:f>'Recálculos RAGEI anteriores'!$H$8:$N$8</c:f>
              <c:numCache/>
            </c:numRef>
          </c:val>
        </c:ser>
        <c:axId val="6463072"/>
        <c:axId val="58167649"/>
      </c:barChart>
      <c:catAx>
        <c:axId val="646307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8167649"/>
        <c:crosses val="autoZero"/>
        <c:auto val="1"/>
        <c:lblOffset val="100"/>
        <c:noMultiLvlLbl val="0"/>
      </c:catAx>
      <c:valAx>
        <c:axId val="58167649"/>
        <c:scaling>
          <c:orientation val="minMax"/>
        </c:scaling>
        <c:axPos val="l"/>
        <c:title>
          <c:tx>
            <c:rich>
              <a:bodyPr vert="horz" rot="-5400000" anchor="ctr"/>
              <a:lstStyle/>
              <a:p>
                <a:pPr algn="ctr">
                  <a:defRPr/>
                </a:pPr>
                <a:r>
                  <a:rPr lang="en-US" cap="none" sz="1000" b="0" i="0" u="none" baseline="0">
                    <a:solidFill>
                      <a:srgbClr val="000000">
                        <a:lumMod val="65000"/>
                        <a:lumOff val="35000"/>
                      </a:srgbClr>
                    </a:solidFill>
                    <a:latin typeface="+mn-lt"/>
                    <a:ea typeface="+mn-cs"/>
                    <a:cs typeface="+mn-cs"/>
                  </a:rPr>
                  <a:t>Emisiones  de Gg CO</a:t>
                </a:r>
                <a:r>
                  <a:rPr lang="en-US" cap="none" sz="1000" b="0" i="0" u="none" baseline="-25000">
                    <a:solidFill>
                      <a:srgbClr val="000000">
                        <a:lumMod val="65000"/>
                        <a:lumOff val="35000"/>
                      </a:srgbClr>
                    </a:solidFill>
                    <a:latin typeface="+mn-lt"/>
                    <a:ea typeface="+mn-cs"/>
                    <a:cs typeface="+mn-cs"/>
                  </a:rPr>
                  <a:t>2</a:t>
                </a:r>
                <a:r>
                  <a:rPr lang="en-US" cap="none" sz="1000" b="0" i="0" u="none" baseline="0">
                    <a:solidFill>
                      <a:srgbClr val="000000">
                        <a:lumMod val="65000"/>
                        <a:lumOff val="35000"/>
                      </a:srgbClr>
                    </a:solidFill>
                    <a:latin typeface="+mn-lt"/>
                    <a:ea typeface="+mn-cs"/>
                    <a:cs typeface="+mn-cs"/>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63072"/>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anteriores'!$G$21</c:f>
              <c:strCache>
                <c:ptCount val="1"/>
                <c:pt idx="0">
                  <c:v>Manejo de estiércol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anteriores'!$H$5:$N$5</c:f>
              <c:numCache/>
            </c:numRef>
          </c:cat>
          <c:val>
            <c:numRef>
              <c:f>'Recálculos RAGEI anteriores'!$H$21:$N$21</c:f>
              <c:numCache/>
            </c:numRef>
          </c:val>
        </c:ser>
        <c:axId val="53746794"/>
        <c:axId val="13959099"/>
      </c:barChart>
      <c:catAx>
        <c:axId val="5374679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959099"/>
        <c:crosses val="autoZero"/>
        <c:auto val="1"/>
        <c:lblOffset val="100"/>
        <c:noMultiLvlLbl val="0"/>
      </c:catAx>
      <c:valAx>
        <c:axId val="13959099"/>
        <c:scaling>
          <c:orientation val="minMax"/>
        </c:scaling>
        <c:axPos val="l"/>
        <c:title>
          <c:tx>
            <c:rich>
              <a:bodyPr vert="horz" rot="-5400000" anchor="ctr"/>
              <a:lstStyle/>
              <a:p>
                <a:pPr algn="ctr">
                  <a:defRPr/>
                </a:pPr>
                <a:r>
                  <a:rPr lang="en-US" cap="none" sz="1000" b="0" i="0" u="none" baseline="0">
                    <a:solidFill>
                      <a:srgbClr val="000000">
                        <a:lumMod val="65000"/>
                        <a:lumOff val="35000"/>
                      </a:srgbClr>
                    </a:solidFill>
                    <a:latin typeface="+mn-lt"/>
                    <a:ea typeface="+mn-cs"/>
                    <a:cs typeface="+mn-cs"/>
                  </a:rPr>
                  <a:t>Emisiones  de Gg CO</a:t>
                </a:r>
                <a:r>
                  <a:rPr lang="en-US" cap="none" sz="1000" b="0" i="0" u="none" baseline="-25000">
                    <a:solidFill>
                      <a:srgbClr val="000000">
                        <a:lumMod val="65000"/>
                        <a:lumOff val="35000"/>
                      </a:srgbClr>
                    </a:solidFill>
                    <a:latin typeface="+mn-lt"/>
                    <a:ea typeface="+mn-cs"/>
                    <a:cs typeface="+mn-cs"/>
                  </a:rPr>
                  <a:t>2</a:t>
                </a:r>
                <a:r>
                  <a:rPr lang="en-US" cap="none" sz="1000" b="0" i="0" u="none" baseline="0">
                    <a:solidFill>
                      <a:srgbClr val="000000">
                        <a:lumMod val="65000"/>
                        <a:lumOff val="35000"/>
                      </a:srgbClr>
                    </a:solidFill>
                    <a:latin typeface="+mn-lt"/>
                    <a:ea typeface="+mn-cs"/>
                    <a:cs typeface="+mn-cs"/>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746794"/>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anteriores'!$G$41</c:f>
              <c:strCache>
                <c:ptCount val="1"/>
                <c:pt idx="0">
                  <c:v>Emisiones indirectas de N2O de suelos gestionados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anteriores'!$H$5:$N$5</c:f>
              <c:numCache/>
            </c:numRef>
          </c:cat>
          <c:val>
            <c:numRef>
              <c:f>'Recálculos RAGEI anteriores'!$H$41:$N$41</c:f>
              <c:numCache/>
            </c:numRef>
          </c:val>
        </c:ser>
        <c:axId val="58523028"/>
        <c:axId val="56945205"/>
      </c:barChart>
      <c:catAx>
        <c:axId val="5852302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6945205"/>
        <c:crosses val="autoZero"/>
        <c:auto val="1"/>
        <c:lblOffset val="100"/>
        <c:noMultiLvlLbl val="0"/>
      </c:catAx>
      <c:valAx>
        <c:axId val="56945205"/>
        <c:scaling>
          <c:orientation val="minMax"/>
        </c:scaling>
        <c:axPos val="l"/>
        <c:title>
          <c:tx>
            <c:rich>
              <a:bodyPr vert="horz" rot="-5400000" anchor="ctr"/>
              <a:lstStyle/>
              <a:p>
                <a:pPr algn="ctr">
                  <a:defRPr/>
                </a:pPr>
                <a:r>
                  <a:rPr lang="en-US" cap="none" sz="1000" b="0" i="0" u="none" baseline="0">
                    <a:solidFill>
                      <a:srgbClr val="000000">
                        <a:lumMod val="65000"/>
                        <a:lumOff val="35000"/>
                      </a:srgbClr>
                    </a:solidFill>
                    <a:latin typeface="+mn-lt"/>
                    <a:ea typeface="+mn-cs"/>
                    <a:cs typeface="+mn-cs"/>
                  </a:rPr>
                  <a:t>Emisiones  de Gg CO</a:t>
                </a:r>
                <a:r>
                  <a:rPr lang="en-US" cap="none" sz="1000" b="0" i="0" u="none" baseline="-25000">
                    <a:solidFill>
                      <a:srgbClr val="000000">
                        <a:lumMod val="65000"/>
                        <a:lumOff val="35000"/>
                      </a:srgbClr>
                    </a:solidFill>
                    <a:latin typeface="+mn-lt"/>
                    <a:ea typeface="+mn-cs"/>
                    <a:cs typeface="+mn-cs"/>
                  </a:rPr>
                  <a:t>2</a:t>
                </a:r>
                <a:r>
                  <a:rPr lang="en-US" cap="none" sz="1000" b="0" i="0" u="none" baseline="0">
                    <a:solidFill>
                      <a:srgbClr val="000000">
                        <a:lumMod val="65000"/>
                        <a:lumOff val="35000"/>
                      </a:srgbClr>
                    </a:solidFill>
                    <a:latin typeface="+mn-lt"/>
                    <a:ea typeface="+mn-cs"/>
                    <a:cs typeface="+mn-cs"/>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8523028"/>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anteriores'!$G$42</c:f>
              <c:strCache>
                <c:ptCount val="1"/>
                <c:pt idx="0">
                  <c:v>Emisiones indirectas de N2O por manejo del estiércol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anteriores'!$H$5:$N$5</c:f>
              <c:numCache/>
            </c:numRef>
          </c:cat>
          <c:val>
            <c:numRef>
              <c:f>'Recálculos RAGEI anteriores'!$H$42:$N$42</c:f>
              <c:numCache/>
            </c:numRef>
          </c:val>
        </c:ser>
        <c:axId val="42744798"/>
        <c:axId val="49158863"/>
      </c:barChart>
      <c:catAx>
        <c:axId val="4274479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9158863"/>
        <c:crosses val="autoZero"/>
        <c:auto val="1"/>
        <c:lblOffset val="100"/>
        <c:noMultiLvlLbl val="0"/>
      </c:catAx>
      <c:valAx>
        <c:axId val="49158863"/>
        <c:scaling>
          <c:orientation val="minMax"/>
        </c:scaling>
        <c:axPos val="l"/>
        <c:title>
          <c:tx>
            <c:rich>
              <a:bodyPr vert="horz" rot="-5400000" anchor="ctr"/>
              <a:lstStyle/>
              <a:p>
                <a:pPr algn="ctr">
                  <a:defRPr/>
                </a:pPr>
                <a:r>
                  <a:rPr lang="en-US" cap="none" sz="1000" b="0" i="0" u="none" baseline="0">
                    <a:solidFill>
                      <a:srgbClr val="000000">
                        <a:lumMod val="65000"/>
                        <a:lumOff val="35000"/>
                      </a:srgbClr>
                    </a:solidFill>
                    <a:latin typeface="+mn-lt"/>
                    <a:ea typeface="+mn-cs"/>
                    <a:cs typeface="+mn-cs"/>
                  </a:rPr>
                  <a:t>Emisiones  de Gg CO</a:t>
                </a:r>
                <a:r>
                  <a:rPr lang="en-US" cap="none" sz="1000" b="0" i="0" u="none" baseline="-25000">
                    <a:solidFill>
                      <a:srgbClr val="000000">
                        <a:lumMod val="65000"/>
                        <a:lumOff val="35000"/>
                      </a:srgbClr>
                    </a:solidFill>
                    <a:latin typeface="+mn-lt"/>
                    <a:ea typeface="+mn-cs"/>
                    <a:cs typeface="+mn-cs"/>
                  </a:rPr>
                  <a:t>2</a:t>
                </a:r>
                <a:r>
                  <a:rPr lang="en-US" cap="none" sz="1000" b="0" i="0" u="none" baseline="0">
                    <a:solidFill>
                      <a:srgbClr val="000000">
                        <a:lumMod val="65000"/>
                        <a:lumOff val="35000"/>
                      </a:srgbClr>
                    </a:solidFill>
                    <a:latin typeface="+mn-lt"/>
                    <a:ea typeface="+mn-cs"/>
                    <a:cs typeface="+mn-cs"/>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744798"/>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'Recálculos RAGEI anteriores'!$G$35</c:f>
              <c:strCache>
                <c:ptCount val="1"/>
                <c:pt idx="0">
                  <c:v>Emisiones por quema de biomasa </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'Recálculos RAGEI anteriores'!$H$5:$N$5</c:f>
              <c:numCache/>
            </c:numRef>
          </c:cat>
          <c:val>
            <c:numRef>
              <c:f>'Recálculos RAGEI anteriores'!$H$35:$N$35</c:f>
              <c:numCache/>
            </c:numRef>
          </c:val>
        </c:ser>
        <c:axId val="39776584"/>
        <c:axId val="22444937"/>
      </c:barChart>
      <c:catAx>
        <c:axId val="3977658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2444937"/>
        <c:crosses val="autoZero"/>
        <c:auto val="1"/>
        <c:lblOffset val="100"/>
        <c:noMultiLvlLbl val="0"/>
      </c:catAx>
      <c:valAx>
        <c:axId val="22444937"/>
        <c:scaling>
          <c:orientation val="minMax"/>
        </c:scaling>
        <c:axPos val="l"/>
        <c:title>
          <c:tx>
            <c:rich>
              <a:bodyPr vert="horz" rot="-5400000" anchor="ctr"/>
              <a:lstStyle/>
              <a:p>
                <a:pPr algn="ctr">
                  <a:defRPr/>
                </a:pPr>
                <a:r>
                  <a:rPr lang="en-US" cap="none" sz="1000" b="0" i="0" u="none" baseline="0">
                    <a:solidFill>
                      <a:srgbClr val="000000">
                        <a:lumMod val="65000"/>
                        <a:lumOff val="35000"/>
                      </a:srgbClr>
                    </a:solidFill>
                    <a:latin typeface="+mn-lt"/>
                    <a:ea typeface="+mn-cs"/>
                    <a:cs typeface="+mn-cs"/>
                  </a:rPr>
                  <a:t>Emisiones  de Gg CO</a:t>
                </a:r>
                <a:r>
                  <a:rPr lang="en-US" cap="none" sz="1000" b="0" i="0" u="none" baseline="-25000">
                    <a:solidFill>
                      <a:srgbClr val="000000">
                        <a:lumMod val="65000"/>
                        <a:lumOff val="35000"/>
                      </a:srgbClr>
                    </a:solidFill>
                    <a:latin typeface="+mn-lt"/>
                    <a:ea typeface="+mn-cs"/>
                    <a:cs typeface="+mn-cs"/>
                  </a:rPr>
                  <a:t>2</a:t>
                </a:r>
                <a:r>
                  <a:rPr lang="en-US" cap="none" sz="1000" b="0" i="0" u="none" baseline="0">
                    <a:solidFill>
                      <a:srgbClr val="000000">
                        <a:lumMod val="65000"/>
                        <a:lumOff val="35000"/>
                      </a:srgbClr>
                    </a:solidFill>
                    <a:latin typeface="+mn-lt"/>
                    <a:ea typeface="+mn-cs"/>
                    <a:cs typeface="+mn-cs"/>
                  </a:rPr>
                  <a:t>eq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776584"/>
        <c:crosses val="autoZero"/>
        <c:crossBetween val="between"/>
        <c:dispUnits/>
      </c:valAx>
      <c:dTable>
        <c:showHorzBorder val="1"/>
        <c:showVertBorder val="1"/>
        <c:showOutline val="1"/>
        <c:showKeys val="1"/>
        <c:spPr>
          <a:ln w="9525" cap="flat" cmpd="sng">
            <a:solidFill>
              <a:schemeClr val="tx1">
                <a:lumMod val="15000"/>
                <a:lumOff val="85000"/>
              </a:schemeClr>
            </a:solidFill>
            <a:round/>
          </a:ln>
        </c:spPr>
        <c:txPr>
          <a:bodyPr vert="horz" rot="0"/>
          <a:lstStyle/>
          <a:p>
            <a:pPr>
              <a:defRPr lang="en-US" cap="none" sz="900" b="0" i="0" u="none" baseline="0">
                <a:solidFill>
                  <a:schemeClr val="tx1">
                    <a:lumMod val="65000"/>
                    <a:lumOff val="35000"/>
                  </a:schemeClr>
                </a:solidFill>
                <a:latin typeface="+mn-lt"/>
                <a:ea typeface="+mn-cs"/>
                <a:cs typeface="+mn-cs"/>
              </a:defRPr>
            </a:pPr>
          </a:p>
        </c:txPr>
      </c:dTable>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3C2 INFO BASE'!A1" /><Relationship Id="rId2" Type="http://schemas.openxmlformats.org/officeDocument/2006/relationships/hyperlink" Target="#'3C2 EMISIONES'!A1" /></Relationships>
</file>

<file path=xl/drawings/_rels/drawing11.xml.rels><?xml version="1.0" encoding="utf-8" standalone="yes"?><Relationships xmlns="http://schemas.openxmlformats.org/package/2006/relationships"><Relationship Id="rId1" Type="http://schemas.openxmlformats.org/officeDocument/2006/relationships/hyperlink" Target="#'3C3 EMISIONES'!A1" /><Relationship Id="rId2" Type="http://schemas.openxmlformats.org/officeDocument/2006/relationships/hyperlink" Target="#'3C3 INFO BASE'!A1" /></Relationships>
</file>

<file path=xl/drawings/_rels/drawing12.xml.rels><?xml version="1.0" encoding="utf-8" standalone="yes"?><Relationships xmlns="http://schemas.openxmlformats.org/package/2006/relationships"><Relationship Id="rId1" Type="http://schemas.openxmlformats.org/officeDocument/2006/relationships/hyperlink" Target="#'3C4_3C5 INFO BASE'!A1" /><Relationship Id="rId2" Type="http://schemas.openxmlformats.org/officeDocument/2006/relationships/hyperlink" Target="#'3C4 EMISIONES'!A1" /><Relationship Id="rId3" Type="http://schemas.openxmlformats.org/officeDocument/2006/relationships/hyperlink" Target="#'3C4_3C5 INFO BASE'!A1" /><Relationship Id="rId4" Type="http://schemas.openxmlformats.org/officeDocument/2006/relationships/hyperlink" Target="#'3C4_3C5 INFO BASE'!A1" /><Relationship Id="rId5" Type="http://schemas.openxmlformats.org/officeDocument/2006/relationships/hyperlink" Target="#'3C4_3C5 INFO BASE'!A1" /><Relationship Id="rId6" Type="http://schemas.openxmlformats.org/officeDocument/2006/relationships/hyperlink" Target="#'3C4_3C5 INFO BASE'!A1" /><Relationship Id="rId7" Type="http://schemas.openxmlformats.org/officeDocument/2006/relationships/hyperlink" Target="#'3C4_3C5 INFO BASE'!A1" /><Relationship Id="rId8" Type="http://schemas.openxmlformats.org/officeDocument/2006/relationships/hyperlink" Target="#'3C4 EMISIONES'!A1" /><Relationship Id="rId9" Type="http://schemas.openxmlformats.org/officeDocument/2006/relationships/hyperlink" Target="#'3C5 EMISIONES'!A1" /><Relationship Id="rId10" Type="http://schemas.openxmlformats.org/officeDocument/2006/relationships/hyperlink" Target="#'3C4 EMISIONES'!A1" /><Relationship Id="rId11" Type="http://schemas.openxmlformats.org/officeDocument/2006/relationships/hyperlink" Target="#'3C4 EMISIONES'!A1" /><Relationship Id="rId12" Type="http://schemas.openxmlformats.org/officeDocument/2006/relationships/hyperlink" Target="#'3C4 EMISIONES'!A1" /><Relationship Id="rId13" Type="http://schemas.openxmlformats.org/officeDocument/2006/relationships/hyperlink" Target="#'3C4 EMISIONES'!A1" /><Relationship Id="rId14" Type="http://schemas.openxmlformats.org/officeDocument/2006/relationships/hyperlink" Target="#'3C5 EMISIONES'!A1" /><Relationship Id="rId15" Type="http://schemas.openxmlformats.org/officeDocument/2006/relationships/hyperlink" Target="#'3C5 EMISIONES'!A1" /><Relationship Id="rId16" Type="http://schemas.openxmlformats.org/officeDocument/2006/relationships/hyperlink" Target="#'3C5 EMISIONES'!A1" /><Relationship Id="rId17" Type="http://schemas.openxmlformats.org/officeDocument/2006/relationships/hyperlink" Target="#'3C4 EMISIONES'!A1" /><Relationship Id="rId18" Type="http://schemas.openxmlformats.org/officeDocument/2006/relationships/hyperlink" Target="#'FACTORES DE CONVERSI&#211;N'!A1" /><Relationship Id="rId19" Type="http://schemas.openxmlformats.org/officeDocument/2006/relationships/hyperlink" Target="#'FACTORES DE CONVERSI&#211;N'!A1" /><Relationship Id="rId20" Type="http://schemas.openxmlformats.org/officeDocument/2006/relationships/hyperlink" Target="#'FACTORES DE CONVERSI&#211;N'!A1" /><Relationship Id="rId21" Type="http://schemas.openxmlformats.org/officeDocument/2006/relationships/hyperlink" Target="#'FACTORES DE CONVERSI&#211;N'!A1" /><Relationship Id="rId22" Type="http://schemas.openxmlformats.org/officeDocument/2006/relationships/hyperlink" Target="#'FACTORES DE CONVERSI&#211;N'!A1" /><Relationship Id="rId23" Type="http://schemas.openxmlformats.org/officeDocument/2006/relationships/hyperlink" Target="#'FACTORES DE CONVERSI&#211;N'!A1" /><Relationship Id="rId24" Type="http://schemas.openxmlformats.org/officeDocument/2006/relationships/hyperlink" Target="#'FACTORES DE CONVERSI&#211;N'!A1" /></Relationships>
</file>

<file path=xl/drawings/_rels/drawing13.xml.rels><?xml version="1.0" encoding="utf-8" standalone="yes"?><Relationships xmlns="http://schemas.openxmlformats.org/package/2006/relationships"><Relationship Id="rId1" Type="http://schemas.openxmlformats.org/officeDocument/2006/relationships/hyperlink" Target="#'3C7 INFO BASE'!A1" /><Relationship Id="rId2" Type="http://schemas.openxmlformats.org/officeDocument/2006/relationships/hyperlink" Target="#'3C7 INFO BASE'!A1" /><Relationship Id="rId3" Type="http://schemas.openxmlformats.org/officeDocument/2006/relationships/hyperlink" Target="#'3C7 EMISIONES'!A1" /><Relationship Id="rId4" Type="http://schemas.openxmlformats.org/officeDocument/2006/relationships/hyperlink" Target="#'FACTORES DE CONVERSI&#211;N'!A1" /></Relationships>
</file>

<file path=xl/drawings/_rels/drawing14.xml.rels><?xml version="1.0" encoding="utf-8" standalone="yes"?><Relationships xmlns="http://schemas.openxmlformats.org/package/2006/relationships"><Relationship Id="rId1" Type="http://schemas.openxmlformats.org/officeDocument/2006/relationships/hyperlink" Target="#'3A1_3A2_3C6 INFO PROC'!A1" /><Relationship Id="rId2" Type="http://schemas.openxmlformats.org/officeDocument/2006/relationships/hyperlink" Target="#'3C4_3C5 INFO PROC'!A1" /><Relationship Id="rId3" Type="http://schemas.openxmlformats.org/officeDocument/2006/relationships/hyperlink" Target="#'3A1_3A2_3C6 INFO PROC'!A1" /><Relationship Id="rId4" Type="http://schemas.openxmlformats.org/officeDocument/2006/relationships/hyperlink" Target="#'3A1_3A2_3C6 INFO PROC'!A1" /><Relationship Id="rId5" Type="http://schemas.openxmlformats.org/officeDocument/2006/relationships/hyperlink" Target="#'3A1_3A2_3C6 INFO PROC'!A1" /><Relationship Id="rId6" Type="http://schemas.openxmlformats.org/officeDocument/2006/relationships/hyperlink" Target="#'3C1 INFO PROC'!A1" /><Relationship Id="rId7" Type="http://schemas.openxmlformats.org/officeDocument/2006/relationships/hyperlink" Target="#'3C1 INFO PROC'!A1" /><Relationship Id="rId8" Type="http://schemas.openxmlformats.org/officeDocument/2006/relationships/hyperlink" Target="#'3C4_3C5 INFO PROC'!A1" /><Relationship Id="rId9" Type="http://schemas.openxmlformats.org/officeDocument/2006/relationships/hyperlink" Target="#'3C4_3C5 INFO PROC'!A1" /><Relationship Id="rId10" Type="http://schemas.openxmlformats.org/officeDocument/2006/relationships/hyperlink" Target="#'3C4_3C5 INFO PROC'!A1" /><Relationship Id="rId11" Type="http://schemas.openxmlformats.org/officeDocument/2006/relationships/hyperlink" Target="#'3C4_3C5 INFO PROC'!A1" /><Relationship Id="rId12" Type="http://schemas.openxmlformats.org/officeDocument/2006/relationships/hyperlink" Target="#'3C4_3C5 INFO PROC'!A1" /><Relationship Id="rId13" Type="http://schemas.openxmlformats.org/officeDocument/2006/relationships/hyperlink" Target="#'3C4_3C5 INFO PROC'!A1" /><Relationship Id="rId14" Type="http://schemas.openxmlformats.org/officeDocument/2006/relationships/hyperlink" Target="#'3C4_3C5 INFO PROC'!A1" /><Relationship Id="rId15" Type="http://schemas.openxmlformats.org/officeDocument/2006/relationships/hyperlink" Target="#'3C7 INFO PROC'!A1" /><Relationship Id="rId16" Type="http://schemas.openxmlformats.org/officeDocument/2006/relationships/hyperlink" Target="#'3A1_3A2 FACTORES DE EMISI&#211;N'!A1" /><Relationship Id="rId17" Type="http://schemas.openxmlformats.org/officeDocument/2006/relationships/hyperlink" Target="#'3A1_3A2 FACTORES DE EMISI&#211;N'!A1" /><Relationship Id="rId18" Type="http://schemas.openxmlformats.org/officeDocument/2006/relationships/hyperlink" Target="#'3A1_3A2 FACTORES DE EMISI&#211;N'!A1" /><Relationship Id="rId19" Type="http://schemas.openxmlformats.org/officeDocument/2006/relationships/hyperlink" Target="#'3A1_3A2 FACTORES DE EMISI&#211;N'!A1" /><Relationship Id="rId20" Type="http://schemas.openxmlformats.org/officeDocument/2006/relationships/hyperlink" Target="#'3A1_3A2 FACTORES DE EMISI&#211;N'!A1" /><Relationship Id="rId21" Type="http://schemas.openxmlformats.org/officeDocument/2006/relationships/hyperlink" Target="#'3A1_3A2 FACTORES DE EMISI&#211;N'!A1" /><Relationship Id="rId22" Type="http://schemas.openxmlformats.org/officeDocument/2006/relationships/hyperlink" Target="#'3A1_3A2 FACTORES DE EMISI&#211;N'!A1" /><Relationship Id="rId23" Type="http://schemas.openxmlformats.org/officeDocument/2006/relationships/hyperlink" Target="#'3A1_3A2 FACTORES DE EMISI&#211;N'!A1" /><Relationship Id="rId24" Type="http://schemas.openxmlformats.org/officeDocument/2006/relationships/hyperlink" Target="#'3A1_3A2 FACTORES DE EMISI&#211;N'!A1" /><Relationship Id="rId25" Type="http://schemas.openxmlformats.org/officeDocument/2006/relationships/hyperlink" Target="#'3A1_3A2 FACTORES DE EMISI&#211;N'!A1" /><Relationship Id="rId26" Type="http://schemas.openxmlformats.org/officeDocument/2006/relationships/hyperlink" Target="#'3A1 EMISIONES T1_3A2 '!A1" /><Relationship Id="rId27" Type="http://schemas.openxmlformats.org/officeDocument/2006/relationships/hyperlink" Target="#'3A1 EMISIONES T1_3A2 '!A1" /><Relationship Id="rId28" Type="http://schemas.openxmlformats.org/officeDocument/2006/relationships/hyperlink" Target="#'3A1 EMISIONES T1_3A2 '!A1" /><Relationship Id="rId29" Type="http://schemas.openxmlformats.org/officeDocument/2006/relationships/hyperlink" Target="#'3C1 EMISIONES'!A1" /><Relationship Id="rId30" Type="http://schemas.openxmlformats.org/officeDocument/2006/relationships/hyperlink" Target="#'3C2 EMISIONES'!A1" /><Relationship Id="rId31" Type="http://schemas.openxmlformats.org/officeDocument/2006/relationships/hyperlink" Target="#'3C3 EMISIONES'!A1" /><Relationship Id="rId32" Type="http://schemas.openxmlformats.org/officeDocument/2006/relationships/hyperlink" Target="#'3C4 EMISIONES'!A1" /><Relationship Id="rId33" Type="http://schemas.openxmlformats.org/officeDocument/2006/relationships/hyperlink" Target="#'3C5 EMISIONES'!A1" /><Relationship Id="rId34" Type="http://schemas.openxmlformats.org/officeDocument/2006/relationships/hyperlink" Target="#'3C6 EMISIONES'!A1" /><Relationship Id="rId35" Type="http://schemas.openxmlformats.org/officeDocument/2006/relationships/hyperlink" Target="#'3C6 EMISIONES'!A1" /><Relationship Id="rId36" Type="http://schemas.openxmlformats.org/officeDocument/2006/relationships/hyperlink" Target="#'3C6 EMISIONES'!A1" /><Relationship Id="rId37" Type="http://schemas.openxmlformats.org/officeDocument/2006/relationships/hyperlink" Target="#'3C1 EMISIONES'!A1" /><Relationship Id="rId38" Type="http://schemas.openxmlformats.org/officeDocument/2006/relationships/hyperlink" Target="#'3C1 EMISIONES'!A1" /><Relationship Id="rId39" Type="http://schemas.openxmlformats.org/officeDocument/2006/relationships/hyperlink" Target="#'3C1 EMISIONES'!A1" /><Relationship Id="rId40" Type="http://schemas.openxmlformats.org/officeDocument/2006/relationships/hyperlink" Target="#'3C1 EMISIONES'!A1" /><Relationship Id="rId41" Type="http://schemas.openxmlformats.org/officeDocument/2006/relationships/hyperlink" Target="#'3C1 EMISIONES'!A1" /><Relationship Id="rId42" Type="http://schemas.openxmlformats.org/officeDocument/2006/relationships/hyperlink" Target="#'3A1 EMISIONES T1_3A2 '!A1" /><Relationship Id="rId43" Type="http://schemas.openxmlformats.org/officeDocument/2006/relationships/hyperlink" Target="#'3A1 EMISIONES T1_3A2 '!A1" /><Relationship Id="rId44" Type="http://schemas.openxmlformats.org/officeDocument/2006/relationships/hyperlink" Target="#'3C4_3C5 INFO PROC'!A1" /><Relationship Id="rId45" Type="http://schemas.openxmlformats.org/officeDocument/2006/relationships/hyperlink" Target="#'3A1 EMISIONES T1_3A2 '!A1" /><Relationship Id="rId46" Type="http://schemas.openxmlformats.org/officeDocument/2006/relationships/hyperlink" Target="#'3C1 INFO PROC'!A1" /><Relationship Id="rId47" Type="http://schemas.openxmlformats.org/officeDocument/2006/relationships/hyperlink" Target="#'3C1 INFO PROC'!A1" /></Relationships>
</file>

<file path=xl/drawings/_rels/drawing15.xml.rels><?xml version="1.0" encoding="utf-8" standalone="yes"?><Relationships xmlns="http://schemas.openxmlformats.org/package/2006/relationships"><Relationship Id="rId1" Type="http://schemas.openxmlformats.org/officeDocument/2006/relationships/hyperlink" Target="#'3A1 EMISIONES T1_3A2 '!A1" /><Relationship Id="rId2" Type="http://schemas.openxmlformats.org/officeDocument/2006/relationships/hyperlink" Target="#'3A1 EMISIONES T1_3A2 '!A1" /><Relationship Id="rId3" Type="http://schemas.openxmlformats.org/officeDocument/2006/relationships/hyperlink" Target="#'3A1 EMISIONES T1_3A2 '!A1" /><Relationship Id="rId4" Type="http://schemas.openxmlformats.org/officeDocument/2006/relationships/hyperlink" Target="#'FACTORES DE CONVERSI&#211;N'!A1" /><Relationship Id="rId5" Type="http://schemas.openxmlformats.org/officeDocument/2006/relationships/hyperlink" Target="#'FACTORES DE CONVERSI&#211;N'!A1" /><Relationship Id="rId6" Type="http://schemas.openxmlformats.org/officeDocument/2006/relationships/hyperlink" Target="#'3A1_3A2_3C6 INFO PROC'!A1" /><Relationship Id="rId7" Type="http://schemas.openxmlformats.org/officeDocument/2006/relationships/hyperlink" Target="#'3A1 EMISIONES T1_3A2 '!A1" /></Relationships>
</file>

<file path=xl/drawings/_rels/drawing16.xml.rels><?xml version="1.0" encoding="utf-8" standalone="yes"?><Relationships xmlns="http://schemas.openxmlformats.org/package/2006/relationships"><Relationship Id="rId1" Type="http://schemas.openxmlformats.org/officeDocument/2006/relationships/hyperlink" Target="#'3C1 EMISIONES'!A1" /></Relationships>
</file>

<file path=xl/drawings/_rels/drawing17.xml.rels><?xml version="1.0" encoding="utf-8" standalone="yes"?><Relationships xmlns="http://schemas.openxmlformats.org/package/2006/relationships"><Relationship Id="rId1" Type="http://schemas.openxmlformats.org/officeDocument/2006/relationships/hyperlink" Target="#'3C2 EMISIONES'!A1" /></Relationships>
</file>

<file path=xl/drawings/_rels/drawing18.xml.rels><?xml version="1.0" encoding="utf-8" standalone="yes"?><Relationships xmlns="http://schemas.openxmlformats.org/package/2006/relationships"><Relationship Id="rId1" Type="http://schemas.openxmlformats.org/officeDocument/2006/relationships/hyperlink" Target="#'3C3 EMISIONES'!A1" /></Relationships>
</file>

<file path=xl/drawings/_rels/drawing19.xml.rels><?xml version="1.0" encoding="utf-8" standalone="yes"?><Relationships xmlns="http://schemas.openxmlformats.org/package/2006/relationships"><Relationship Id="rId1" Type="http://schemas.openxmlformats.org/officeDocument/2006/relationships/hyperlink" Target="#'3C4 EMISIONES'!A1" /></Relationships>
</file>

<file path=xl/drawings/_rels/drawing2.xml.rels><?xml version="1.0" encoding="utf-8" standalone="yes"?><Relationships xmlns="http://schemas.openxmlformats.org/package/2006/relationships"><Relationship Id="rId1" Type="http://schemas.openxmlformats.org/officeDocument/2006/relationships/hyperlink" Target="#'3A1_3A2_3C6 INFO PROC'!A1" /><Relationship Id="rId2" Type="http://schemas.openxmlformats.org/officeDocument/2006/relationships/hyperlink" Target="#'3A1_3A2_3C6 INFO PROC'!A1" /><Relationship Id="rId3" Type="http://schemas.openxmlformats.org/officeDocument/2006/relationships/hyperlink" Target="#'3A1_3A2_3C6 INFO PROC'!A1" /><Relationship Id="rId4" Type="http://schemas.openxmlformats.org/officeDocument/2006/relationships/hyperlink" Target="#'3A1_3A2_3C6 INFO PROC'!A1" /><Relationship Id="rId5" Type="http://schemas.openxmlformats.org/officeDocument/2006/relationships/hyperlink" Target="#'3A1_3A2_3C6 INFO PROC'!A1" /><Relationship Id="rId6" Type="http://schemas.openxmlformats.org/officeDocument/2006/relationships/hyperlink" Target="#'3A1_3A2 FACTORES DE EMISI&#211;N'!A1" /></Relationships>
</file>

<file path=xl/drawings/_rels/drawing20.xml.rels><?xml version="1.0" encoding="utf-8" standalone="yes"?><Relationships xmlns="http://schemas.openxmlformats.org/package/2006/relationships"><Relationship Id="rId1" Type="http://schemas.openxmlformats.org/officeDocument/2006/relationships/hyperlink" Target="#'3C5 EMISIONES'!A1" /></Relationships>
</file>

<file path=xl/drawings/_rels/drawing21.xml.rels><?xml version="1.0" encoding="utf-8" standalone="yes"?><Relationships xmlns="http://schemas.openxmlformats.org/package/2006/relationships"><Relationship Id="rId1" Type="http://schemas.openxmlformats.org/officeDocument/2006/relationships/hyperlink" Target="#'3C6 EMISIONES'!A1" /></Relationships>
</file>

<file path=xl/drawings/_rels/drawing22.xml.rels><?xml version="1.0" encoding="utf-8" standalone="yes"?><Relationships xmlns="http://schemas.openxmlformats.org/package/2006/relationships"><Relationship Id="rId1" Type="http://schemas.openxmlformats.org/officeDocument/2006/relationships/hyperlink" Target="#'3C1 EMISIONES'!A1" /></Relationships>
</file>

<file path=xl/drawings/_rels/drawing23.xml.rels><?xml version="1.0" encoding="utf-8" standalone="yes"?><Relationships xmlns="http://schemas.openxmlformats.org/package/2006/relationships"><Relationship Id="rId1" Type="http://schemas.openxmlformats.org/officeDocument/2006/relationships/hyperlink" Target="#'RESULTADOS RAGEI 2016'!A1" /><Relationship Id="rId2" Type="http://schemas.openxmlformats.org/officeDocument/2006/relationships/hyperlink" Target="#'RESULTADOS RAGEI 2016'!A1" /></Relationships>
</file>

<file path=xl/drawings/_rels/drawing24.xml.rels><?xml version="1.0" encoding="utf-8" standalone="yes"?><Relationships xmlns="http://schemas.openxmlformats.org/package/2006/relationships"><Relationship Id="rId1" Type="http://schemas.openxmlformats.org/officeDocument/2006/relationships/hyperlink" Target="#'RESULTADOS RAGEI 2016'!A1" /><Relationship Id="rId2" Type="http://schemas.openxmlformats.org/officeDocument/2006/relationships/hyperlink" Target="#'RESULTADOS RAGEI 2016'!A1" /></Relationships>
</file>

<file path=xl/drawings/_rels/drawing25.xml.rels><?xml version="1.0" encoding="utf-8" standalone="yes"?><Relationships xmlns="http://schemas.openxmlformats.org/package/2006/relationships"><Relationship Id="rId1" Type="http://schemas.openxmlformats.org/officeDocument/2006/relationships/hyperlink" Target="#'RESULTADOS RAGEI 2016'!A1" /><Relationship Id="rId2" Type="http://schemas.openxmlformats.org/officeDocument/2006/relationships/hyperlink" Target="#'RESULTADOS RAGEI 2016'!A1" /><Relationship Id="rId3" Type="http://schemas.openxmlformats.org/officeDocument/2006/relationships/hyperlink" Target="#'RESULTADOS RAGEI 2016'!A1" /><Relationship Id="rId4" Type="http://schemas.openxmlformats.org/officeDocument/2006/relationships/hyperlink" Target="#'RESULTADOS RAGEI 2016'!A1" /></Relationships>
</file>

<file path=xl/drawings/_rels/drawing26.xml.rels><?xml version="1.0" encoding="utf-8" standalone="yes"?><Relationships xmlns="http://schemas.openxmlformats.org/package/2006/relationships"><Relationship Id="rId1" Type="http://schemas.openxmlformats.org/officeDocument/2006/relationships/hyperlink" Target="#'RESULTADOS RAGEI 2016'!A1" /></Relationships>
</file>

<file path=xl/drawings/_rels/drawing27.xml.rels><?xml version="1.0" encoding="utf-8" standalone="yes"?><Relationships xmlns="http://schemas.openxmlformats.org/package/2006/relationships"><Relationship Id="rId1" Type="http://schemas.openxmlformats.org/officeDocument/2006/relationships/hyperlink" Target="#'RESULTADOS RAGEI 2016'!A1" /></Relationships>
</file>

<file path=xl/drawings/_rels/drawing28.xml.rels><?xml version="1.0" encoding="utf-8" standalone="yes"?><Relationships xmlns="http://schemas.openxmlformats.org/package/2006/relationships"><Relationship Id="rId1" Type="http://schemas.openxmlformats.org/officeDocument/2006/relationships/hyperlink" Target="#'RESULTADOS RAGEI 2016'!A1" /></Relationships>
</file>

<file path=xl/drawings/_rels/drawing29.xml.rels><?xml version="1.0" encoding="utf-8" standalone="yes"?><Relationships xmlns="http://schemas.openxmlformats.org/package/2006/relationships"><Relationship Id="rId1" Type="http://schemas.openxmlformats.org/officeDocument/2006/relationships/hyperlink" Target="#'RESULTADOS RAGEI 2016'!A1" /></Relationships>
</file>

<file path=xl/drawings/_rels/drawing3.xml.rels><?xml version="1.0" encoding="utf-8" standalone="yes"?><Relationships xmlns="http://schemas.openxmlformats.org/package/2006/relationships"><Relationship Id="rId1" Type="http://schemas.openxmlformats.org/officeDocument/2006/relationships/hyperlink" Target="#'3C1 INFO PROC'!A1" /><Relationship Id="rId2" Type="http://schemas.openxmlformats.org/officeDocument/2006/relationships/hyperlink" Target="#'3C1 INFO BASE'!A1" /><Relationship Id="rId3" Type="http://schemas.openxmlformats.org/officeDocument/2006/relationships/hyperlink" Target="#'3C1 INFO PROC'!A1" /></Relationships>
</file>

<file path=xl/drawings/_rels/drawing30.xml.rels><?xml version="1.0" encoding="utf-8" standalone="yes"?><Relationships xmlns="http://schemas.openxmlformats.org/package/2006/relationships"><Relationship Id="rId1" Type="http://schemas.openxmlformats.org/officeDocument/2006/relationships/hyperlink" Target="#'RESULTADOS RAGEI 2016'!A1" /><Relationship Id="rId2" Type="http://schemas.openxmlformats.org/officeDocument/2006/relationships/hyperlink" Target="#'RESULTADOS RAGEI 2016'!A1" /></Relationships>
</file>

<file path=xl/drawings/_rels/drawing31.xml.rels><?xml version="1.0" encoding="utf-8" standalone="yes"?><Relationships xmlns="http://schemas.openxmlformats.org/package/2006/relationships"><Relationship Id="rId1" Type="http://schemas.openxmlformats.org/officeDocument/2006/relationships/hyperlink" Target="#'RESULTADOS RAGEI 2016'!A1"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 Id="rId9" Type="http://schemas.openxmlformats.org/officeDocument/2006/relationships/chart" Target="/xl/charts/chart12.xml" /><Relationship Id="rId10" Type="http://schemas.openxmlformats.org/officeDocument/2006/relationships/chart" Target="/xl/charts/chart13.xml" /><Relationship Id="rId11" Type="http://schemas.openxmlformats.org/officeDocument/2006/relationships/chart" Target="/xl/charts/chart14.xml" /><Relationship Id="rId12" Type="http://schemas.openxmlformats.org/officeDocument/2006/relationships/chart" Target="/xl/charts/chart15.xml" /><Relationship Id="rId13" Type="http://schemas.openxmlformats.org/officeDocument/2006/relationships/chart" Target="/xl/charts/chart16.xml" /><Relationship Id="rId14" Type="http://schemas.openxmlformats.org/officeDocument/2006/relationships/chart" Target="/xl/charts/chart17.xml" /><Relationship Id="rId15" Type="http://schemas.openxmlformats.org/officeDocument/2006/relationships/chart" Target="/xl/charts/chart18.xml" /><Relationship Id="rId16" Type="http://schemas.openxmlformats.org/officeDocument/2006/relationships/chart" Target="/xl/charts/chart19.xml" /><Relationship Id="rId17" Type="http://schemas.openxmlformats.org/officeDocument/2006/relationships/chart" Target="/xl/charts/chart20.xml" /><Relationship Id="rId18" Type="http://schemas.openxmlformats.org/officeDocument/2006/relationships/chart" Target="/xl/charts/chart2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4.xml.rels><?xml version="1.0" encoding="utf-8" standalone="yes"?><Relationships xmlns="http://schemas.openxmlformats.org/package/2006/relationships"><Relationship Id="rId1" Type="http://schemas.openxmlformats.org/officeDocument/2006/relationships/hyperlink" Target="#'3C2 INFO PROC'!A1" /><Relationship Id="rId2" Type="http://schemas.openxmlformats.org/officeDocument/2006/relationships/hyperlink" Target="#'3C2 INFO PROC'!A1" /></Relationships>
</file>

<file path=xl/drawings/_rels/drawing5.xml.rels><?xml version="1.0" encoding="utf-8" standalone="yes"?><Relationships xmlns="http://schemas.openxmlformats.org/package/2006/relationships"><Relationship Id="rId1" Type="http://schemas.openxmlformats.org/officeDocument/2006/relationships/hyperlink" Target="#'3C3 INFO PROC'!A1" /></Relationships>
</file>

<file path=xl/drawings/_rels/drawing6.xml.rels><?xml version="1.0" encoding="utf-8" standalone="yes"?><Relationships xmlns="http://schemas.openxmlformats.org/package/2006/relationships"><Relationship Id="rId1" Type="http://schemas.openxmlformats.org/officeDocument/2006/relationships/hyperlink" Target="#'3C4_3C5 INFO PROC'!A1" /><Relationship Id="rId2" Type="http://schemas.openxmlformats.org/officeDocument/2006/relationships/hyperlink" Target="#'3C4_3C5 INFO PROC'!A1" /><Relationship Id="rId3" Type="http://schemas.openxmlformats.org/officeDocument/2006/relationships/hyperlink" Target="#'3C4_3C5 INFO PROC'!A1" /><Relationship Id="rId4" Type="http://schemas.openxmlformats.org/officeDocument/2006/relationships/hyperlink" Target="#'3C4_3C5 INFO PROC'!A1" /><Relationship Id="rId5" Type="http://schemas.openxmlformats.org/officeDocument/2006/relationships/hyperlink" Target="#'3C4_3C5 INFO PROC'!A1" /><Relationship Id="rId6" Type="http://schemas.openxmlformats.org/officeDocument/2006/relationships/hyperlink" Target="#'3C4_3C5 INFO PROC'!A1" /><Relationship Id="rId7" Type="http://schemas.openxmlformats.org/officeDocument/2006/relationships/hyperlink" Target="#'3C4_3C5 INFO PROC'!A1" /></Relationships>
</file>

<file path=xl/drawings/_rels/drawing7.xml.rels><?xml version="1.0" encoding="utf-8" standalone="yes"?><Relationships xmlns="http://schemas.openxmlformats.org/package/2006/relationships"><Relationship Id="rId1" Type="http://schemas.openxmlformats.org/officeDocument/2006/relationships/hyperlink" Target="#'3C7 INFO PROC'!A1" /></Relationships>
</file>

<file path=xl/drawings/_rels/drawing8.xml.rels><?xml version="1.0" encoding="utf-8" standalone="yes"?><Relationships xmlns="http://schemas.openxmlformats.org/package/2006/relationships"><Relationship Id="rId1" Type="http://schemas.openxmlformats.org/officeDocument/2006/relationships/hyperlink" Target="#'3A1_3A2_3C6 INFO BASE'!A1" /><Relationship Id="rId2" Type="http://schemas.openxmlformats.org/officeDocument/2006/relationships/hyperlink" Target="#'3A1_3A2_3C6 INFO BASE'!A1" /><Relationship Id="rId3" Type="http://schemas.openxmlformats.org/officeDocument/2006/relationships/hyperlink" Target="#'3A1_3A2_3C6 INFO BASE'!A1" /><Relationship Id="rId4" Type="http://schemas.openxmlformats.org/officeDocument/2006/relationships/hyperlink" Target="#'3A1_3A2_3C6 INFO BASE'!A1" /><Relationship Id="rId5" Type="http://schemas.openxmlformats.org/officeDocument/2006/relationships/hyperlink" Target="#'3A1 EMISIONES T1_3A2 '!A1" /><Relationship Id="rId6" Type="http://schemas.openxmlformats.org/officeDocument/2006/relationships/hyperlink" Target="#'3A1 EMISIONES T2'!A1" /><Relationship Id="rId7" Type="http://schemas.openxmlformats.org/officeDocument/2006/relationships/hyperlink" Target="#'3C6 EMISIONES'!A1" /><Relationship Id="rId8" Type="http://schemas.openxmlformats.org/officeDocument/2006/relationships/hyperlink" Target="#'3A1_3A2 FACTORES DE EMISI&#211;N'!A1" /><Relationship Id="rId9" Type="http://schemas.openxmlformats.org/officeDocument/2006/relationships/hyperlink" Target="#'FACTORES DE CONVERSI&#211;N'!A1" /><Relationship Id="rId10" Type="http://schemas.openxmlformats.org/officeDocument/2006/relationships/hyperlink" Target="#'FACTORES DE CONVERSI&#211;N'!A1" /></Relationships>
</file>

<file path=xl/drawings/_rels/drawing9.xml.rels><?xml version="1.0" encoding="utf-8" standalone="yes"?><Relationships xmlns="http://schemas.openxmlformats.org/package/2006/relationships"><Relationship Id="rId1" Type="http://schemas.openxmlformats.org/officeDocument/2006/relationships/hyperlink" Target="#'3C1 INFO BASE'!A1" /><Relationship Id="rId2" Type="http://schemas.openxmlformats.org/officeDocument/2006/relationships/hyperlink" Target="#'3C1 EMISIONES'!A1" /><Relationship Id="rId3" Type="http://schemas.openxmlformats.org/officeDocument/2006/relationships/hyperlink" Target="#'3C1 INFO BASE'!A1" /><Relationship Id="rId4" Type="http://schemas.openxmlformats.org/officeDocument/2006/relationships/hyperlink" Target="#'3C1 EMISIONES'!A1" /><Relationship Id="rId5" Type="http://schemas.openxmlformats.org/officeDocument/2006/relationships/hyperlink" Target="#'FACTORES DE CONVERSI&#211;N'!A1" /><Relationship Id="rId6" Type="http://schemas.openxmlformats.org/officeDocument/2006/relationships/hyperlink" Target="#'FACTORES DE CONVERSI&#211;N'!A1" /><Relationship Id="rId7" Type="http://schemas.openxmlformats.org/officeDocument/2006/relationships/hyperlink" Target="#'3C1 INFO BASE'!A1" /><Relationship Id="rId8" Type="http://schemas.openxmlformats.org/officeDocument/2006/relationships/hyperlink" Target="#'FACTORES DE CONVERSI&#211;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200025</xdr:colOff>
      <xdr:row>26</xdr:row>
      <xdr:rowOff>133350</xdr:rowOff>
    </xdr:from>
    <xdr:ext cx="4914900" cy="323850"/>
    <xdr:sp macro="" textlink="">
      <xdr:nvSpPr>
        <xdr:cNvPr id="2" name="CustomShape 1"/>
        <xdr:cNvSpPr/>
      </xdr:nvSpPr>
      <xdr:spPr>
        <a:xfrm>
          <a:off x="4695825" y="5324475"/>
          <a:ext cx="4914900" cy="323850"/>
        </a:xfrm>
        <a:prstGeom prst="rect">
          <a:avLst/>
        </a:prstGeom>
        <a:noFill/>
        <a:ln>
          <a:solidFill>
            <a:srgbClr val="FFFFFF"/>
          </a:solidFill>
          <a:headEnd type="none"/>
          <a:tailEnd type="none"/>
        </a:ln>
      </xdr:spPr>
      <xdr:style>
        <a:lnRef idx="0">
          <a:srgbClr val="000000"/>
        </a:lnRef>
        <a:fillRef idx="0">
          <a:srgbClr val="000000"/>
        </a:fillRef>
        <a:effectRef idx="0">
          <a:srgbClr val="000000"/>
        </a:effectRef>
        <a:fontRef idx="minor">
          <a:schemeClr val="tx1"/>
        </a:fontRef>
      </xdr:style>
      <xdr:txBody>
        <a:bodyPr lIns="90000" tIns="45000" rIns="90000" bIns="45000"/>
        <a:lstStyle/>
        <a:p>
          <a:r>
            <a:rPr lang="es-PE" sz="1400" b="0" strike="noStrike" spc="-1">
              <a:solidFill>
                <a:srgbClr val="000000"/>
              </a:solidFill>
              <a:uFill>
                <a:solidFill>
                  <a:srgbClr val="FFFFFF"/>
                </a:solidFill>
              </a:uFill>
              <a:latin typeface="Arial"/>
            </a:rPr>
            <a:t>Emisiones  GEI </a:t>
          </a:r>
          <a:r>
            <a:rPr lang="es-PE" sz="1400" b="0" strike="noStrike" spc="-1">
              <a:solidFill>
                <a:srgbClr val="000000"/>
              </a:solidFill>
              <a:uFill>
                <a:solidFill>
                  <a:srgbClr val="FFFFFF"/>
                </a:solidFill>
              </a:uFill>
              <a:latin typeface="Cambria Math"/>
            </a:rPr>
            <a:t>=𝑁𝑖𝑣𝑒𝑙 𝑑𝑒 𝐴𝑐𝑡𝑖𝑣𝑖𝑑𝑎𝑑 𝑥 𝐹𝑎𝑐𝑡𝑜𝑟 𝑑𝑒 𝐸𝑚𝑖𝑠𝑖ó𝑛</a:t>
          </a:r>
          <a:endParaRPr lang="es-PE" sz="1200" b="0" strike="noStrike" spc="-1">
            <a:solidFill>
              <a:srgbClr val="000000"/>
            </a:solidFill>
            <a:uFill>
              <a:solidFill>
                <a:srgbClr val="FFFFFF"/>
              </a:solidFill>
            </a:uFill>
            <a:latin typeface="Times New Roman"/>
          </a:endParaRPr>
        </a:p>
      </xdr:txBody>
    </xdr:sp>
    <xdr:clientData/>
  </xdr:oneCellAnchor>
  <xdr:twoCellAnchor>
    <xdr:from>
      <xdr:col>0</xdr:col>
      <xdr:colOff>0</xdr:colOff>
      <xdr:row>0</xdr:row>
      <xdr:rowOff>0</xdr:rowOff>
    </xdr:from>
    <xdr:to>
      <xdr:col>0</xdr:col>
      <xdr:colOff>0</xdr:colOff>
      <xdr:row>0</xdr:row>
      <xdr:rowOff>0</xdr:rowOff>
    </xdr:to>
    <xdr:sp macro="" textlink="">
      <xdr:nvSpPr>
        <xdr:cNvPr id="5" name="CustomShape 1"/>
        <xdr:cNvSpPr/>
      </xdr:nvSpPr>
      <xdr:spPr>
        <a:xfrm>
          <a:off x="0" y="0"/>
          <a:ext cx="0" cy="0"/>
        </a:xfrm>
        <a:prstGeom prst="flowChartMagneticDisk">
          <a:avLst/>
        </a:prstGeom>
        <a:solidFill>
          <a:srgbClr val="0099FF"/>
        </a:solidFill>
        <a:ln>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lstStyle/>
        <a:p>
          <a:pPr algn="ctr">
            <a:lnSpc>
              <a:spcPct val="100000"/>
            </a:lnSpc>
          </a:pPr>
          <a:r>
            <a:rPr lang="es-PE" sz="1100" b="1" strike="noStrike" spc="-1">
              <a:solidFill>
                <a:srgbClr val="000000"/>
              </a:solidFill>
              <a:uFill>
                <a:solidFill>
                  <a:srgbClr val="FFFFFF"/>
                </a:solidFill>
              </a:uFill>
              <a:latin typeface="Calibri"/>
            </a:rPr>
            <a:t>Nivel 1</a:t>
          </a:r>
          <a:endParaRPr lang="es-PE" sz="120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CustomShape 1"/>
        <xdr:cNvSpPr/>
      </xdr:nvSpPr>
      <xdr:spPr>
        <a:xfrm>
          <a:off x="0" y="0"/>
          <a:ext cx="0" cy="0"/>
        </a:xfrm>
        <a:prstGeom prst="flowChartMagneticDisk">
          <a:avLst/>
        </a:prstGeom>
        <a:solidFill>
          <a:srgbClr val="66CCFF"/>
        </a:solidFill>
        <a:ln>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lstStyle/>
        <a:p>
          <a:pPr algn="ctr">
            <a:lnSpc>
              <a:spcPct val="100000"/>
            </a:lnSpc>
          </a:pPr>
          <a:r>
            <a:rPr lang="es-PE" sz="1100" b="1" strike="noStrike" spc="-1">
              <a:solidFill>
                <a:srgbClr val="000000"/>
              </a:solidFill>
              <a:uFill>
                <a:solidFill>
                  <a:srgbClr val="FFFFFF"/>
                </a:solidFill>
              </a:uFill>
              <a:latin typeface="Calibri"/>
            </a:rPr>
            <a:t>Nivel 2</a:t>
          </a:r>
          <a:endParaRPr lang="es-PE" sz="120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CustomShape 1"/>
        <xdr:cNvSpPr/>
      </xdr:nvSpPr>
      <xdr:spPr>
        <a:xfrm>
          <a:off x="0" y="0"/>
          <a:ext cx="0" cy="0"/>
        </a:xfrm>
        <a:prstGeom prst="flowChartMagneticDisk">
          <a:avLst/>
        </a:prstGeom>
        <a:solidFill>
          <a:srgbClr val="CCFFFF"/>
        </a:solidFill>
        <a:ln>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lstStyle/>
        <a:p>
          <a:pPr algn="ctr">
            <a:lnSpc>
              <a:spcPct val="100000"/>
            </a:lnSpc>
          </a:pPr>
          <a:r>
            <a:rPr lang="es-PE" sz="1100" b="1" strike="noStrike" spc="-1">
              <a:solidFill>
                <a:srgbClr val="000000"/>
              </a:solidFill>
              <a:uFill>
                <a:solidFill>
                  <a:srgbClr val="FFFFFF"/>
                </a:solidFill>
              </a:uFill>
              <a:latin typeface="Calibri"/>
            </a:rPr>
            <a:t>Nivel 3</a:t>
          </a:r>
          <a:endParaRPr lang="es-PE" sz="1200" b="0" strike="noStrike" spc="-1">
            <a:solidFill>
              <a:srgbClr val="000000"/>
            </a:solidFill>
            <a:uFill>
              <a:solidFill>
                <a:srgbClr val="FFFFFF"/>
              </a:solidFill>
            </a:uFill>
            <a:latin typeface="Times New Roman"/>
          </a:endParaRPr>
        </a:p>
      </xdr:txBody>
    </xdr:sp>
    <xdr:clientData/>
  </xdr:twoCellAnchor>
  <xdr:oneCellAnchor>
    <xdr:from>
      <xdr:col>1</xdr:col>
      <xdr:colOff>228600</xdr:colOff>
      <xdr:row>50</xdr:row>
      <xdr:rowOff>114300</xdr:rowOff>
    </xdr:from>
    <xdr:ext cx="1619250" cy="866775"/>
    <xdr:sp macro="" textlink="">
      <xdr:nvSpPr>
        <xdr:cNvPr id="8" name="CustomShape 1"/>
        <xdr:cNvSpPr/>
      </xdr:nvSpPr>
      <xdr:spPr>
        <a:xfrm>
          <a:off x="447675" y="9686925"/>
          <a:ext cx="1619250" cy="866775"/>
        </a:xfrm>
        <a:prstGeom prst="foldedCorner">
          <a:avLst>
            <a:gd name="adj" fmla="val 16667"/>
          </a:avLst>
        </a:prstGeom>
        <a:solidFill>
          <a:srgbClr val="FFFFFF"/>
        </a:solidFill>
        <a:ln w="3240">
          <a:solidFill>
            <a:srgbClr val="FFFFFF"/>
          </a:solidFill>
          <a:round/>
          <a:headEnd type="none"/>
          <a:tailEnd type="none"/>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lstStyle/>
        <a:p>
          <a:pPr>
            <a:lnSpc>
              <a:spcPct val="100000"/>
            </a:lnSpc>
          </a:pPr>
          <a:r>
            <a:rPr lang="es-PE" sz="900" b="0" strike="noStrike" spc="-1">
              <a:solidFill>
                <a:srgbClr val="000000"/>
              </a:solidFill>
              <a:uFill>
                <a:solidFill>
                  <a:srgbClr val="FFFFFF"/>
                </a:solidFill>
              </a:uFill>
              <a:latin typeface="Arial"/>
            </a:rPr>
            <a:t>Hojas de información base </a:t>
          </a:r>
          <a:endParaRPr lang="es-PE" sz="1200" b="0" strike="noStrike" spc="-1">
            <a:solidFill>
              <a:srgbClr val="000000"/>
            </a:solidFill>
            <a:uFill>
              <a:solidFill>
                <a:srgbClr val="FFFFFF"/>
              </a:solidFill>
            </a:uFill>
            <a:latin typeface="Times New Roman"/>
          </a:endParaRPr>
        </a:p>
        <a:p>
          <a:pPr>
            <a:lnSpc>
              <a:spcPct val="100000"/>
            </a:lnSpc>
          </a:pPr>
          <a:r>
            <a:rPr lang="es-PE" sz="900" b="0" strike="noStrike" spc="-1">
              <a:solidFill>
                <a:srgbClr val="000000"/>
              </a:solidFill>
              <a:uFill>
                <a:solidFill>
                  <a:srgbClr val="FFFFFF"/>
                </a:solidFill>
              </a:uFill>
              <a:latin typeface="Arial"/>
            </a:rPr>
            <a:t>(</a:t>
          </a:r>
          <a:r>
            <a:rPr lang="es-PE" sz="900" b="1" strike="noStrike" spc="-1">
              <a:solidFill>
                <a:srgbClr val="000000"/>
              </a:solidFill>
              <a:uFill>
                <a:solidFill>
                  <a:srgbClr val="FFFFFF"/>
                </a:solidFill>
              </a:uFill>
              <a:latin typeface="Arial"/>
            </a:rPr>
            <a:t>infoBase...</a:t>
          </a:r>
          <a:r>
            <a:rPr lang="es-PE" sz="900" b="0" strike="noStrike" spc="-1">
              <a:solidFill>
                <a:srgbClr val="000000"/>
              </a:solidFill>
              <a:uFill>
                <a:solidFill>
                  <a:srgbClr val="FFFFFF"/>
                </a:solidFill>
              </a:uFill>
              <a:latin typeface="Arial"/>
            </a:rPr>
            <a:t>)</a:t>
          </a:r>
          <a:endParaRPr lang="es-PE" sz="1200" b="0" strike="noStrike" spc="-1">
            <a:solidFill>
              <a:srgbClr val="000000"/>
            </a:solidFill>
            <a:uFill>
              <a:solidFill>
                <a:srgbClr val="FFFFFF"/>
              </a:solidFill>
            </a:uFill>
            <a:latin typeface="Times New Roman"/>
          </a:endParaRPr>
        </a:p>
      </xdr:txBody>
    </xdr:sp>
    <xdr:clientData/>
  </xdr:oneCellAnchor>
  <xdr:oneCellAnchor>
    <xdr:from>
      <xdr:col>3</xdr:col>
      <xdr:colOff>638175</xdr:colOff>
      <xdr:row>50</xdr:row>
      <xdr:rowOff>114300</xdr:rowOff>
    </xdr:from>
    <xdr:ext cx="1619250" cy="866775"/>
    <xdr:sp macro="" textlink="">
      <xdr:nvSpPr>
        <xdr:cNvPr id="9" name="CustomShape 1"/>
        <xdr:cNvSpPr/>
      </xdr:nvSpPr>
      <xdr:spPr>
        <a:xfrm>
          <a:off x="2581275" y="9686925"/>
          <a:ext cx="1619250" cy="866775"/>
        </a:xfrm>
        <a:prstGeom prst="foldedCorner">
          <a:avLst>
            <a:gd name="adj" fmla="val 16667"/>
          </a:avLst>
        </a:prstGeom>
        <a:solidFill>
          <a:srgbClr val="FFFFFF"/>
        </a:solidFill>
        <a:ln w="3240">
          <a:solidFill>
            <a:srgbClr val="FFFFFF"/>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lstStyle/>
        <a:p>
          <a:pPr algn="just">
            <a:lnSpc>
              <a:spcPct val="100000"/>
            </a:lnSpc>
          </a:pPr>
          <a:r>
            <a:rPr lang="es-PE" sz="900" b="0" strike="noStrike" spc="-1">
              <a:solidFill>
                <a:srgbClr val="FFFFFF"/>
              </a:solidFill>
              <a:uFill>
                <a:solidFill>
                  <a:srgbClr val="FFFFFF"/>
                </a:solidFill>
              </a:uFill>
              <a:latin typeface="Arial"/>
            </a:rPr>
            <a:t>Hojas de información procesada (i</a:t>
          </a:r>
          <a:r>
            <a:rPr lang="es-PE" sz="900" b="1" strike="noStrike" spc="-1">
              <a:solidFill>
                <a:srgbClr val="FFFFFF"/>
              </a:solidFill>
              <a:uFill>
                <a:solidFill>
                  <a:srgbClr val="FFFFFF"/>
                </a:solidFill>
              </a:uFill>
              <a:latin typeface="Arial"/>
            </a:rPr>
            <a:t>nfoProc...</a:t>
          </a:r>
          <a:r>
            <a:rPr lang="es-PE" sz="900" b="0" strike="noStrike" spc="-1">
              <a:solidFill>
                <a:srgbClr val="FFFFFF"/>
              </a:solidFill>
              <a:uFill>
                <a:solidFill>
                  <a:srgbClr val="FFFFFF"/>
                </a:solidFill>
              </a:uFill>
              <a:latin typeface="Arial"/>
            </a:rPr>
            <a:t>)</a:t>
          </a:r>
          <a:endParaRPr lang="es-PE" sz="1200" b="0" strike="noStrike" spc="-1">
            <a:solidFill>
              <a:srgbClr val="000000"/>
            </a:solidFill>
            <a:uFill>
              <a:solidFill>
                <a:srgbClr val="FFFFFF"/>
              </a:solidFill>
            </a:uFill>
            <a:latin typeface="Times New Roman"/>
          </a:endParaRPr>
        </a:p>
      </xdr:txBody>
    </xdr:sp>
    <xdr:clientData/>
  </xdr:oneCellAnchor>
  <xdr:oneCellAnchor>
    <xdr:from>
      <xdr:col>3</xdr:col>
      <xdr:colOff>638175</xdr:colOff>
      <xdr:row>61</xdr:row>
      <xdr:rowOff>57150</xdr:rowOff>
    </xdr:from>
    <xdr:ext cx="1619250" cy="866775"/>
    <xdr:sp macro="" textlink="">
      <xdr:nvSpPr>
        <xdr:cNvPr id="10" name="CustomShape 1"/>
        <xdr:cNvSpPr/>
      </xdr:nvSpPr>
      <xdr:spPr>
        <a:xfrm>
          <a:off x="2581275" y="11725275"/>
          <a:ext cx="1619250" cy="866775"/>
        </a:xfrm>
        <a:prstGeom prst="foldedCorner">
          <a:avLst>
            <a:gd name="adj" fmla="val 16667"/>
          </a:avLst>
        </a:prstGeom>
        <a:solidFill>
          <a:srgbClr val="548235"/>
        </a:solidFill>
        <a:ln w="3240">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lstStyle/>
        <a:p>
          <a:pPr>
            <a:lnSpc>
              <a:spcPct val="100000"/>
            </a:lnSpc>
          </a:pPr>
          <a:r>
            <a:rPr lang="es-PE" sz="900" b="0" strike="noStrike" spc="-1">
              <a:solidFill>
                <a:srgbClr val="000000"/>
              </a:solidFill>
              <a:uFill>
                <a:solidFill>
                  <a:srgbClr val="FFFFFF"/>
                </a:solidFill>
              </a:uFill>
              <a:latin typeface="Arial"/>
            </a:rPr>
            <a:t>Factores de emisión y de conversion</a:t>
          </a:r>
          <a:endParaRPr lang="es-PE" sz="1200" b="0" strike="noStrike" spc="-1">
            <a:solidFill>
              <a:srgbClr val="000000"/>
            </a:solidFill>
            <a:uFill>
              <a:solidFill>
                <a:srgbClr val="FFFFFF"/>
              </a:solidFill>
            </a:uFill>
            <a:latin typeface="Times New Roman"/>
          </a:endParaRPr>
        </a:p>
      </xdr:txBody>
    </xdr:sp>
    <xdr:clientData/>
  </xdr:oneCellAnchor>
  <xdr:oneCellAnchor>
    <xdr:from>
      <xdr:col>8</xdr:col>
      <xdr:colOff>142875</xdr:colOff>
      <xdr:row>55</xdr:row>
      <xdr:rowOff>104775</xdr:rowOff>
    </xdr:from>
    <xdr:ext cx="1619250" cy="866775"/>
    <xdr:sp macro="" textlink="">
      <xdr:nvSpPr>
        <xdr:cNvPr id="11" name="CustomShape 1"/>
        <xdr:cNvSpPr/>
      </xdr:nvSpPr>
      <xdr:spPr>
        <a:xfrm>
          <a:off x="5381625" y="10629900"/>
          <a:ext cx="1619250" cy="866775"/>
        </a:xfrm>
        <a:prstGeom prst="foldedCorner">
          <a:avLst>
            <a:gd name="adj" fmla="val 16667"/>
          </a:avLst>
        </a:prstGeom>
        <a:solidFill>
          <a:srgbClr val="FFFFFF"/>
        </a:solidFill>
        <a:ln w="3240">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lstStyle/>
        <a:p>
          <a:pPr>
            <a:lnSpc>
              <a:spcPct val="100000"/>
            </a:lnSpc>
          </a:pPr>
          <a:r>
            <a:rPr lang="es-PE" sz="900" b="0" strike="noStrike" spc="-1">
              <a:solidFill>
                <a:srgbClr val="000000"/>
              </a:solidFill>
              <a:uFill>
                <a:solidFill>
                  <a:srgbClr val="FFFFFF"/>
                </a:solidFill>
              </a:uFill>
              <a:latin typeface="Arial"/>
            </a:rPr>
            <a:t>Hojas de cálculo de emisiones de GEI </a:t>
          </a:r>
        </a:p>
        <a:p>
          <a:pPr>
            <a:lnSpc>
              <a:spcPct val="100000"/>
            </a:lnSpc>
          </a:pPr>
          <a:r>
            <a:rPr lang="es-PE" sz="900" b="0" strike="noStrike" spc="-1">
              <a:solidFill>
                <a:srgbClr val="000000"/>
              </a:solidFill>
              <a:uFill>
                <a:solidFill>
                  <a:srgbClr val="FFFFFF"/>
                </a:solidFill>
              </a:uFill>
              <a:latin typeface="Arial"/>
            </a:rPr>
            <a:t>(GL 2006)</a:t>
          </a:r>
          <a:endParaRPr lang="es-PE" sz="1200" b="0" strike="noStrike" spc="-1">
            <a:solidFill>
              <a:srgbClr val="000000"/>
            </a:solidFill>
            <a:uFill>
              <a:solidFill>
                <a:srgbClr val="FFFFFF"/>
              </a:solidFill>
            </a:uFill>
            <a:latin typeface="Times New Roman"/>
          </a:endParaRPr>
        </a:p>
      </xdr:txBody>
    </xdr:sp>
    <xdr:clientData/>
  </xdr:oneCellAnchor>
  <xdr:oneCellAnchor>
    <xdr:from>
      <xdr:col>6</xdr:col>
      <xdr:colOff>447675</xdr:colOff>
      <xdr:row>52</xdr:row>
      <xdr:rowOff>161925</xdr:rowOff>
    </xdr:from>
    <xdr:ext cx="1181100" cy="942975"/>
    <xdr:sp macro="" textlink="">
      <xdr:nvSpPr>
        <xdr:cNvPr id="12" name="CustomShape 1"/>
        <xdr:cNvSpPr/>
      </xdr:nvSpPr>
      <xdr:spPr>
        <a:xfrm>
          <a:off x="4200525" y="10115550"/>
          <a:ext cx="1181100" cy="942975"/>
        </a:xfrm>
        <a:prstGeom prst="bentConnector3">
          <a:avLst>
            <a:gd name="adj1" fmla="val 50000"/>
          </a:avLst>
        </a:prstGeom>
        <a:noFill/>
        <a:ln w="19080">
          <a:solidFill>
            <a:srgbClr val="000000"/>
          </a:solidFill>
          <a:round/>
          <a:headEnd type="none"/>
          <a:tailEnd type="triangle"/>
        </a:ln>
      </xdr:spPr>
      <xdr:style>
        <a:lnRef idx="1">
          <a:schemeClr val="accent1"/>
        </a:lnRef>
        <a:fillRef idx="0">
          <a:schemeClr val="accent1"/>
        </a:fillRef>
        <a:effectRef idx="0">
          <a:schemeClr val="accent1"/>
        </a:effectRef>
        <a:fontRef idx="minor">
          <a:schemeClr val="tx1"/>
        </a:fontRef>
      </xdr:style>
    </xdr:sp>
    <xdr:clientData/>
  </xdr:oneCellAnchor>
  <xdr:oneCellAnchor>
    <xdr:from>
      <xdr:col>6</xdr:col>
      <xdr:colOff>447675</xdr:colOff>
      <xdr:row>57</xdr:row>
      <xdr:rowOff>152400</xdr:rowOff>
    </xdr:from>
    <xdr:ext cx="1181100" cy="1095375"/>
    <xdr:sp macro="" textlink="">
      <xdr:nvSpPr>
        <xdr:cNvPr id="13" name="CustomShape 1"/>
        <xdr:cNvSpPr/>
      </xdr:nvSpPr>
      <xdr:spPr>
        <a:xfrm flipV="1">
          <a:off x="4200525" y="11058525"/>
          <a:ext cx="1181100" cy="1095375"/>
        </a:xfrm>
        <a:prstGeom prst="bentConnector3">
          <a:avLst>
            <a:gd name="adj1" fmla="val 50000"/>
          </a:avLst>
        </a:prstGeom>
        <a:noFill/>
        <a:ln w="19080">
          <a:solidFill>
            <a:srgbClr val="000000"/>
          </a:solidFill>
          <a:round/>
          <a:headEnd type="none"/>
          <a:tailEnd type="triangle"/>
        </a:ln>
      </xdr:spPr>
      <xdr:style>
        <a:lnRef idx="1">
          <a:schemeClr val="accent1"/>
        </a:lnRef>
        <a:fillRef idx="0">
          <a:schemeClr val="accent1"/>
        </a:fillRef>
        <a:effectRef idx="0">
          <a:schemeClr val="accent1"/>
        </a:effectRef>
        <a:fontRef idx="minor">
          <a:schemeClr val="tx1"/>
        </a:fontRef>
      </xdr:style>
    </xdr:sp>
    <xdr:clientData/>
  </xdr:oneCellAnchor>
  <xdr:oneCellAnchor>
    <xdr:from>
      <xdr:col>11</xdr:col>
      <xdr:colOff>152400</xdr:colOff>
      <xdr:row>55</xdr:row>
      <xdr:rowOff>104775</xdr:rowOff>
    </xdr:from>
    <xdr:ext cx="1619250" cy="866775"/>
    <xdr:sp macro="" textlink="">
      <xdr:nvSpPr>
        <xdr:cNvPr id="14" name="CustomShape 1"/>
        <xdr:cNvSpPr/>
      </xdr:nvSpPr>
      <xdr:spPr>
        <a:xfrm>
          <a:off x="7620000" y="10629900"/>
          <a:ext cx="1619250" cy="866775"/>
        </a:xfrm>
        <a:prstGeom prst="foldedCorner">
          <a:avLst>
            <a:gd name="adj" fmla="val 16667"/>
          </a:avLst>
        </a:prstGeom>
        <a:solidFill>
          <a:srgbClr val="FFFFFF"/>
        </a:solidFill>
        <a:ln w="3240">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lstStyle/>
        <a:p>
          <a:pPr>
            <a:lnSpc>
              <a:spcPct val="100000"/>
            </a:lnSpc>
          </a:pPr>
          <a:r>
            <a:rPr lang="es-PE" sz="900" b="0" strike="noStrike" spc="-1">
              <a:solidFill>
                <a:srgbClr val="000000"/>
              </a:solidFill>
              <a:uFill>
                <a:solidFill>
                  <a:srgbClr val="FFFFFF"/>
                </a:solidFill>
              </a:uFill>
              <a:latin typeface="Arial"/>
            </a:rPr>
            <a:t>Hojas de resultados (GL2006) </a:t>
          </a:r>
          <a:endParaRPr lang="es-PE" sz="1200" b="0" strike="noStrike" spc="-1">
            <a:solidFill>
              <a:srgbClr val="000000"/>
            </a:solidFill>
            <a:uFill>
              <a:solidFill>
                <a:srgbClr val="FFFFFF"/>
              </a:solidFill>
            </a:uFill>
            <a:latin typeface="Times New Roman"/>
          </a:endParaRPr>
        </a:p>
      </xdr:txBody>
    </xdr:sp>
    <xdr:clientData/>
  </xdr:oneCellAnchor>
  <xdr:oneCellAnchor>
    <xdr:from>
      <xdr:col>1</xdr:col>
      <xdr:colOff>123825</xdr:colOff>
      <xdr:row>55</xdr:row>
      <xdr:rowOff>152400</xdr:rowOff>
    </xdr:from>
    <xdr:ext cx="1619250" cy="866775"/>
    <xdr:sp macro="" textlink="">
      <xdr:nvSpPr>
        <xdr:cNvPr id="15" name="CustomShape 1"/>
        <xdr:cNvSpPr/>
      </xdr:nvSpPr>
      <xdr:spPr>
        <a:xfrm>
          <a:off x="342900" y="10677525"/>
          <a:ext cx="1619250" cy="866775"/>
        </a:xfrm>
        <a:prstGeom prst="rect">
          <a:avLst/>
        </a:prstGeom>
        <a:solidFill>
          <a:srgbClr val="FFFFFF"/>
        </a:solidFill>
        <a:ln w="9360">
          <a:solidFill>
            <a:srgbClr val="FFFFFF"/>
          </a:solidFill>
          <a:round/>
          <a:headEnd type="none"/>
          <a:tailEnd type="none"/>
        </a:ln>
      </xdr:spPr>
      <xdr:style>
        <a:lnRef idx="0">
          <a:srgbClr val="000000"/>
        </a:lnRef>
        <a:fillRef idx="0">
          <a:srgbClr val="000000"/>
        </a:fillRef>
        <a:effectRef idx="0">
          <a:srgbClr val="000000"/>
        </a:effectRef>
        <a:fontRef idx="minor">
          <a:schemeClr val="tx1"/>
        </a:fontRef>
      </xdr:style>
      <xdr:txBody>
        <a:bodyPr lIns="90000" tIns="45000" rIns="90000" bIns="45000"/>
        <a:lstStyle/>
        <a:p>
          <a:r>
            <a:rPr lang="es-PE" sz="800" b="0" i="1" strike="noStrike" spc="-1">
              <a:solidFill>
                <a:srgbClr val="808080"/>
              </a:solidFill>
              <a:uFill>
                <a:solidFill>
                  <a:srgbClr val="FFFFFF"/>
                </a:solidFill>
              </a:uFill>
              <a:latin typeface="Arial"/>
            </a:rPr>
            <a:t>Información original, tal cual es entregada por la fuente.</a:t>
          </a:r>
          <a:endParaRPr lang="es-PE" sz="1200" b="0" strike="noStrike" spc="-1">
            <a:solidFill>
              <a:srgbClr val="000000"/>
            </a:solidFill>
            <a:uFill>
              <a:solidFill>
                <a:srgbClr val="FFFFFF"/>
              </a:solidFill>
            </a:uFill>
            <a:latin typeface="Times New Roman"/>
          </a:endParaRPr>
        </a:p>
      </xdr:txBody>
    </xdr:sp>
    <xdr:clientData/>
  </xdr:oneCellAnchor>
  <xdr:oneCellAnchor>
    <xdr:from>
      <xdr:col>3</xdr:col>
      <xdr:colOff>647700</xdr:colOff>
      <xdr:row>55</xdr:row>
      <xdr:rowOff>133350</xdr:rowOff>
    </xdr:from>
    <xdr:ext cx="1619250" cy="866775"/>
    <xdr:sp macro="" textlink="">
      <xdr:nvSpPr>
        <xdr:cNvPr id="16" name="CustomShape 1"/>
        <xdr:cNvSpPr/>
      </xdr:nvSpPr>
      <xdr:spPr>
        <a:xfrm>
          <a:off x="2590800" y="10658475"/>
          <a:ext cx="1619250" cy="866775"/>
        </a:xfrm>
        <a:prstGeom prst="rect">
          <a:avLst/>
        </a:prstGeom>
        <a:solidFill>
          <a:srgbClr val="FFFFFF"/>
        </a:solidFill>
        <a:ln w="9360">
          <a:solidFill>
            <a:srgbClr val="FFFFFF"/>
          </a:solidFill>
          <a:round/>
          <a:headEnd type="none"/>
          <a:tailEnd type="none"/>
        </a:ln>
      </xdr:spPr>
      <xdr:style>
        <a:lnRef idx="0">
          <a:srgbClr val="000000"/>
        </a:lnRef>
        <a:fillRef idx="0">
          <a:srgbClr val="000000"/>
        </a:fillRef>
        <a:effectRef idx="0">
          <a:srgbClr val="000000"/>
        </a:effectRef>
        <a:fontRef idx="minor">
          <a:schemeClr val="tx1"/>
        </a:fontRef>
      </xdr:style>
      <xdr:txBody>
        <a:bodyPr lIns="90000" tIns="45000" rIns="90000" bIns="45000"/>
        <a:lstStyle/>
        <a:p>
          <a:pPr algn="just">
            <a:lnSpc>
              <a:spcPct val="100000"/>
            </a:lnSpc>
          </a:pPr>
          <a:r>
            <a:rPr lang="es-PE" sz="800" b="0" i="1" strike="noStrike" spc="-1">
              <a:solidFill>
                <a:srgbClr val="808080"/>
              </a:solidFill>
              <a:uFill>
                <a:solidFill>
                  <a:srgbClr val="FFFFFF"/>
                </a:solidFill>
              </a:uFill>
              <a:latin typeface="Arial"/>
            </a:rPr>
            <a:t>Información original procesada, para se usada en el RAGEI del sector.</a:t>
          </a:r>
          <a:endParaRPr lang="es-PE" sz="1200" b="0" strike="noStrike" spc="-1">
            <a:solidFill>
              <a:srgbClr val="000000"/>
            </a:solidFill>
            <a:uFill>
              <a:solidFill>
                <a:srgbClr val="FFFFFF"/>
              </a:solidFill>
            </a:uFill>
            <a:latin typeface="Times New Roman"/>
          </a:endParaRPr>
        </a:p>
      </xdr:txBody>
    </xdr:sp>
    <xdr:clientData/>
  </xdr:oneCellAnchor>
  <xdr:oneCellAnchor>
    <xdr:from>
      <xdr:col>3</xdr:col>
      <xdr:colOff>638175</xdr:colOff>
      <xdr:row>66</xdr:row>
      <xdr:rowOff>114300</xdr:rowOff>
    </xdr:from>
    <xdr:ext cx="1619250" cy="866775"/>
    <xdr:sp macro="" textlink="">
      <xdr:nvSpPr>
        <xdr:cNvPr id="17" name="CustomShape 1"/>
        <xdr:cNvSpPr/>
      </xdr:nvSpPr>
      <xdr:spPr>
        <a:xfrm>
          <a:off x="2581275" y="12734925"/>
          <a:ext cx="1619250" cy="866775"/>
        </a:xfrm>
        <a:prstGeom prst="rect">
          <a:avLst/>
        </a:prstGeom>
        <a:solidFill>
          <a:srgbClr val="FFFFFF"/>
        </a:solidFill>
        <a:ln w="9360">
          <a:solidFill>
            <a:srgbClr val="FFFFFF"/>
          </a:solidFill>
          <a:round/>
          <a:headEnd type="none"/>
          <a:tailEnd type="none"/>
        </a:ln>
      </xdr:spPr>
      <xdr:style>
        <a:lnRef idx="0">
          <a:srgbClr val="000000"/>
        </a:lnRef>
        <a:fillRef idx="0">
          <a:srgbClr val="000000"/>
        </a:fillRef>
        <a:effectRef idx="0">
          <a:srgbClr val="000000"/>
        </a:effectRef>
        <a:fontRef idx="minor">
          <a:schemeClr val="tx1"/>
        </a:fontRef>
      </xdr:style>
      <xdr:txBody>
        <a:bodyPr lIns="90000" tIns="45000" rIns="90000" bIns="45000"/>
        <a:lstStyle/>
        <a:p>
          <a:pPr algn="just">
            <a:lnSpc>
              <a:spcPct val="100000"/>
            </a:lnSpc>
          </a:pPr>
          <a:r>
            <a:rPr lang="es-PE" sz="800" b="0" i="1" strike="noStrike" spc="-1">
              <a:solidFill>
                <a:srgbClr val="808080"/>
              </a:solidFill>
              <a:uFill>
                <a:solidFill>
                  <a:srgbClr val="FFFFFF"/>
                </a:solidFill>
              </a:uFill>
              <a:latin typeface="Arial"/>
            </a:rPr>
            <a:t>Factores de emisión por fuente y factores de  conversión asociados al sector del RAGEI</a:t>
          </a:r>
          <a:endParaRPr lang="es-PE" sz="1200" b="0" strike="noStrike" spc="-1">
            <a:solidFill>
              <a:srgbClr val="000000"/>
            </a:solidFill>
            <a:uFill>
              <a:solidFill>
                <a:srgbClr val="FFFFFF"/>
              </a:solidFill>
            </a:uFill>
            <a:latin typeface="Times New Roman"/>
          </a:endParaRPr>
        </a:p>
      </xdr:txBody>
    </xdr:sp>
    <xdr:clientData/>
  </xdr:oneCellAnchor>
  <xdr:oneCellAnchor>
    <xdr:from>
      <xdr:col>8</xdr:col>
      <xdr:colOff>142875</xdr:colOff>
      <xdr:row>60</xdr:row>
      <xdr:rowOff>133350</xdr:rowOff>
    </xdr:from>
    <xdr:ext cx="1619250" cy="866775"/>
    <xdr:sp macro="" textlink="">
      <xdr:nvSpPr>
        <xdr:cNvPr id="18" name="CustomShape 1"/>
        <xdr:cNvSpPr/>
      </xdr:nvSpPr>
      <xdr:spPr>
        <a:xfrm>
          <a:off x="5381625" y="11610975"/>
          <a:ext cx="1619250" cy="866775"/>
        </a:xfrm>
        <a:prstGeom prst="rect">
          <a:avLst/>
        </a:prstGeom>
        <a:solidFill>
          <a:srgbClr val="FFFFFF"/>
        </a:solidFill>
        <a:ln w="9360">
          <a:solidFill>
            <a:srgbClr val="FFFFFF"/>
          </a:solidFill>
          <a:round/>
          <a:headEnd type="none"/>
          <a:tailEnd type="none"/>
        </a:ln>
      </xdr:spPr>
      <xdr:style>
        <a:lnRef idx="0">
          <a:srgbClr val="000000"/>
        </a:lnRef>
        <a:fillRef idx="0">
          <a:srgbClr val="000000"/>
        </a:fillRef>
        <a:effectRef idx="0">
          <a:srgbClr val="000000"/>
        </a:effectRef>
        <a:fontRef idx="minor">
          <a:schemeClr val="tx1"/>
        </a:fontRef>
      </xdr:style>
      <xdr:txBody>
        <a:bodyPr lIns="90000" tIns="45000" rIns="90000" bIns="45000"/>
        <a:lstStyle/>
        <a:p>
          <a:pPr algn="just">
            <a:lnSpc>
              <a:spcPct val="100000"/>
            </a:lnSpc>
          </a:pPr>
          <a:r>
            <a:rPr lang="es-PE" sz="800" b="0" i="1" strike="noStrike" spc="-1">
              <a:solidFill>
                <a:srgbClr val="808080"/>
              </a:solidFill>
              <a:uFill>
                <a:solidFill>
                  <a:srgbClr val="FFFFFF"/>
                </a:solidFill>
              </a:uFill>
              <a:latin typeface="Arial"/>
            </a:rPr>
            <a:t>Formatos de cálculo, según las Directrices 2006 del IPCC para inventarios nacionales de GEI (GL2006)</a:t>
          </a:r>
          <a:endParaRPr lang="es-PE" sz="1200" b="0" strike="noStrike" spc="-1">
            <a:solidFill>
              <a:srgbClr val="000000"/>
            </a:solidFill>
            <a:uFill>
              <a:solidFill>
                <a:srgbClr val="FFFFFF"/>
              </a:solidFill>
            </a:uFill>
            <a:latin typeface="Times New Roman"/>
          </a:endParaRPr>
        </a:p>
      </xdr:txBody>
    </xdr:sp>
    <xdr:clientData/>
  </xdr:oneCellAnchor>
  <xdr:oneCellAnchor>
    <xdr:from>
      <xdr:col>11</xdr:col>
      <xdr:colOff>161925</xdr:colOff>
      <xdr:row>60</xdr:row>
      <xdr:rowOff>133350</xdr:rowOff>
    </xdr:from>
    <xdr:ext cx="1619250" cy="866775"/>
    <xdr:sp macro="" textlink="">
      <xdr:nvSpPr>
        <xdr:cNvPr id="19" name="CustomShape 1"/>
        <xdr:cNvSpPr/>
      </xdr:nvSpPr>
      <xdr:spPr>
        <a:xfrm>
          <a:off x="7629525" y="11610975"/>
          <a:ext cx="1619250" cy="866775"/>
        </a:xfrm>
        <a:prstGeom prst="rect">
          <a:avLst/>
        </a:prstGeom>
        <a:solidFill>
          <a:srgbClr val="FFFFFF"/>
        </a:solidFill>
        <a:ln w="9360">
          <a:solidFill>
            <a:srgbClr val="FFFFFF"/>
          </a:solidFill>
          <a:round/>
          <a:headEnd type="none"/>
          <a:tailEnd type="none"/>
        </a:ln>
      </xdr:spPr>
      <xdr:style>
        <a:lnRef idx="0">
          <a:srgbClr val="000000"/>
        </a:lnRef>
        <a:fillRef idx="0">
          <a:srgbClr val="000000"/>
        </a:fillRef>
        <a:effectRef idx="0">
          <a:srgbClr val="000000"/>
        </a:effectRef>
        <a:fontRef idx="minor">
          <a:schemeClr val="tx1"/>
        </a:fontRef>
      </xdr:style>
      <xdr:txBody>
        <a:bodyPr lIns="90000" tIns="45000" rIns="90000" bIns="45000"/>
        <a:lstStyle/>
        <a:p>
          <a:pPr algn="just">
            <a:lnSpc>
              <a:spcPct val="100000"/>
            </a:lnSpc>
          </a:pPr>
          <a:r>
            <a:rPr lang="es-PE" sz="800" b="0" i="1" strike="noStrike" spc="-1">
              <a:solidFill>
                <a:srgbClr val="808080"/>
              </a:solidFill>
              <a:uFill>
                <a:solidFill>
                  <a:srgbClr val="FFFFFF"/>
                </a:solidFill>
              </a:uFill>
              <a:latin typeface="Arial"/>
            </a:rPr>
            <a:t>Presenta dos versiones:</a:t>
          </a:r>
          <a:endParaRPr lang="es-PE" sz="1200" b="0" strike="noStrike" spc="-1">
            <a:solidFill>
              <a:srgbClr val="000000"/>
            </a:solidFill>
            <a:uFill>
              <a:solidFill>
                <a:srgbClr val="FFFFFF"/>
              </a:solidFill>
            </a:uFill>
            <a:latin typeface="Times New Roman"/>
          </a:endParaRPr>
        </a:p>
        <a:p>
          <a:pPr algn="just">
            <a:lnSpc>
              <a:spcPct val="100000"/>
            </a:lnSpc>
          </a:pPr>
          <a:r>
            <a:rPr lang="es-PE" sz="800" b="0" i="1" strike="noStrike" spc="-1">
              <a:solidFill>
                <a:srgbClr val="808080"/>
              </a:solidFill>
              <a:uFill>
                <a:solidFill>
                  <a:srgbClr val="FFFFFF"/>
                </a:solidFill>
              </a:uFill>
              <a:latin typeface="Arial"/>
            </a:rPr>
            <a:t>- Hoja de resultados, según formato GL1996</a:t>
          </a:r>
          <a:r>
            <a:rPr lang="es-PE" sz="1100" b="0" i="1" strike="noStrike" spc="-1">
              <a:solidFill>
                <a:srgbClr val="000000"/>
              </a:solidFill>
              <a:uFill>
                <a:solidFill>
                  <a:srgbClr val="FFFFFF"/>
                </a:solidFill>
              </a:uFill>
              <a:latin typeface="Calibri"/>
            </a:rPr>
            <a:t>.</a:t>
          </a:r>
          <a:endParaRPr lang="es-PE" sz="1200" b="0" strike="noStrike" spc="-1">
            <a:solidFill>
              <a:srgbClr val="000000"/>
            </a:solidFill>
            <a:uFill>
              <a:solidFill>
                <a:srgbClr val="FFFFFF"/>
              </a:solidFill>
            </a:uFill>
            <a:latin typeface="Times New Roman"/>
          </a:endParaRPr>
        </a:p>
      </xdr:txBody>
    </xdr:sp>
    <xdr:clientData/>
  </xdr:oneCellAnchor>
  <xdr:oneCellAnchor>
    <xdr:from>
      <xdr:col>1</xdr:col>
      <xdr:colOff>228600</xdr:colOff>
      <xdr:row>61</xdr:row>
      <xdr:rowOff>57150</xdr:rowOff>
    </xdr:from>
    <xdr:ext cx="1619250" cy="866775"/>
    <xdr:sp macro="" textlink="">
      <xdr:nvSpPr>
        <xdr:cNvPr id="20" name="CustomShape 1"/>
        <xdr:cNvSpPr/>
      </xdr:nvSpPr>
      <xdr:spPr>
        <a:xfrm>
          <a:off x="447675" y="11725275"/>
          <a:ext cx="1619250" cy="866775"/>
        </a:xfrm>
        <a:prstGeom prst="foldedCorner">
          <a:avLst>
            <a:gd name="adj" fmla="val 16667"/>
          </a:avLst>
        </a:prstGeom>
        <a:solidFill>
          <a:srgbClr val="FFFFFF"/>
        </a:solidFill>
        <a:ln w="3240">
          <a:solidFill>
            <a:srgbClr val="000000"/>
          </a:solidFill>
          <a:round/>
          <a:headEnd type="none"/>
          <a:tailEnd type="none"/>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lstStyle/>
        <a:p>
          <a:pPr>
            <a:lnSpc>
              <a:spcPct val="100000"/>
            </a:lnSpc>
          </a:pPr>
          <a:r>
            <a:rPr lang="es-PE" sz="900" b="0" strike="noStrike" spc="-1">
              <a:solidFill>
                <a:srgbClr val="000000"/>
              </a:solidFill>
              <a:uFill>
                <a:solidFill>
                  <a:srgbClr val="FFFFFF"/>
                </a:solidFill>
              </a:uFill>
              <a:latin typeface="Arial"/>
            </a:rPr>
            <a:t>Hoja de Características de datos. </a:t>
          </a:r>
          <a:endParaRPr lang="es-PE" sz="1200" b="0" strike="noStrike" spc="-1">
            <a:solidFill>
              <a:srgbClr val="000000"/>
            </a:solidFill>
            <a:uFill>
              <a:solidFill>
                <a:srgbClr val="FFFFFF"/>
              </a:solidFill>
            </a:uFill>
            <a:latin typeface="Times New Roman"/>
          </a:endParaRPr>
        </a:p>
      </xdr:txBody>
    </xdr:sp>
    <xdr:clientData/>
  </xdr:oneCellAnchor>
  <xdr:oneCellAnchor>
    <xdr:from>
      <xdr:col>1</xdr:col>
      <xdr:colOff>228600</xdr:colOff>
      <xdr:row>52</xdr:row>
      <xdr:rowOff>161925</xdr:rowOff>
    </xdr:from>
    <xdr:ext cx="0" cy="2038350"/>
    <xdr:sp macro="" textlink="">
      <xdr:nvSpPr>
        <xdr:cNvPr id="21" name="CustomShape 1"/>
        <xdr:cNvSpPr/>
      </xdr:nvSpPr>
      <xdr:spPr>
        <a:xfrm>
          <a:off x="447675" y="10115550"/>
          <a:ext cx="0" cy="2038350"/>
        </a:xfrm>
        <a:prstGeom prst="bentConnector3">
          <a:avLst>
            <a:gd name="adj1" fmla="val 0"/>
          </a:avLst>
        </a:prstGeom>
        <a:noFill/>
        <a:ln w="12600" cap="rnd">
          <a:solidFill>
            <a:srgbClr val="000000"/>
          </a:solidFill>
          <a:custDash>
            <a:ds d="400000" sp="300000"/>
          </a:custDash>
          <a:round/>
          <a:headEnd type="none"/>
          <a:tailEnd type="triangle"/>
        </a:ln>
      </xdr:spPr>
      <xdr:style>
        <a:lnRef idx="1">
          <a:schemeClr val="accent1"/>
        </a:lnRef>
        <a:fillRef idx="0">
          <a:schemeClr val="accent1"/>
        </a:fillRef>
        <a:effectRef idx="0">
          <a:schemeClr val="accent1"/>
        </a:effectRef>
        <a:fontRef idx="minor">
          <a:schemeClr val="tx1"/>
        </a:fontRef>
      </xdr:style>
    </xdr:sp>
    <xdr:clientData/>
  </xdr:oneCellAnchor>
  <xdr:oneCellAnchor>
    <xdr:from>
      <xdr:col>1</xdr:col>
      <xdr:colOff>228600</xdr:colOff>
      <xdr:row>66</xdr:row>
      <xdr:rowOff>114300</xdr:rowOff>
    </xdr:from>
    <xdr:ext cx="1619250" cy="866775"/>
    <xdr:sp macro="" textlink="">
      <xdr:nvSpPr>
        <xdr:cNvPr id="22" name="CustomShape 1"/>
        <xdr:cNvSpPr/>
      </xdr:nvSpPr>
      <xdr:spPr>
        <a:xfrm>
          <a:off x="447675" y="12734925"/>
          <a:ext cx="1619250" cy="866775"/>
        </a:xfrm>
        <a:prstGeom prst="rect">
          <a:avLst/>
        </a:prstGeom>
        <a:solidFill>
          <a:srgbClr val="FFFFFF"/>
        </a:solidFill>
        <a:ln w="9360">
          <a:solidFill>
            <a:srgbClr val="FFFFFF"/>
          </a:solidFill>
          <a:round/>
          <a:headEnd type="none"/>
          <a:tailEnd type="none"/>
        </a:ln>
      </xdr:spPr>
      <xdr:style>
        <a:lnRef idx="0">
          <a:srgbClr val="000000"/>
        </a:lnRef>
        <a:fillRef idx="0">
          <a:srgbClr val="000000"/>
        </a:fillRef>
        <a:effectRef idx="0">
          <a:srgbClr val="000000"/>
        </a:effectRef>
        <a:fontRef idx="minor">
          <a:schemeClr val="tx1"/>
        </a:fontRef>
      </xdr:style>
      <xdr:txBody>
        <a:bodyPr lIns="90000" tIns="45000" rIns="90000" bIns="45000"/>
        <a:lstStyle/>
        <a:p>
          <a:pPr algn="just">
            <a:lnSpc>
              <a:spcPct val="100000"/>
            </a:lnSpc>
          </a:pPr>
          <a:r>
            <a:rPr lang="es-PE" sz="800" b="0" i="1" strike="noStrike" spc="-1">
              <a:solidFill>
                <a:srgbClr val="808080"/>
              </a:solidFill>
              <a:uFill>
                <a:solidFill>
                  <a:srgbClr val="FFFFFF"/>
                </a:solidFill>
              </a:uFill>
              <a:latin typeface="Arial"/>
            </a:rPr>
            <a:t>Es una hoja informativa  de los datos del sector, necesarios para el RAGEI.</a:t>
          </a:r>
          <a:endParaRPr lang="es-PE" sz="1200" b="0" strike="noStrike" spc="-1">
            <a:solidFill>
              <a:srgbClr val="000000"/>
            </a:solidFill>
            <a:uFill>
              <a:solidFill>
                <a:srgbClr val="FFFFFF"/>
              </a:solidFill>
            </a:uFill>
            <a:latin typeface="Times New Roman"/>
          </a:endParaRPr>
        </a:p>
      </xdr:txBody>
    </xdr:sp>
    <xdr:clientData/>
  </xdr:oneCellAnchor>
  <xdr:oneCellAnchor>
    <xdr:from>
      <xdr:col>10</xdr:col>
      <xdr:colOff>276225</xdr:colOff>
      <xdr:row>57</xdr:row>
      <xdr:rowOff>152400</xdr:rowOff>
    </xdr:from>
    <xdr:ext cx="619125" cy="0"/>
    <xdr:sp macro="" textlink="">
      <xdr:nvSpPr>
        <xdr:cNvPr id="23" name="CustomShape 1"/>
        <xdr:cNvSpPr/>
      </xdr:nvSpPr>
      <xdr:spPr>
        <a:xfrm flipV="1">
          <a:off x="7000875" y="11058525"/>
          <a:ext cx="619125" cy="0"/>
        </a:xfrm>
        <a:custGeom>
          <a:avLst/>
          <a:gdLst/>
          <a:ahLst/>
          <a:cxnLst/>
          <a:rect l="l" t="t" r="r" b="b"/>
          <a:pathLst>
            <a:path h="21600" w="21600">
              <a:moveTo>
                <a:pt x="0" y="0"/>
              </a:moveTo>
              <a:lnTo>
                <a:pt x="21600" y="21600"/>
              </a:lnTo>
            </a:path>
          </a:pathLst>
        </a:custGeom>
        <a:noFill/>
        <a:ln w="19080">
          <a:solidFill>
            <a:srgbClr val="FFFFFF"/>
          </a:solidFill>
          <a:round/>
          <a:headEnd type="none"/>
          <a:tailEnd type="triangle"/>
        </a:ln>
      </xdr:spPr>
      <xdr:style>
        <a:lnRef idx="1">
          <a:schemeClr val="accent1"/>
        </a:lnRef>
        <a:fillRef idx="0">
          <a:schemeClr val="accent1"/>
        </a:fillRef>
        <a:effectRef idx="0">
          <a:schemeClr val="accent1"/>
        </a:effectRef>
        <a:fontRef idx="minor">
          <a:schemeClr val="tx1"/>
        </a:fontRef>
      </xdr:style>
    </xdr:sp>
    <xdr:clientData/>
  </xdr:oneCellAnchor>
  <xdr:oneCellAnchor>
    <xdr:from>
      <xdr:col>3</xdr:col>
      <xdr:colOff>123825</xdr:colOff>
      <xdr:row>52</xdr:row>
      <xdr:rowOff>161925</xdr:rowOff>
    </xdr:from>
    <xdr:ext cx="514350" cy="0"/>
    <xdr:sp macro="" textlink="">
      <xdr:nvSpPr>
        <xdr:cNvPr id="24" name="CustomShape 1"/>
        <xdr:cNvSpPr/>
      </xdr:nvSpPr>
      <xdr:spPr>
        <a:xfrm>
          <a:off x="2066925" y="10115550"/>
          <a:ext cx="514350" cy="0"/>
        </a:xfrm>
        <a:custGeom>
          <a:avLst/>
          <a:gdLst/>
          <a:ahLst/>
          <a:cxnLst/>
          <a:rect l="l" t="t" r="r" b="b"/>
          <a:pathLst>
            <a:path h="21600" w="21600">
              <a:moveTo>
                <a:pt x="0" y="0"/>
              </a:moveTo>
              <a:lnTo>
                <a:pt x="21600" y="21600"/>
              </a:lnTo>
            </a:path>
          </a:pathLst>
        </a:custGeom>
        <a:noFill/>
        <a:ln w="19080">
          <a:solidFill>
            <a:srgbClr val="FFFFFF"/>
          </a:solidFill>
          <a:round/>
          <a:headEnd type="none"/>
          <a:tailEnd type="triangle"/>
        </a:ln>
      </xdr:spPr>
      <xdr:style>
        <a:lnRef idx="1">
          <a:schemeClr val="accent1"/>
        </a:lnRef>
        <a:fillRef idx="0">
          <a:schemeClr val="accent1"/>
        </a:fillRef>
        <a:effectRef idx="0">
          <a:schemeClr val="accent1"/>
        </a:effectRef>
        <a:fontRef idx="minor">
          <a:schemeClr val="tx1"/>
        </a:fontRef>
      </xdr:style>
    </xdr:sp>
    <xdr:clientData/>
  </xdr:oneCellAnchor>
  <xdr:oneCellAnchor>
    <xdr:from>
      <xdr:col>3</xdr:col>
      <xdr:colOff>533400</xdr:colOff>
      <xdr:row>25</xdr:row>
      <xdr:rowOff>76200</xdr:rowOff>
    </xdr:from>
    <xdr:ext cx="1200150" cy="1657350"/>
    <xdr:pic>
      <xdr:nvPicPr>
        <xdr:cNvPr id="25" name="25 Imagen"/>
        <xdr:cNvPicPr preferRelativeResize="1">
          <a:picLocks noChangeAspect="1"/>
        </xdr:cNvPicPr>
      </xdr:nvPicPr>
      <xdr:blipFill>
        <a:blip r:embed="rId1"/>
        <a:stretch>
          <a:fillRect/>
        </a:stretch>
      </xdr:blipFill>
      <xdr:spPr>
        <a:xfrm>
          <a:off x="2476500" y="5076825"/>
          <a:ext cx="1200150" cy="1657350"/>
        </a:xfrm>
        <a:prstGeom prst="rect">
          <a:avLst/>
        </a:prstGeom>
        <a:ln>
          <a:noFill/>
        </a:ln>
      </xdr:spPr>
    </xdr:pic>
    <xdr:clientData/>
  </xdr:oneCellAnchor>
  <xdr:twoCellAnchor editAs="oneCell">
    <xdr:from>
      <xdr:col>1</xdr:col>
      <xdr:colOff>857250</xdr:colOff>
      <xdr:row>25</xdr:row>
      <xdr:rowOff>76200</xdr:rowOff>
    </xdr:from>
    <xdr:to>
      <xdr:col>3</xdr:col>
      <xdr:colOff>495300</xdr:colOff>
      <xdr:row>34</xdr:row>
      <xdr:rowOff>47625</xdr:rowOff>
    </xdr:to>
    <xdr:pic>
      <xdr:nvPicPr>
        <xdr:cNvPr id="27" name="Imagen 2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076325" y="5076825"/>
          <a:ext cx="1362075" cy="14573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xdr:colOff>
      <xdr:row>2</xdr:row>
      <xdr:rowOff>66675</xdr:rowOff>
    </xdr:from>
    <xdr:ext cx="1800225" cy="276225"/>
    <xdr:sp macro="" textlink="">
      <xdr:nvSpPr>
        <xdr:cNvPr id="2" name="CustomShape 1">
          <a:hlinkClick r:id="rId1"/>
        </xdr:cNvPr>
        <xdr:cNvSpPr/>
      </xdr:nvSpPr>
      <xdr:spPr>
        <a:xfrm>
          <a:off x="3886200" y="552450"/>
          <a:ext cx="1800225" cy="276225"/>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3C2</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6</xdr:col>
      <xdr:colOff>295275</xdr:colOff>
      <xdr:row>2</xdr:row>
      <xdr:rowOff>57150</xdr:rowOff>
    </xdr:from>
    <xdr:ext cx="1990725" cy="266700"/>
    <xdr:sp macro="" textlink="">
      <xdr:nvSpPr>
        <xdr:cNvPr id="3" name="CustomShape 1"/>
        <xdr:cNvSpPr/>
      </xdr:nvSpPr>
      <xdr:spPr>
        <a:xfrm>
          <a:off x="5619750" y="542925"/>
          <a:ext cx="1990725" cy="26670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3C2 INFO PROC</a:t>
          </a:r>
          <a:endParaRPr lang="en-US" sz="1000">
            <a:solidFill>
              <a:schemeClr val="bg1"/>
            </a:solidFill>
            <a:effectLst/>
          </a:endParaRPr>
        </a:p>
      </xdr:txBody>
    </xdr:sp>
    <xdr:clientData/>
  </xdr:oneCellAnchor>
  <xdr:twoCellAnchor editAs="absolute">
    <xdr:from>
      <xdr:col>9</xdr:col>
      <xdr:colOff>38100</xdr:colOff>
      <xdr:row>2</xdr:row>
      <xdr:rowOff>66675</xdr:rowOff>
    </xdr:from>
    <xdr:to>
      <xdr:col>11</xdr:col>
      <xdr:colOff>581025</xdr:colOff>
      <xdr:row>4</xdr:row>
      <xdr:rowOff>9525</xdr:rowOff>
    </xdr:to>
    <xdr:sp macro="" textlink="">
      <xdr:nvSpPr>
        <xdr:cNvPr id="5" name="CustomShape 1">
          <a:hlinkClick r:id="rId2"/>
        </xdr:cNvPr>
        <xdr:cNvSpPr/>
      </xdr:nvSpPr>
      <xdr:spPr>
        <a:xfrm>
          <a:off x="7534275" y="552450"/>
          <a:ext cx="1990725" cy="26670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3C2 EMISIONES</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704850</xdr:colOff>
      <xdr:row>2</xdr:row>
      <xdr:rowOff>47625</xdr:rowOff>
    </xdr:from>
    <xdr:to>
      <xdr:col>10</xdr:col>
      <xdr:colOff>523875</xdr:colOff>
      <xdr:row>4</xdr:row>
      <xdr:rowOff>0</xdr:rowOff>
    </xdr:to>
    <xdr:sp macro="" textlink="">
      <xdr:nvSpPr>
        <xdr:cNvPr id="2" name="CustomShape 1">
          <a:hlinkClick r:id="rId1"/>
        </xdr:cNvPr>
        <xdr:cNvSpPr/>
      </xdr:nvSpPr>
      <xdr:spPr>
        <a:xfrm>
          <a:off x="5772150" y="533400"/>
          <a:ext cx="1990725" cy="276225"/>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3C3 EMISIONES</a:t>
          </a:r>
          <a:endParaRPr lang="es-PE" sz="1050" b="0" strike="noStrike" spc="-1">
            <a:solidFill>
              <a:srgbClr val="000000"/>
            </a:solidFill>
            <a:uFill>
              <a:solidFill>
                <a:srgbClr val="FFFFFF"/>
              </a:solidFill>
            </a:uFill>
            <a:latin typeface="Times New Roman"/>
          </a:endParaRPr>
        </a:p>
      </xdr:txBody>
    </xdr:sp>
    <xdr:clientData/>
  </xdr:twoCellAnchor>
  <xdr:oneCellAnchor>
    <xdr:from>
      <xdr:col>3</xdr:col>
      <xdr:colOff>114300</xdr:colOff>
      <xdr:row>2</xdr:row>
      <xdr:rowOff>57150</xdr:rowOff>
    </xdr:from>
    <xdr:ext cx="1800225" cy="266700"/>
    <xdr:sp macro="" textlink="">
      <xdr:nvSpPr>
        <xdr:cNvPr id="3" name="CustomShape 1">
          <a:hlinkClick r:id="rId2"/>
        </xdr:cNvPr>
        <xdr:cNvSpPr/>
      </xdr:nvSpPr>
      <xdr:spPr>
        <a:xfrm>
          <a:off x="2286000" y="542925"/>
          <a:ext cx="1800225" cy="26670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3C3</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5</xdr:col>
      <xdr:colOff>295275</xdr:colOff>
      <xdr:row>2</xdr:row>
      <xdr:rowOff>57150</xdr:rowOff>
    </xdr:from>
    <xdr:ext cx="1990725" cy="266700"/>
    <xdr:sp macro="" textlink="">
      <xdr:nvSpPr>
        <xdr:cNvPr id="4" name="CustomShape 1"/>
        <xdr:cNvSpPr/>
      </xdr:nvSpPr>
      <xdr:spPr>
        <a:xfrm>
          <a:off x="3914775" y="542925"/>
          <a:ext cx="1990725" cy="26670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3C3 INFO PROC</a:t>
          </a:r>
          <a:endParaRPr lang="en-US" sz="1000">
            <a:solidFill>
              <a:schemeClr val="bg1"/>
            </a:solidFill>
            <a:effectLst/>
          </a:endParaRP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2</xdr:row>
      <xdr:rowOff>57150</xdr:rowOff>
    </xdr:from>
    <xdr:ext cx="1800225" cy="323850"/>
    <xdr:sp macro="" textlink="">
      <xdr:nvSpPr>
        <xdr:cNvPr id="5" name="CustomShape 1">
          <a:hlinkClick r:id="rId1"/>
        </xdr:cNvPr>
        <xdr:cNvSpPr/>
      </xdr:nvSpPr>
      <xdr:spPr>
        <a:xfrm>
          <a:off x="4257675" y="742950"/>
          <a:ext cx="1800225" cy="32385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3C4_3C5</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4</xdr:col>
      <xdr:colOff>781050</xdr:colOff>
      <xdr:row>3</xdr:row>
      <xdr:rowOff>28575</xdr:rowOff>
    </xdr:from>
    <xdr:ext cx="1990725" cy="323850"/>
    <xdr:sp macro="" textlink="">
      <xdr:nvSpPr>
        <xdr:cNvPr id="6" name="CustomShape 1"/>
        <xdr:cNvSpPr/>
      </xdr:nvSpPr>
      <xdr:spPr>
        <a:xfrm>
          <a:off x="6076950" y="904875"/>
          <a:ext cx="1990725" cy="3238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 INFO PROC</a:t>
          </a:r>
          <a:endParaRPr lang="en-US" sz="1000">
            <a:solidFill>
              <a:schemeClr val="bg1"/>
            </a:solidFill>
            <a:effectLst/>
          </a:endParaRPr>
        </a:p>
      </xdr:txBody>
    </xdr:sp>
    <xdr:clientData/>
  </xdr:oneCellAnchor>
  <xdr:twoCellAnchor editAs="absolute">
    <xdr:from>
      <xdr:col>9</xdr:col>
      <xdr:colOff>0</xdr:colOff>
      <xdr:row>15</xdr:row>
      <xdr:rowOff>104775</xdr:rowOff>
    </xdr:from>
    <xdr:to>
      <xdr:col>11</xdr:col>
      <xdr:colOff>447675</xdr:colOff>
      <xdr:row>17</xdr:row>
      <xdr:rowOff>47625</xdr:rowOff>
    </xdr:to>
    <xdr:sp macro="" textlink="">
      <xdr:nvSpPr>
        <xdr:cNvPr id="7" name="CustomShape 1">
          <a:hlinkClick r:id="rId2"/>
        </xdr:cNvPr>
        <xdr:cNvSpPr/>
      </xdr:nvSpPr>
      <xdr:spPr>
        <a:xfrm>
          <a:off x="9982200" y="3714750"/>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3C4 EMISIONES</a:t>
          </a:r>
          <a:endParaRPr lang="es-PE" sz="1050" b="0" strike="noStrike" spc="-1">
            <a:solidFill>
              <a:srgbClr val="000000"/>
            </a:solidFill>
            <a:uFill>
              <a:solidFill>
                <a:srgbClr val="FFFFFF"/>
              </a:solidFill>
            </a:uFill>
            <a:latin typeface="Times New Roman"/>
          </a:endParaRPr>
        </a:p>
      </xdr:txBody>
    </xdr:sp>
    <xdr:clientData/>
  </xdr:twoCellAnchor>
  <xdr:oneCellAnchor>
    <xdr:from>
      <xdr:col>5</xdr:col>
      <xdr:colOff>123825</xdr:colOff>
      <xdr:row>14</xdr:row>
      <xdr:rowOff>152400</xdr:rowOff>
    </xdr:from>
    <xdr:ext cx="1800225" cy="323850"/>
    <xdr:sp macro="" textlink="">
      <xdr:nvSpPr>
        <xdr:cNvPr id="8" name="CustomShape 1">
          <a:hlinkClick r:id="rId3"/>
        </xdr:cNvPr>
        <xdr:cNvSpPr/>
      </xdr:nvSpPr>
      <xdr:spPr>
        <a:xfrm>
          <a:off x="6305550" y="3571875"/>
          <a:ext cx="1800225" cy="32385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3C4_3C5</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6</xdr:col>
      <xdr:colOff>1000125</xdr:colOff>
      <xdr:row>15</xdr:row>
      <xdr:rowOff>114300</xdr:rowOff>
    </xdr:from>
    <xdr:ext cx="1990725" cy="323850"/>
    <xdr:sp macro="" textlink="">
      <xdr:nvSpPr>
        <xdr:cNvPr id="9" name="CustomShape 1"/>
        <xdr:cNvSpPr/>
      </xdr:nvSpPr>
      <xdr:spPr>
        <a:xfrm>
          <a:off x="8096250" y="3724275"/>
          <a:ext cx="1990725" cy="3238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 INFO PROC</a:t>
          </a:r>
          <a:endParaRPr lang="en-US" sz="1000">
            <a:solidFill>
              <a:schemeClr val="bg1"/>
            </a:solidFill>
            <a:effectLst/>
          </a:endParaRPr>
        </a:p>
      </xdr:txBody>
    </xdr:sp>
    <xdr:clientData/>
  </xdr:oneCellAnchor>
  <xdr:oneCellAnchor>
    <xdr:from>
      <xdr:col>7</xdr:col>
      <xdr:colOff>95250</xdr:colOff>
      <xdr:row>42</xdr:row>
      <xdr:rowOff>114300</xdr:rowOff>
    </xdr:from>
    <xdr:ext cx="1990725" cy="323850"/>
    <xdr:sp macro="" textlink="">
      <xdr:nvSpPr>
        <xdr:cNvPr id="12" name="CustomShape 1"/>
        <xdr:cNvSpPr/>
      </xdr:nvSpPr>
      <xdr:spPr>
        <a:xfrm>
          <a:off x="8401050" y="8867775"/>
          <a:ext cx="1990725" cy="323850"/>
        </a:xfrm>
        <a:prstGeom prst="homePlate">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 INFO PROC</a:t>
          </a:r>
          <a:endParaRPr lang="en-US" sz="1000">
            <a:solidFill>
              <a:schemeClr val="bg1"/>
            </a:solidFill>
            <a:effectLst/>
          </a:endParaRPr>
        </a:p>
      </xdr:txBody>
    </xdr:sp>
    <xdr:clientData/>
  </xdr:oneCellAnchor>
  <xdr:oneCellAnchor>
    <xdr:from>
      <xdr:col>8</xdr:col>
      <xdr:colOff>457200</xdr:colOff>
      <xdr:row>50</xdr:row>
      <xdr:rowOff>104775</xdr:rowOff>
    </xdr:from>
    <xdr:ext cx="1990725" cy="323850"/>
    <xdr:sp macro="" textlink="">
      <xdr:nvSpPr>
        <xdr:cNvPr id="16" name="CustomShape 1"/>
        <xdr:cNvSpPr/>
      </xdr:nvSpPr>
      <xdr:spPr>
        <a:xfrm>
          <a:off x="9534525" y="10382250"/>
          <a:ext cx="1990725" cy="323850"/>
        </a:xfrm>
        <a:prstGeom prst="chevron">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 INFO PROC</a:t>
          </a:r>
          <a:endParaRPr lang="en-US" sz="1000">
            <a:solidFill>
              <a:schemeClr val="bg1"/>
            </a:solidFill>
            <a:effectLst/>
          </a:endParaRPr>
        </a:p>
      </xdr:txBody>
    </xdr:sp>
    <xdr:clientData/>
  </xdr:oneCellAnchor>
  <xdr:oneCellAnchor>
    <xdr:from>
      <xdr:col>17</xdr:col>
      <xdr:colOff>171450</xdr:colOff>
      <xdr:row>61</xdr:row>
      <xdr:rowOff>57150</xdr:rowOff>
    </xdr:from>
    <xdr:ext cx="1800225" cy="323850"/>
    <xdr:sp macro="" textlink="">
      <xdr:nvSpPr>
        <xdr:cNvPr id="19" name="CustomShape 1"/>
        <xdr:cNvSpPr/>
      </xdr:nvSpPr>
      <xdr:spPr>
        <a:xfrm>
          <a:off x="16640175" y="12830175"/>
          <a:ext cx="1800225" cy="32385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3C4_3C5</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19</xdr:col>
      <xdr:colOff>314325</xdr:colOff>
      <xdr:row>62</xdr:row>
      <xdr:rowOff>28575</xdr:rowOff>
    </xdr:from>
    <xdr:ext cx="1990725" cy="323850"/>
    <xdr:sp macro="" textlink="">
      <xdr:nvSpPr>
        <xdr:cNvPr id="20" name="CustomShape 1"/>
        <xdr:cNvSpPr/>
      </xdr:nvSpPr>
      <xdr:spPr>
        <a:xfrm>
          <a:off x="18421350" y="12992100"/>
          <a:ext cx="1990725" cy="3238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 INFO PROC</a:t>
          </a:r>
          <a:endParaRPr lang="en-US" sz="1000">
            <a:solidFill>
              <a:schemeClr val="bg1"/>
            </a:solidFill>
            <a:effectLst/>
          </a:endParaRPr>
        </a:p>
      </xdr:txBody>
    </xdr:sp>
    <xdr:clientData/>
  </xdr:oneCellAnchor>
  <xdr:oneCellAnchor>
    <xdr:from>
      <xdr:col>7</xdr:col>
      <xdr:colOff>114300</xdr:colOff>
      <xdr:row>114</xdr:row>
      <xdr:rowOff>57150</xdr:rowOff>
    </xdr:from>
    <xdr:ext cx="1800225" cy="323850"/>
    <xdr:sp macro="" textlink="">
      <xdr:nvSpPr>
        <xdr:cNvPr id="21" name="CustomShape 1">
          <a:hlinkClick r:id="rId4"/>
        </xdr:cNvPr>
        <xdr:cNvSpPr/>
      </xdr:nvSpPr>
      <xdr:spPr>
        <a:xfrm>
          <a:off x="8420100" y="23183850"/>
          <a:ext cx="1800225" cy="32385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3C4_3C5</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9</xdr:col>
      <xdr:colOff>238125</xdr:colOff>
      <xdr:row>115</xdr:row>
      <xdr:rowOff>28575</xdr:rowOff>
    </xdr:from>
    <xdr:ext cx="1990725" cy="323850"/>
    <xdr:sp macro="" textlink="">
      <xdr:nvSpPr>
        <xdr:cNvPr id="22" name="CustomShape 1"/>
        <xdr:cNvSpPr/>
      </xdr:nvSpPr>
      <xdr:spPr>
        <a:xfrm>
          <a:off x="10220325" y="23345775"/>
          <a:ext cx="1990725" cy="3238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 INFO PROC</a:t>
          </a:r>
          <a:endParaRPr lang="en-US" sz="1000">
            <a:solidFill>
              <a:schemeClr val="bg1"/>
            </a:solidFill>
            <a:effectLst/>
          </a:endParaRPr>
        </a:p>
      </xdr:txBody>
    </xdr:sp>
    <xdr:clientData/>
  </xdr:oneCellAnchor>
  <xdr:oneCellAnchor>
    <xdr:from>
      <xdr:col>5</xdr:col>
      <xdr:colOff>114300</xdr:colOff>
      <xdr:row>156</xdr:row>
      <xdr:rowOff>57150</xdr:rowOff>
    </xdr:from>
    <xdr:ext cx="1800225" cy="323850"/>
    <xdr:sp macro="" textlink="">
      <xdr:nvSpPr>
        <xdr:cNvPr id="23" name="CustomShape 1">
          <a:hlinkClick r:id="rId5"/>
        </xdr:cNvPr>
        <xdr:cNvSpPr/>
      </xdr:nvSpPr>
      <xdr:spPr>
        <a:xfrm>
          <a:off x="6296025" y="31470600"/>
          <a:ext cx="1800225" cy="32385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3C4_3C5</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6</xdr:col>
      <xdr:colOff>619125</xdr:colOff>
      <xdr:row>156</xdr:row>
      <xdr:rowOff>57150</xdr:rowOff>
    </xdr:from>
    <xdr:ext cx="1990725" cy="323850"/>
    <xdr:sp macro="" textlink="">
      <xdr:nvSpPr>
        <xdr:cNvPr id="24" name="CustomShape 1"/>
        <xdr:cNvSpPr/>
      </xdr:nvSpPr>
      <xdr:spPr>
        <a:xfrm>
          <a:off x="7715250" y="31470600"/>
          <a:ext cx="1990725" cy="3238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 INFO PROC</a:t>
          </a:r>
          <a:endParaRPr lang="en-US" sz="1000">
            <a:solidFill>
              <a:schemeClr val="bg1"/>
            </a:solidFill>
            <a:effectLst/>
          </a:endParaRPr>
        </a:p>
      </xdr:txBody>
    </xdr:sp>
    <xdr:clientData/>
  </xdr:oneCellAnchor>
  <xdr:oneCellAnchor>
    <xdr:from>
      <xdr:col>5</xdr:col>
      <xdr:colOff>114300</xdr:colOff>
      <xdr:row>172</xdr:row>
      <xdr:rowOff>47625</xdr:rowOff>
    </xdr:from>
    <xdr:ext cx="1800225" cy="276225"/>
    <xdr:sp macro="" textlink="">
      <xdr:nvSpPr>
        <xdr:cNvPr id="25" name="CustomShape 1">
          <a:hlinkClick r:id="rId6"/>
        </xdr:cNvPr>
        <xdr:cNvSpPr/>
      </xdr:nvSpPr>
      <xdr:spPr>
        <a:xfrm>
          <a:off x="6296025" y="35985450"/>
          <a:ext cx="1800225" cy="276225"/>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3C4_3C5</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6</xdr:col>
      <xdr:colOff>1000125</xdr:colOff>
      <xdr:row>173</xdr:row>
      <xdr:rowOff>19050</xdr:rowOff>
    </xdr:from>
    <xdr:ext cx="1990725" cy="323850"/>
    <xdr:sp macro="" textlink="">
      <xdr:nvSpPr>
        <xdr:cNvPr id="26" name="CustomShape 1"/>
        <xdr:cNvSpPr/>
      </xdr:nvSpPr>
      <xdr:spPr>
        <a:xfrm>
          <a:off x="8096250" y="36118800"/>
          <a:ext cx="1990725" cy="3238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 INFO PROC</a:t>
          </a:r>
          <a:endParaRPr lang="en-US" sz="1000">
            <a:solidFill>
              <a:schemeClr val="bg1"/>
            </a:solidFill>
            <a:effectLst/>
          </a:endParaRPr>
        </a:p>
      </xdr:txBody>
    </xdr:sp>
    <xdr:clientData/>
  </xdr:oneCellAnchor>
  <xdr:oneCellAnchor>
    <xdr:from>
      <xdr:col>6</xdr:col>
      <xdr:colOff>114300</xdr:colOff>
      <xdr:row>182</xdr:row>
      <xdr:rowOff>57150</xdr:rowOff>
    </xdr:from>
    <xdr:ext cx="1800225" cy="323850"/>
    <xdr:sp macro="" textlink="">
      <xdr:nvSpPr>
        <xdr:cNvPr id="27" name="CustomShape 1">
          <a:hlinkClick r:id="rId7"/>
        </xdr:cNvPr>
        <xdr:cNvSpPr/>
      </xdr:nvSpPr>
      <xdr:spPr>
        <a:xfrm>
          <a:off x="7210425" y="37728525"/>
          <a:ext cx="1800225" cy="32385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3C4_3C5</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7</xdr:col>
      <xdr:colOff>704850</xdr:colOff>
      <xdr:row>183</xdr:row>
      <xdr:rowOff>19050</xdr:rowOff>
    </xdr:from>
    <xdr:ext cx="1990725" cy="323850"/>
    <xdr:sp macro="" textlink="">
      <xdr:nvSpPr>
        <xdr:cNvPr id="28" name="CustomShape 1"/>
        <xdr:cNvSpPr/>
      </xdr:nvSpPr>
      <xdr:spPr>
        <a:xfrm>
          <a:off x="9010650" y="37880925"/>
          <a:ext cx="1990725" cy="3238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 INFO PROC</a:t>
          </a:r>
          <a:endParaRPr lang="en-US" sz="1000">
            <a:solidFill>
              <a:schemeClr val="bg1"/>
            </a:solidFill>
            <a:effectLst/>
          </a:endParaRPr>
        </a:p>
      </xdr:txBody>
    </xdr:sp>
    <xdr:clientData/>
  </xdr:oneCellAnchor>
  <xdr:twoCellAnchor editAs="absolute">
    <xdr:from>
      <xdr:col>9</xdr:col>
      <xdr:colOff>419100</xdr:colOff>
      <xdr:row>41</xdr:row>
      <xdr:rowOff>123825</xdr:rowOff>
    </xdr:from>
    <xdr:to>
      <xdr:col>12</xdr:col>
      <xdr:colOff>95250</xdr:colOff>
      <xdr:row>43</xdr:row>
      <xdr:rowOff>66675</xdr:rowOff>
    </xdr:to>
    <xdr:sp macro="" textlink="">
      <xdr:nvSpPr>
        <xdr:cNvPr id="30" name="CustomShape 1">
          <a:hlinkClick r:id="rId8"/>
        </xdr:cNvPr>
        <xdr:cNvSpPr/>
      </xdr:nvSpPr>
      <xdr:spPr>
        <a:xfrm>
          <a:off x="10401300" y="8686800"/>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3C4 EMISIONES</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9</xdr:col>
      <xdr:colOff>428625</xdr:colOff>
      <xdr:row>43</xdr:row>
      <xdr:rowOff>76200</xdr:rowOff>
    </xdr:from>
    <xdr:to>
      <xdr:col>12</xdr:col>
      <xdr:colOff>104775</xdr:colOff>
      <xdr:row>45</xdr:row>
      <xdr:rowOff>19050</xdr:rowOff>
    </xdr:to>
    <xdr:sp macro="" textlink="">
      <xdr:nvSpPr>
        <xdr:cNvPr id="31" name="CustomShape 1">
          <a:hlinkClick r:id="rId9"/>
        </xdr:cNvPr>
        <xdr:cNvSpPr/>
      </xdr:nvSpPr>
      <xdr:spPr>
        <a:xfrm>
          <a:off x="10410825" y="9020175"/>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3C5 EMISIONES</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22</xdr:col>
      <xdr:colOff>114300</xdr:colOff>
      <xdr:row>97</xdr:row>
      <xdr:rowOff>76200</xdr:rowOff>
    </xdr:from>
    <xdr:to>
      <xdr:col>24</xdr:col>
      <xdr:colOff>657225</xdr:colOff>
      <xdr:row>99</xdr:row>
      <xdr:rowOff>28575</xdr:rowOff>
    </xdr:to>
    <xdr:sp macro="" textlink="">
      <xdr:nvSpPr>
        <xdr:cNvPr id="32" name="CustomShape 1">
          <a:hlinkClick r:id="rId10"/>
        </xdr:cNvPr>
        <xdr:cNvSpPr/>
      </xdr:nvSpPr>
      <xdr:spPr>
        <a:xfrm>
          <a:off x="20393025" y="19850100"/>
          <a:ext cx="1990725" cy="30480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3C4 EMISIONES</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11</xdr:col>
      <xdr:colOff>638175</xdr:colOff>
      <xdr:row>115</xdr:row>
      <xdr:rowOff>28575</xdr:rowOff>
    </xdr:from>
    <xdr:to>
      <xdr:col>14</xdr:col>
      <xdr:colOff>409575</xdr:colOff>
      <xdr:row>116</xdr:row>
      <xdr:rowOff>161925</xdr:rowOff>
    </xdr:to>
    <xdr:sp macro="" textlink="">
      <xdr:nvSpPr>
        <xdr:cNvPr id="34" name="CustomShape 1">
          <a:hlinkClick r:id="rId11"/>
        </xdr:cNvPr>
        <xdr:cNvSpPr/>
      </xdr:nvSpPr>
      <xdr:spPr>
        <a:xfrm>
          <a:off x="12163425" y="23345775"/>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3C4 EMISIONES</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10</xdr:col>
      <xdr:colOff>190500</xdr:colOff>
      <xdr:row>183</xdr:row>
      <xdr:rowOff>19050</xdr:rowOff>
    </xdr:from>
    <xdr:to>
      <xdr:col>12</xdr:col>
      <xdr:colOff>638175</xdr:colOff>
      <xdr:row>184</xdr:row>
      <xdr:rowOff>152400</xdr:rowOff>
    </xdr:to>
    <xdr:sp macro="" textlink="">
      <xdr:nvSpPr>
        <xdr:cNvPr id="35" name="CustomShape 1">
          <a:hlinkClick r:id="rId12"/>
        </xdr:cNvPr>
        <xdr:cNvSpPr/>
      </xdr:nvSpPr>
      <xdr:spPr>
        <a:xfrm>
          <a:off x="10944225" y="37880925"/>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3C4 EMISIONES</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8</xdr:col>
      <xdr:colOff>876300</xdr:colOff>
      <xdr:row>210</xdr:row>
      <xdr:rowOff>9525</xdr:rowOff>
    </xdr:from>
    <xdr:to>
      <xdr:col>11</xdr:col>
      <xdr:colOff>419100</xdr:colOff>
      <xdr:row>211</xdr:row>
      <xdr:rowOff>142875</xdr:rowOff>
    </xdr:to>
    <xdr:sp macro="" textlink="">
      <xdr:nvSpPr>
        <xdr:cNvPr id="36" name="CustomShape 1">
          <a:hlinkClick r:id="rId13"/>
        </xdr:cNvPr>
        <xdr:cNvSpPr/>
      </xdr:nvSpPr>
      <xdr:spPr>
        <a:xfrm>
          <a:off x="9953625" y="43014900"/>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3C4 EMISIONES</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8</xdr:col>
      <xdr:colOff>581025</xdr:colOff>
      <xdr:row>156</xdr:row>
      <xdr:rowOff>66675</xdr:rowOff>
    </xdr:from>
    <xdr:to>
      <xdr:col>11</xdr:col>
      <xdr:colOff>123825</xdr:colOff>
      <xdr:row>156</xdr:row>
      <xdr:rowOff>390525</xdr:rowOff>
    </xdr:to>
    <xdr:sp macro="" textlink="">
      <xdr:nvSpPr>
        <xdr:cNvPr id="38" name="CustomShape 1">
          <a:hlinkClick r:id="rId14"/>
        </xdr:cNvPr>
        <xdr:cNvSpPr/>
      </xdr:nvSpPr>
      <xdr:spPr>
        <a:xfrm>
          <a:off x="9658350" y="31480125"/>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3C5 EMISIONES</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22</xdr:col>
      <xdr:colOff>114300</xdr:colOff>
      <xdr:row>99</xdr:row>
      <xdr:rowOff>47625</xdr:rowOff>
    </xdr:from>
    <xdr:to>
      <xdr:col>24</xdr:col>
      <xdr:colOff>657225</xdr:colOff>
      <xdr:row>100</xdr:row>
      <xdr:rowOff>180975</xdr:rowOff>
    </xdr:to>
    <xdr:sp macro="" textlink="">
      <xdr:nvSpPr>
        <xdr:cNvPr id="40" name="CustomShape 1">
          <a:hlinkClick r:id="rId15"/>
        </xdr:cNvPr>
        <xdr:cNvSpPr/>
      </xdr:nvSpPr>
      <xdr:spPr>
        <a:xfrm>
          <a:off x="20393025" y="20173950"/>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3C5 EMISIONES</a:t>
          </a:r>
          <a:endParaRPr lang="es-PE" sz="1050" b="0" strike="noStrike" spc="-1">
            <a:solidFill>
              <a:srgbClr val="000000"/>
            </a:solidFill>
            <a:uFill>
              <a:solidFill>
                <a:srgbClr val="FFFFFF"/>
              </a:solidFill>
            </a:uFill>
            <a:latin typeface="Times New Roman"/>
          </a:endParaRPr>
        </a:p>
      </xdr:txBody>
    </xdr:sp>
    <xdr:clientData/>
  </xdr:twoCellAnchor>
  <xdr:oneCellAnchor>
    <xdr:from>
      <xdr:col>3</xdr:col>
      <xdr:colOff>38100</xdr:colOff>
      <xdr:row>10</xdr:row>
      <xdr:rowOff>76200</xdr:rowOff>
    </xdr:from>
    <xdr:ext cx="1990725" cy="323850"/>
    <xdr:sp macro="" textlink="">
      <xdr:nvSpPr>
        <xdr:cNvPr id="43" name="CustomShape 1"/>
        <xdr:cNvSpPr/>
      </xdr:nvSpPr>
      <xdr:spPr>
        <a:xfrm>
          <a:off x="4181475" y="2590800"/>
          <a:ext cx="1990725" cy="323850"/>
        </a:xfrm>
        <a:prstGeom prst="homePlate">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 INFO PROC</a:t>
          </a:r>
          <a:endParaRPr lang="en-US" sz="1000">
            <a:solidFill>
              <a:schemeClr val="bg1"/>
            </a:solidFill>
            <a:effectLst/>
          </a:endParaRPr>
        </a:p>
      </xdr:txBody>
    </xdr:sp>
    <xdr:clientData/>
  </xdr:oneCellAnchor>
  <xdr:twoCellAnchor editAs="absolute">
    <xdr:from>
      <xdr:col>6</xdr:col>
      <xdr:colOff>857250</xdr:colOff>
      <xdr:row>3</xdr:row>
      <xdr:rowOff>38100</xdr:rowOff>
    </xdr:from>
    <xdr:to>
      <xdr:col>8</xdr:col>
      <xdr:colOff>866775</xdr:colOff>
      <xdr:row>4</xdr:row>
      <xdr:rowOff>171450</xdr:rowOff>
    </xdr:to>
    <xdr:sp macro="" textlink="">
      <xdr:nvSpPr>
        <xdr:cNvPr id="44" name="CustomShape 1">
          <a:hlinkClick r:id="rId16"/>
        </xdr:cNvPr>
        <xdr:cNvSpPr/>
      </xdr:nvSpPr>
      <xdr:spPr>
        <a:xfrm>
          <a:off x="7953375" y="914400"/>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3C5 EMISIONES</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4</xdr:col>
      <xdr:colOff>742950</xdr:colOff>
      <xdr:row>10</xdr:row>
      <xdr:rowOff>85725</xdr:rowOff>
    </xdr:from>
    <xdr:to>
      <xdr:col>6</xdr:col>
      <xdr:colOff>933450</xdr:colOff>
      <xdr:row>12</xdr:row>
      <xdr:rowOff>28575</xdr:rowOff>
    </xdr:to>
    <xdr:sp macro="" textlink="">
      <xdr:nvSpPr>
        <xdr:cNvPr id="45" name="CustomShape 1">
          <a:hlinkClick r:id="rId17"/>
        </xdr:cNvPr>
        <xdr:cNvSpPr/>
      </xdr:nvSpPr>
      <xdr:spPr>
        <a:xfrm>
          <a:off x="6038850" y="2600325"/>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3C4 EMISIONES</a:t>
          </a:r>
          <a:endParaRPr lang="es-PE" sz="1050" b="0" strike="noStrike" spc="-1">
            <a:solidFill>
              <a:srgbClr val="000000"/>
            </a:solidFill>
            <a:uFill>
              <a:solidFill>
                <a:srgbClr val="FFFFFF"/>
              </a:solidFill>
            </a:uFill>
            <a:latin typeface="Times New Roman"/>
          </a:endParaRPr>
        </a:p>
      </xdr:txBody>
    </xdr:sp>
    <xdr:clientData/>
  </xdr:twoCellAnchor>
  <xdr:oneCellAnchor>
    <xdr:from>
      <xdr:col>3</xdr:col>
      <xdr:colOff>123825</xdr:colOff>
      <xdr:row>4</xdr:row>
      <xdr:rowOff>9525</xdr:rowOff>
    </xdr:from>
    <xdr:ext cx="1771650" cy="323850"/>
    <xdr:sp macro="" textlink="">
      <xdr:nvSpPr>
        <xdr:cNvPr id="46" name="CustomShape 1">
          <a:hlinkClick r:id="rId18"/>
        </xdr:cNvPr>
        <xdr:cNvSpPr/>
      </xdr:nvSpPr>
      <xdr:spPr>
        <a:xfrm>
          <a:off x="4267200" y="1076325"/>
          <a:ext cx="1771650" cy="323850"/>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5</xdr:col>
      <xdr:colOff>133350</xdr:colOff>
      <xdr:row>16</xdr:row>
      <xdr:rowOff>95250</xdr:rowOff>
    </xdr:from>
    <xdr:ext cx="1771650" cy="323850"/>
    <xdr:sp macro="" textlink="">
      <xdr:nvSpPr>
        <xdr:cNvPr id="47" name="CustomShape 1">
          <a:hlinkClick r:id="rId19"/>
        </xdr:cNvPr>
        <xdr:cNvSpPr/>
      </xdr:nvSpPr>
      <xdr:spPr>
        <a:xfrm>
          <a:off x="6315075" y="3895725"/>
          <a:ext cx="1771650" cy="323850"/>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7</xdr:col>
      <xdr:colOff>85725</xdr:colOff>
      <xdr:row>50</xdr:row>
      <xdr:rowOff>95250</xdr:rowOff>
    </xdr:from>
    <xdr:ext cx="1238250" cy="323850"/>
    <xdr:sp macro="" textlink="">
      <xdr:nvSpPr>
        <xdr:cNvPr id="48" name="CustomShape 1">
          <a:hlinkClick r:id="rId20"/>
        </xdr:cNvPr>
        <xdr:cNvSpPr/>
      </xdr:nvSpPr>
      <xdr:spPr>
        <a:xfrm>
          <a:off x="8391525" y="10372725"/>
          <a:ext cx="1238250" cy="323850"/>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17</xdr:col>
      <xdr:colOff>276225</xdr:colOff>
      <xdr:row>63</xdr:row>
      <xdr:rowOff>0</xdr:rowOff>
    </xdr:from>
    <xdr:ext cx="1685925" cy="323850"/>
    <xdr:sp macro="" textlink="">
      <xdr:nvSpPr>
        <xdr:cNvPr id="50" name="CustomShape 1">
          <a:hlinkClick r:id="rId21"/>
        </xdr:cNvPr>
        <xdr:cNvSpPr/>
      </xdr:nvSpPr>
      <xdr:spPr>
        <a:xfrm>
          <a:off x="16744950" y="13154025"/>
          <a:ext cx="1685925" cy="323850"/>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7</xdr:col>
      <xdr:colOff>123825</xdr:colOff>
      <xdr:row>116</xdr:row>
      <xdr:rowOff>0</xdr:rowOff>
    </xdr:from>
    <xdr:ext cx="1771650" cy="323850"/>
    <xdr:sp macro="" textlink="">
      <xdr:nvSpPr>
        <xdr:cNvPr id="51" name="CustomShape 1">
          <a:hlinkClick r:id="rId22"/>
        </xdr:cNvPr>
        <xdr:cNvSpPr/>
      </xdr:nvSpPr>
      <xdr:spPr>
        <a:xfrm>
          <a:off x="8429625" y="23507700"/>
          <a:ext cx="1771650" cy="323850"/>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5</xdr:col>
      <xdr:colOff>114300</xdr:colOff>
      <xdr:row>174</xdr:row>
      <xdr:rowOff>0</xdr:rowOff>
    </xdr:from>
    <xdr:ext cx="1771650" cy="295275"/>
    <xdr:sp macro="" textlink="">
      <xdr:nvSpPr>
        <xdr:cNvPr id="53" name="CustomShape 1">
          <a:hlinkClick r:id="rId23"/>
        </xdr:cNvPr>
        <xdr:cNvSpPr/>
      </xdr:nvSpPr>
      <xdr:spPr>
        <a:xfrm>
          <a:off x="6296025" y="36261675"/>
          <a:ext cx="1771650" cy="295275"/>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6</xdr:col>
      <xdr:colOff>114300</xdr:colOff>
      <xdr:row>184</xdr:row>
      <xdr:rowOff>9525</xdr:rowOff>
    </xdr:from>
    <xdr:ext cx="1781175" cy="323850"/>
    <xdr:sp macro="" textlink="">
      <xdr:nvSpPr>
        <xdr:cNvPr id="54" name="CustomShape 1">
          <a:hlinkClick r:id="rId24"/>
        </xdr:cNvPr>
        <xdr:cNvSpPr/>
      </xdr:nvSpPr>
      <xdr:spPr>
        <a:xfrm>
          <a:off x="7210425" y="38061900"/>
          <a:ext cx="1781175" cy="323850"/>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95250</xdr:colOff>
      <xdr:row>36</xdr:row>
      <xdr:rowOff>47625</xdr:rowOff>
    </xdr:from>
    <xdr:ext cx="1800225" cy="295275"/>
    <xdr:sp macro="" textlink="">
      <xdr:nvSpPr>
        <xdr:cNvPr id="4" name="CustomShape 1">
          <a:hlinkClick r:id="rId1"/>
        </xdr:cNvPr>
        <xdr:cNvSpPr/>
      </xdr:nvSpPr>
      <xdr:spPr>
        <a:xfrm>
          <a:off x="9925050" y="6362700"/>
          <a:ext cx="1800225" cy="295275"/>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3C7</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10</xdr:col>
      <xdr:colOff>371475</xdr:colOff>
      <xdr:row>37</xdr:row>
      <xdr:rowOff>38100</xdr:rowOff>
    </xdr:from>
    <xdr:ext cx="1990725" cy="323850"/>
    <xdr:sp macro="" textlink="">
      <xdr:nvSpPr>
        <xdr:cNvPr id="5" name="CustomShape 1"/>
        <xdr:cNvSpPr/>
      </xdr:nvSpPr>
      <xdr:spPr>
        <a:xfrm>
          <a:off x="11725275" y="6515100"/>
          <a:ext cx="1990725" cy="3238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3C7 INFO PROC</a:t>
          </a:r>
          <a:endParaRPr lang="en-US" sz="1000">
            <a:solidFill>
              <a:schemeClr val="bg1"/>
            </a:solidFill>
            <a:effectLst/>
          </a:endParaRPr>
        </a:p>
      </xdr:txBody>
    </xdr:sp>
    <xdr:clientData/>
  </xdr:oneCellAnchor>
  <xdr:twoCellAnchor editAs="absolute">
    <xdr:from>
      <xdr:col>12</xdr:col>
      <xdr:colOff>600075</xdr:colOff>
      <xdr:row>2</xdr:row>
      <xdr:rowOff>47625</xdr:rowOff>
    </xdr:from>
    <xdr:to>
      <xdr:col>15</xdr:col>
      <xdr:colOff>304800</xdr:colOff>
      <xdr:row>4</xdr:row>
      <xdr:rowOff>47625</xdr:rowOff>
    </xdr:to>
    <xdr:sp macro="" textlink="">
      <xdr:nvSpPr>
        <xdr:cNvPr id="6" name="CustomShape 1"/>
        <xdr:cNvSpPr/>
      </xdr:nvSpPr>
      <xdr:spPr>
        <a:xfrm>
          <a:off x="13477875" y="400050"/>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3C7 EMISIONES</a:t>
          </a:r>
          <a:endParaRPr lang="es-PE" sz="1050" b="0" strike="noStrike" spc="-1">
            <a:solidFill>
              <a:srgbClr val="000000"/>
            </a:solidFill>
            <a:uFill>
              <a:solidFill>
                <a:srgbClr val="FFFFFF"/>
              </a:solidFill>
            </a:uFill>
            <a:latin typeface="Times New Roman"/>
          </a:endParaRPr>
        </a:p>
      </xdr:txBody>
    </xdr:sp>
    <xdr:clientData/>
  </xdr:twoCellAnchor>
  <xdr:oneCellAnchor>
    <xdr:from>
      <xdr:col>4</xdr:col>
      <xdr:colOff>114300</xdr:colOff>
      <xdr:row>2</xdr:row>
      <xdr:rowOff>57150</xdr:rowOff>
    </xdr:from>
    <xdr:ext cx="1800225" cy="323850"/>
    <xdr:sp macro="" textlink="">
      <xdr:nvSpPr>
        <xdr:cNvPr id="11" name="CustomShape 1">
          <a:hlinkClick r:id="rId2"/>
        </xdr:cNvPr>
        <xdr:cNvSpPr/>
      </xdr:nvSpPr>
      <xdr:spPr>
        <a:xfrm>
          <a:off x="6029325" y="409575"/>
          <a:ext cx="1800225" cy="32385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3C7</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5</xdr:col>
      <xdr:colOff>695325</xdr:colOff>
      <xdr:row>2</xdr:row>
      <xdr:rowOff>57150</xdr:rowOff>
    </xdr:from>
    <xdr:ext cx="1990725" cy="323850"/>
    <xdr:sp macro="" textlink="">
      <xdr:nvSpPr>
        <xdr:cNvPr id="12" name="CustomShape 1"/>
        <xdr:cNvSpPr/>
      </xdr:nvSpPr>
      <xdr:spPr>
        <a:xfrm>
          <a:off x="7658100" y="409575"/>
          <a:ext cx="1990725" cy="3238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3C7 INFO PROC</a:t>
          </a:r>
          <a:endParaRPr lang="en-US" sz="1000">
            <a:solidFill>
              <a:schemeClr val="bg1"/>
            </a:solidFill>
            <a:effectLst/>
          </a:endParaRPr>
        </a:p>
      </xdr:txBody>
    </xdr:sp>
    <xdr:clientData/>
  </xdr:oneCellAnchor>
  <xdr:twoCellAnchor editAs="absolute">
    <xdr:from>
      <xdr:col>12</xdr:col>
      <xdr:colOff>733425</xdr:colOff>
      <xdr:row>37</xdr:row>
      <xdr:rowOff>28575</xdr:rowOff>
    </xdr:from>
    <xdr:to>
      <xdr:col>15</xdr:col>
      <xdr:colOff>438150</xdr:colOff>
      <xdr:row>39</xdr:row>
      <xdr:rowOff>28575</xdr:rowOff>
    </xdr:to>
    <xdr:sp macro="" textlink="">
      <xdr:nvSpPr>
        <xdr:cNvPr id="13" name="CustomShape 1">
          <a:hlinkClick r:id="rId3"/>
        </xdr:cNvPr>
        <xdr:cNvSpPr/>
      </xdr:nvSpPr>
      <xdr:spPr>
        <a:xfrm>
          <a:off x="13611225" y="6505575"/>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3C7 EMISIONES</a:t>
          </a:r>
          <a:endParaRPr lang="es-PE" sz="1050" b="0" strike="noStrike" spc="-1">
            <a:solidFill>
              <a:srgbClr val="000000"/>
            </a:solidFill>
            <a:uFill>
              <a:solidFill>
                <a:srgbClr val="FFFFFF"/>
              </a:solidFill>
            </a:uFill>
            <a:latin typeface="Times New Roman"/>
          </a:endParaRPr>
        </a:p>
      </xdr:txBody>
    </xdr:sp>
    <xdr:clientData/>
  </xdr:twoCellAnchor>
  <xdr:oneCellAnchor>
    <xdr:from>
      <xdr:col>8</xdr:col>
      <xdr:colOff>114300</xdr:colOff>
      <xdr:row>38</xdr:row>
      <xdr:rowOff>47625</xdr:rowOff>
    </xdr:from>
    <xdr:ext cx="1762125" cy="314325"/>
    <xdr:sp macro="" textlink="">
      <xdr:nvSpPr>
        <xdr:cNvPr id="14" name="CustomShape 1">
          <a:hlinkClick r:id="rId4"/>
        </xdr:cNvPr>
        <xdr:cNvSpPr/>
      </xdr:nvSpPr>
      <xdr:spPr>
        <a:xfrm>
          <a:off x="9944100" y="6686550"/>
          <a:ext cx="1762125" cy="314325"/>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macro="" textlink="">
      <xdr:nvSpPr>
        <xdr:cNvPr id="36"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9"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0"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2"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3"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5"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6"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7"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8"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9"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2"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3"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4"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6"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7"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8"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9"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0"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1"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2"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3"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4"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5"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6"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7"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8"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9"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0"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1"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oneCellAnchor>
    <xdr:from>
      <xdr:col>5</xdr:col>
      <xdr:colOff>914400</xdr:colOff>
      <xdr:row>21</xdr:row>
      <xdr:rowOff>38100</xdr:rowOff>
    </xdr:from>
    <xdr:ext cx="1981200" cy="295275"/>
    <xdr:sp macro="" textlink="">
      <xdr:nvSpPr>
        <xdr:cNvPr id="81" name="CustomShape 1">
          <a:hlinkClick r:id="rId1"/>
        </xdr:cNvPr>
        <xdr:cNvSpPr/>
      </xdr:nvSpPr>
      <xdr:spPr>
        <a:xfrm>
          <a:off x="8134350" y="4667250"/>
          <a:ext cx="19812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5</xdr:col>
      <xdr:colOff>933450</xdr:colOff>
      <xdr:row>21</xdr:row>
      <xdr:rowOff>190500</xdr:rowOff>
    </xdr:from>
    <xdr:ext cx="1981200" cy="457200"/>
    <xdr:sp macro="" textlink="">
      <xdr:nvSpPr>
        <xdr:cNvPr id="82" name="CustomShape 1">
          <a:hlinkClick r:id="rId2"/>
        </xdr:cNvPr>
        <xdr:cNvSpPr/>
      </xdr:nvSpPr>
      <xdr:spPr>
        <a:xfrm>
          <a:off x="8153400" y="4819650"/>
          <a:ext cx="1981200" cy="457200"/>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7</xdr:col>
      <xdr:colOff>857250</xdr:colOff>
      <xdr:row>36</xdr:row>
      <xdr:rowOff>95250</xdr:rowOff>
    </xdr:from>
    <xdr:ext cx="1828800" cy="295275"/>
    <xdr:sp macro="" textlink="">
      <xdr:nvSpPr>
        <xdr:cNvPr id="83" name="CustomShape 1">
          <a:hlinkClick r:id="rId3"/>
        </xdr:cNvPr>
        <xdr:cNvSpPr/>
      </xdr:nvSpPr>
      <xdr:spPr>
        <a:xfrm>
          <a:off x="10839450" y="7715250"/>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7</xdr:col>
      <xdr:colOff>857250</xdr:colOff>
      <xdr:row>47</xdr:row>
      <xdr:rowOff>190500</xdr:rowOff>
    </xdr:from>
    <xdr:ext cx="1828800" cy="352425"/>
    <xdr:sp macro="" textlink="">
      <xdr:nvSpPr>
        <xdr:cNvPr id="85" name="CustomShape 1">
          <a:hlinkClick r:id="rId4"/>
        </xdr:cNvPr>
        <xdr:cNvSpPr/>
      </xdr:nvSpPr>
      <xdr:spPr>
        <a:xfrm>
          <a:off x="10839450" y="9906000"/>
          <a:ext cx="1828800" cy="35242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7</xdr:col>
      <xdr:colOff>771525</xdr:colOff>
      <xdr:row>53</xdr:row>
      <xdr:rowOff>104775</xdr:rowOff>
    </xdr:from>
    <xdr:ext cx="1828800" cy="295275"/>
    <xdr:sp macro="" textlink="">
      <xdr:nvSpPr>
        <xdr:cNvPr id="86" name="CustomShape 1">
          <a:hlinkClick r:id="rId5"/>
        </xdr:cNvPr>
        <xdr:cNvSpPr/>
      </xdr:nvSpPr>
      <xdr:spPr>
        <a:xfrm>
          <a:off x="10753725" y="10963275"/>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6</xdr:col>
      <xdr:colOff>866775</xdr:colOff>
      <xdr:row>186</xdr:row>
      <xdr:rowOff>95250</xdr:rowOff>
    </xdr:from>
    <xdr:ext cx="1828800" cy="295275"/>
    <xdr:sp macro="" textlink="">
      <xdr:nvSpPr>
        <xdr:cNvPr id="87" name="CustomShape 1">
          <a:hlinkClick r:id="rId6"/>
        </xdr:cNvPr>
        <xdr:cNvSpPr/>
      </xdr:nvSpPr>
      <xdr:spPr>
        <a:xfrm>
          <a:off x="9467850" y="50530125"/>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3C1</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5</xdr:col>
      <xdr:colOff>647700</xdr:colOff>
      <xdr:row>193</xdr:row>
      <xdr:rowOff>152400</xdr:rowOff>
    </xdr:from>
    <xdr:ext cx="1828800" cy="295275"/>
    <xdr:sp macro="" textlink="">
      <xdr:nvSpPr>
        <xdr:cNvPr id="88" name="CustomShape 1">
          <a:hlinkClick r:id="rId7"/>
        </xdr:cNvPr>
        <xdr:cNvSpPr/>
      </xdr:nvSpPr>
      <xdr:spPr>
        <a:xfrm>
          <a:off x="7867650" y="51920775"/>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3C1</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8</xdr:col>
      <xdr:colOff>866775</xdr:colOff>
      <xdr:row>152</xdr:row>
      <xdr:rowOff>219075</xdr:rowOff>
    </xdr:from>
    <xdr:ext cx="1828800" cy="285750"/>
    <xdr:sp macro="" textlink="">
      <xdr:nvSpPr>
        <xdr:cNvPr id="89" name="CustomShape 1">
          <a:hlinkClick r:id="rId8"/>
        </xdr:cNvPr>
        <xdr:cNvSpPr/>
      </xdr:nvSpPr>
      <xdr:spPr>
        <a:xfrm>
          <a:off x="12230100" y="38881050"/>
          <a:ext cx="1828800" cy="285750"/>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12</xdr:col>
      <xdr:colOff>171450</xdr:colOff>
      <xdr:row>170</xdr:row>
      <xdr:rowOff>9525</xdr:rowOff>
    </xdr:from>
    <xdr:ext cx="1838325" cy="295275"/>
    <xdr:sp macro="" textlink="">
      <xdr:nvSpPr>
        <xdr:cNvPr id="90" name="CustomShape 1">
          <a:hlinkClick r:id="rId9"/>
        </xdr:cNvPr>
        <xdr:cNvSpPr/>
      </xdr:nvSpPr>
      <xdr:spPr>
        <a:xfrm>
          <a:off x="16402050" y="46939200"/>
          <a:ext cx="1838325"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5</xdr:col>
      <xdr:colOff>819150</xdr:colOff>
      <xdr:row>229</xdr:row>
      <xdr:rowOff>152400</xdr:rowOff>
    </xdr:from>
    <xdr:ext cx="1828800" cy="295275"/>
    <xdr:sp macro="" textlink="">
      <xdr:nvSpPr>
        <xdr:cNvPr id="92" name="CustomShape 1">
          <a:hlinkClick r:id="rId10"/>
        </xdr:cNvPr>
        <xdr:cNvSpPr/>
      </xdr:nvSpPr>
      <xdr:spPr>
        <a:xfrm>
          <a:off x="8039100" y="61883925"/>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5</xdr:col>
      <xdr:colOff>819150</xdr:colOff>
      <xdr:row>222</xdr:row>
      <xdr:rowOff>152400</xdr:rowOff>
    </xdr:from>
    <xdr:ext cx="1828800" cy="295275"/>
    <xdr:sp macro="" textlink="">
      <xdr:nvSpPr>
        <xdr:cNvPr id="93" name="CustomShape 1">
          <a:hlinkClick r:id="rId11"/>
        </xdr:cNvPr>
        <xdr:cNvSpPr/>
      </xdr:nvSpPr>
      <xdr:spPr>
        <a:xfrm>
          <a:off x="8039100" y="60417075"/>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5</xdr:col>
      <xdr:colOff>838200</xdr:colOff>
      <xdr:row>256</xdr:row>
      <xdr:rowOff>114300</xdr:rowOff>
    </xdr:from>
    <xdr:ext cx="1828800" cy="295275"/>
    <xdr:sp macro="" textlink="">
      <xdr:nvSpPr>
        <xdr:cNvPr id="94" name="CustomShape 1">
          <a:hlinkClick r:id="rId12"/>
        </xdr:cNvPr>
        <xdr:cNvSpPr/>
      </xdr:nvSpPr>
      <xdr:spPr>
        <a:xfrm>
          <a:off x="8058150" y="67579875"/>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9</xdr:col>
      <xdr:colOff>952500</xdr:colOff>
      <xdr:row>263</xdr:row>
      <xdr:rowOff>19050</xdr:rowOff>
    </xdr:from>
    <xdr:ext cx="1828800" cy="295275"/>
    <xdr:sp macro="" textlink="">
      <xdr:nvSpPr>
        <xdr:cNvPr id="95" name="CustomShape 1">
          <a:hlinkClick r:id="rId13"/>
        </xdr:cNvPr>
        <xdr:cNvSpPr/>
      </xdr:nvSpPr>
      <xdr:spPr>
        <a:xfrm>
          <a:off x="13696950" y="69275325"/>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7</xdr:col>
      <xdr:colOff>914400</xdr:colOff>
      <xdr:row>298</xdr:row>
      <xdr:rowOff>161925</xdr:rowOff>
    </xdr:from>
    <xdr:ext cx="1828800" cy="295275"/>
    <xdr:sp macro="" textlink="">
      <xdr:nvSpPr>
        <xdr:cNvPr id="96" name="CustomShape 1">
          <a:hlinkClick r:id="rId14"/>
        </xdr:cNvPr>
        <xdr:cNvSpPr/>
      </xdr:nvSpPr>
      <xdr:spPr>
        <a:xfrm>
          <a:off x="10896600" y="76704825"/>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10</xdr:col>
      <xdr:colOff>857250</xdr:colOff>
      <xdr:row>362</xdr:row>
      <xdr:rowOff>114300</xdr:rowOff>
    </xdr:from>
    <xdr:ext cx="1828800" cy="295275"/>
    <xdr:sp macro="" textlink="">
      <xdr:nvSpPr>
        <xdr:cNvPr id="97" name="CustomShape 1">
          <a:hlinkClick r:id="rId15"/>
        </xdr:cNvPr>
        <xdr:cNvSpPr/>
      </xdr:nvSpPr>
      <xdr:spPr>
        <a:xfrm>
          <a:off x="14982825" y="109823250"/>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3C7</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8</xdr:col>
      <xdr:colOff>800100</xdr:colOff>
      <xdr:row>153</xdr:row>
      <xdr:rowOff>85725</xdr:rowOff>
    </xdr:from>
    <xdr:ext cx="1685925" cy="323850"/>
    <xdr:sp macro="" textlink="">
      <xdr:nvSpPr>
        <xdr:cNvPr id="72" name="CustomShape 1">
          <a:hlinkClick r:id="rId16"/>
        </xdr:cNvPr>
        <xdr:cNvSpPr/>
      </xdr:nvSpPr>
      <xdr:spPr>
        <a:xfrm>
          <a:off x="12163425" y="39233475"/>
          <a:ext cx="1685925" cy="323850"/>
        </a:xfrm>
        <a:prstGeom prst="chevron">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3A1_3A2 FACTORES DE EMISIÓN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6</xdr:col>
      <xdr:colOff>790575</xdr:colOff>
      <xdr:row>69</xdr:row>
      <xdr:rowOff>57150</xdr:rowOff>
    </xdr:from>
    <xdr:ext cx="1685925" cy="323850"/>
    <xdr:sp macro="" textlink="">
      <xdr:nvSpPr>
        <xdr:cNvPr id="79" name="CustomShape 1">
          <a:hlinkClick r:id="rId17"/>
        </xdr:cNvPr>
        <xdr:cNvSpPr/>
      </xdr:nvSpPr>
      <xdr:spPr>
        <a:xfrm>
          <a:off x="9391650" y="14687550"/>
          <a:ext cx="1685925" cy="323850"/>
        </a:xfrm>
        <a:prstGeom prst="chevron">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3A1_3A2 FACTORES DE EMISIÓN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6</xdr:col>
      <xdr:colOff>838200</xdr:colOff>
      <xdr:row>78</xdr:row>
      <xdr:rowOff>133350</xdr:rowOff>
    </xdr:from>
    <xdr:ext cx="1685925" cy="323850"/>
    <xdr:sp macro="" textlink="">
      <xdr:nvSpPr>
        <xdr:cNvPr id="84" name="CustomShape 1">
          <a:hlinkClick r:id="rId18"/>
        </xdr:cNvPr>
        <xdr:cNvSpPr/>
      </xdr:nvSpPr>
      <xdr:spPr>
        <a:xfrm>
          <a:off x="9439275" y="18573750"/>
          <a:ext cx="1685925" cy="323850"/>
        </a:xfrm>
        <a:prstGeom prst="chevron">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3A1_3A2 FACTORES DE EMISIÓN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5</xdr:col>
      <xdr:colOff>676275</xdr:colOff>
      <xdr:row>87</xdr:row>
      <xdr:rowOff>104775</xdr:rowOff>
    </xdr:from>
    <xdr:ext cx="1685925" cy="323850"/>
    <xdr:sp macro="" textlink="">
      <xdr:nvSpPr>
        <xdr:cNvPr id="98" name="CustomShape 1">
          <a:hlinkClick r:id="rId19"/>
        </xdr:cNvPr>
        <xdr:cNvSpPr/>
      </xdr:nvSpPr>
      <xdr:spPr>
        <a:xfrm>
          <a:off x="7896225" y="20259675"/>
          <a:ext cx="1685925" cy="323850"/>
        </a:xfrm>
        <a:prstGeom prst="chevron">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3A1_3A2 FACTORES DE EMISIÓN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6</xdr:col>
      <xdr:colOff>752475</xdr:colOff>
      <xdr:row>94</xdr:row>
      <xdr:rowOff>38100</xdr:rowOff>
    </xdr:from>
    <xdr:ext cx="1685925" cy="323850"/>
    <xdr:sp macro="" textlink="">
      <xdr:nvSpPr>
        <xdr:cNvPr id="99" name="CustomShape 1">
          <a:hlinkClick r:id="rId20"/>
        </xdr:cNvPr>
        <xdr:cNvSpPr/>
      </xdr:nvSpPr>
      <xdr:spPr>
        <a:xfrm>
          <a:off x="9353550" y="22117050"/>
          <a:ext cx="1685925" cy="323850"/>
        </a:xfrm>
        <a:prstGeom prst="chevron">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3A1_3A2 FACTORES DE EMISIÓN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6</xdr:col>
      <xdr:colOff>809625</xdr:colOff>
      <xdr:row>102</xdr:row>
      <xdr:rowOff>152400</xdr:rowOff>
    </xdr:from>
    <xdr:ext cx="1685925" cy="323850"/>
    <xdr:sp macro="" textlink="">
      <xdr:nvSpPr>
        <xdr:cNvPr id="100" name="CustomShape 1">
          <a:hlinkClick r:id="rId21"/>
        </xdr:cNvPr>
        <xdr:cNvSpPr/>
      </xdr:nvSpPr>
      <xdr:spPr>
        <a:xfrm>
          <a:off x="9410700" y="26041350"/>
          <a:ext cx="1685925" cy="323850"/>
        </a:xfrm>
        <a:prstGeom prst="chevron">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3A1_3A2 FACTORES DE EMISIÓN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6</xdr:col>
      <xdr:colOff>819150</xdr:colOff>
      <xdr:row>108</xdr:row>
      <xdr:rowOff>152400</xdr:rowOff>
    </xdr:from>
    <xdr:ext cx="1685925" cy="323850"/>
    <xdr:sp macro="" textlink="">
      <xdr:nvSpPr>
        <xdr:cNvPr id="101" name="CustomShape 1">
          <a:hlinkClick r:id="rId22"/>
        </xdr:cNvPr>
        <xdr:cNvSpPr/>
      </xdr:nvSpPr>
      <xdr:spPr>
        <a:xfrm>
          <a:off x="9420225" y="27460575"/>
          <a:ext cx="1685925" cy="323850"/>
        </a:xfrm>
        <a:prstGeom prst="chevron">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3A1_3A2 FACTORES DE EMISIÓN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5</xdr:col>
      <xdr:colOff>647700</xdr:colOff>
      <xdr:row>112</xdr:row>
      <xdr:rowOff>114300</xdr:rowOff>
    </xdr:from>
    <xdr:ext cx="1685925" cy="323850"/>
    <xdr:sp macro="" textlink="">
      <xdr:nvSpPr>
        <xdr:cNvPr id="102" name="CustomShape 1">
          <a:hlinkClick r:id="rId23"/>
        </xdr:cNvPr>
        <xdr:cNvSpPr/>
      </xdr:nvSpPr>
      <xdr:spPr>
        <a:xfrm>
          <a:off x="7867650" y="28184475"/>
          <a:ext cx="1685925" cy="323850"/>
        </a:xfrm>
        <a:prstGeom prst="chevron">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3A1_3A2 FACTORES DE EMISIÓN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5</xdr:col>
      <xdr:colOff>714375</xdr:colOff>
      <xdr:row>117</xdr:row>
      <xdr:rowOff>66675</xdr:rowOff>
    </xdr:from>
    <xdr:ext cx="1685925" cy="323850"/>
    <xdr:sp macro="" textlink="">
      <xdr:nvSpPr>
        <xdr:cNvPr id="103" name="CustomShape 1">
          <a:hlinkClick r:id="rId24"/>
        </xdr:cNvPr>
        <xdr:cNvSpPr/>
      </xdr:nvSpPr>
      <xdr:spPr>
        <a:xfrm>
          <a:off x="7934325" y="29232225"/>
          <a:ext cx="1685925" cy="323850"/>
        </a:xfrm>
        <a:prstGeom prst="chevron">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3A1_3A2 FACTORES DE EMISIÓN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5</xdr:col>
      <xdr:colOff>685800</xdr:colOff>
      <xdr:row>124</xdr:row>
      <xdr:rowOff>152400</xdr:rowOff>
    </xdr:from>
    <xdr:ext cx="1685925" cy="323850"/>
    <xdr:sp macro="" textlink="">
      <xdr:nvSpPr>
        <xdr:cNvPr id="104" name="CustomShape 1">
          <a:hlinkClick r:id="rId25"/>
        </xdr:cNvPr>
        <xdr:cNvSpPr/>
      </xdr:nvSpPr>
      <xdr:spPr>
        <a:xfrm>
          <a:off x="7905750" y="32356425"/>
          <a:ext cx="1685925" cy="323850"/>
        </a:xfrm>
        <a:prstGeom prst="chevron">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3A1_3A2 FACTORES DE EMISIÓN</a:t>
          </a:r>
          <a:endParaRPr lang="es-PE" sz="1050" b="0" strike="noStrike" spc="-1">
            <a:solidFill>
              <a:schemeClr val="bg1"/>
            </a:solidFill>
            <a:uFill>
              <a:solidFill>
                <a:srgbClr val="FFFFFF"/>
              </a:solidFill>
            </a:uFill>
            <a:latin typeface="Times New Roman"/>
          </a:endParaRPr>
        </a:p>
      </xdr:txBody>
    </xdr:sp>
    <xdr:clientData/>
  </xdr:oneCellAnchor>
  <xdr:twoCellAnchor>
    <xdr:from>
      <xdr:col>0</xdr:col>
      <xdr:colOff>0</xdr:colOff>
      <xdr:row>0</xdr:row>
      <xdr:rowOff>0</xdr:rowOff>
    </xdr:from>
    <xdr:to>
      <xdr:col>0</xdr:col>
      <xdr:colOff>0</xdr:colOff>
      <xdr:row>0</xdr:row>
      <xdr:rowOff>0</xdr:rowOff>
    </xdr:to>
    <xdr:sp macro="" textlink="">
      <xdr:nvSpPr>
        <xdr:cNvPr id="105" name="CustomShape 1">
          <a:hlinkClick r:id="rId26"/>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3A1 EMISIONES T1_3A2 </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06" name="CustomShape 1">
          <a:hlinkClick r:id="rId27"/>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3A1 EMISIONES T1_3A2 </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08" name="CustomShape 1">
          <a:hlinkClick r:id="rId28"/>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3A1 EMISIONES T1_3A2 </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09" name="CustomShape 1">
          <a:hlinkClick r:id="rId29"/>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3C1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0" name="CustomShape 1">
          <a:hlinkClick r:id="rId30"/>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3C2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1" name="CustomShape 1">
          <a:hlinkClick r:id="rId31"/>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3C3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2" name="CustomShape 1">
          <a:hlinkClick r:id="rId32"/>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3C4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3" name="CustomShape 1">
          <a:hlinkClick r:id="rId33"/>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3C5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4" name="CustomShape 1">
          <a:hlinkClick r:id="rId34"/>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3C6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5" name="CustomShape 1">
          <a:hlinkClick r:id="rId35"/>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3C6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6" name="CustomShape 1">
          <a:hlinkClick r:id="rId36"/>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3C6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7" name="CustomShape 1">
          <a:hlinkClick r:id="rId37"/>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3C7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8" name="CustomShape 1">
          <a:hlinkClick r:id="rId38"/>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3C7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9" name="CustomShape 1">
          <a:hlinkClick r:id="rId39"/>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3C7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20" name="CustomShape 1">
          <a:hlinkClick r:id="rId40"/>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3C1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23" name="CustomShape 1">
          <a:hlinkClick r:id="rId41"/>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3C7 EMISIONES</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24" name="CustomShape 1">
          <a:hlinkClick r:id="rId42"/>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3A1 EMISIONES T1_3A2 </a:t>
          </a:r>
          <a:endParaRPr lang="es-PE" sz="105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25" name="CustomShape 1">
          <a:hlinkClick r:id="rId43"/>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3A1 EMISIONES T1_3A2 </a:t>
          </a:r>
          <a:endParaRPr lang="es-PE" sz="1050" b="0" strike="noStrike" spc="-1">
            <a:solidFill>
              <a:srgbClr val="000000"/>
            </a:solidFill>
            <a:uFill>
              <a:solidFill>
                <a:srgbClr val="FFFFFF"/>
              </a:solidFill>
            </a:uFill>
            <a:latin typeface="Times New Roman"/>
          </a:endParaRPr>
        </a:p>
      </xdr:txBody>
    </xdr:sp>
    <xdr:clientData/>
  </xdr:twoCellAnchor>
  <xdr:oneCellAnchor>
    <xdr:from>
      <xdr:col>6</xdr:col>
      <xdr:colOff>933450</xdr:colOff>
      <xdr:row>210</xdr:row>
      <xdr:rowOff>323850</xdr:rowOff>
    </xdr:from>
    <xdr:ext cx="1828800" cy="371475"/>
    <xdr:sp macro="" textlink="">
      <xdr:nvSpPr>
        <xdr:cNvPr id="122" name="CustomShape 1">
          <a:hlinkClick r:id="rId44"/>
        </xdr:cNvPr>
        <xdr:cNvSpPr/>
      </xdr:nvSpPr>
      <xdr:spPr>
        <a:xfrm>
          <a:off x="9534525" y="57340500"/>
          <a:ext cx="1828800" cy="3714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twoCellAnchor>
    <xdr:from>
      <xdr:col>0</xdr:col>
      <xdr:colOff>0</xdr:colOff>
      <xdr:row>0</xdr:row>
      <xdr:rowOff>0</xdr:rowOff>
    </xdr:from>
    <xdr:to>
      <xdr:col>0</xdr:col>
      <xdr:colOff>0</xdr:colOff>
      <xdr:row>0</xdr:row>
      <xdr:rowOff>0</xdr:rowOff>
    </xdr:to>
    <xdr:sp macro="" textlink="">
      <xdr:nvSpPr>
        <xdr:cNvPr id="126" name="CustomShape 1"/>
        <xdr:cNvSpPr/>
      </xdr:nvSpPr>
      <xdr:spPr>
        <a:xfrm>
          <a:off x="0" y="0"/>
          <a:ext cx="0" cy="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27" name="CustomShape 1">
          <a:hlinkClick r:id="rId45"/>
        </xdr:cNvPr>
        <xdr:cNvSpPr/>
      </xdr:nvSpPr>
      <xdr:spPr>
        <a:xfrm>
          <a:off x="0" y="0"/>
          <a:ext cx="0" cy="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3A1 EMISIONES T1_3A2 </a:t>
          </a:r>
          <a:endParaRPr lang="es-PE" sz="1050" b="0" strike="noStrike" spc="-1">
            <a:solidFill>
              <a:srgbClr val="000000"/>
            </a:solidFill>
            <a:uFill>
              <a:solidFill>
                <a:srgbClr val="FFFFFF"/>
              </a:solidFill>
            </a:uFill>
            <a:latin typeface="Times New Roman"/>
          </a:endParaRPr>
        </a:p>
      </xdr:txBody>
    </xdr:sp>
    <xdr:clientData/>
  </xdr:twoCellAnchor>
  <xdr:oneCellAnchor>
    <xdr:from>
      <xdr:col>6</xdr:col>
      <xdr:colOff>781050</xdr:colOff>
      <xdr:row>198</xdr:row>
      <xdr:rowOff>133350</xdr:rowOff>
    </xdr:from>
    <xdr:ext cx="1828800" cy="295275"/>
    <xdr:sp macro="" textlink="">
      <xdr:nvSpPr>
        <xdr:cNvPr id="91" name="CustomShape 1">
          <a:hlinkClick r:id="rId46"/>
        </xdr:cNvPr>
        <xdr:cNvSpPr/>
      </xdr:nvSpPr>
      <xdr:spPr>
        <a:xfrm>
          <a:off x="9382125" y="53768625"/>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3C1</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9</xdr:col>
      <xdr:colOff>952500</xdr:colOff>
      <xdr:row>261</xdr:row>
      <xdr:rowOff>104775</xdr:rowOff>
    </xdr:from>
    <xdr:ext cx="1828800" cy="295275"/>
    <xdr:sp macro="" textlink="">
      <xdr:nvSpPr>
        <xdr:cNvPr id="128" name="CustomShape 1">
          <a:hlinkClick r:id="rId47"/>
        </xdr:cNvPr>
        <xdr:cNvSpPr/>
      </xdr:nvSpPr>
      <xdr:spPr>
        <a:xfrm>
          <a:off x="13696950" y="68980050"/>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3C1</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1085850</xdr:colOff>
      <xdr:row>2</xdr:row>
      <xdr:rowOff>228600</xdr:rowOff>
    </xdr:from>
    <xdr:ext cx="1457325" cy="514350"/>
    <xdr:sp macro="" textlink="">
      <xdr:nvSpPr>
        <xdr:cNvPr id="2" name="CustomShape 1"/>
        <xdr:cNvSpPr/>
      </xdr:nvSpPr>
      <xdr:spPr>
        <a:xfrm>
          <a:off x="7334250" y="742950"/>
          <a:ext cx="1457325" cy="514350"/>
        </a:xfrm>
        <a:prstGeom prst="chevron">
          <a:avLst>
            <a:gd name="adj" fmla="val 50000"/>
          </a:avLst>
        </a:prstGeom>
        <a:solidFill>
          <a:srgbClr val="548235"/>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3A1_3A2 FACTORES DE EMISIÓN</a:t>
          </a:r>
          <a:endParaRPr lang="es-PE" sz="1050" b="0" strike="noStrike" spc="-1">
            <a:solidFill>
              <a:srgbClr val="000000"/>
            </a:solidFill>
            <a:uFill>
              <a:solidFill>
                <a:srgbClr val="FFFFFF"/>
              </a:solidFill>
            </a:uFill>
            <a:latin typeface="Times New Roman"/>
          </a:endParaRPr>
        </a:p>
      </xdr:txBody>
    </xdr:sp>
    <xdr:clientData/>
  </xdr:oneCellAnchor>
  <xdr:oneCellAnchor>
    <xdr:from>
      <xdr:col>12</xdr:col>
      <xdr:colOff>314325</xdr:colOff>
      <xdr:row>29</xdr:row>
      <xdr:rowOff>28575</xdr:rowOff>
    </xdr:from>
    <xdr:ext cx="1571625" cy="361950"/>
    <xdr:sp macro="" textlink="">
      <xdr:nvSpPr>
        <xdr:cNvPr id="3" name="CustomShape 1"/>
        <xdr:cNvSpPr/>
      </xdr:nvSpPr>
      <xdr:spPr>
        <a:xfrm>
          <a:off x="13363575" y="10477500"/>
          <a:ext cx="1571625" cy="361950"/>
        </a:xfrm>
        <a:prstGeom prst="chevron">
          <a:avLst>
            <a:gd name="adj" fmla="val 50000"/>
          </a:avLst>
        </a:prstGeom>
        <a:solidFill>
          <a:srgbClr val="548235"/>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3A1_3A2 FACTORES DE EMISIÓN</a:t>
          </a:r>
          <a:endParaRPr lang="es-PE" sz="1050" b="0" strike="noStrike" spc="-1">
            <a:solidFill>
              <a:srgbClr val="000000"/>
            </a:solidFill>
            <a:uFill>
              <a:solidFill>
                <a:srgbClr val="FFFFFF"/>
              </a:solidFill>
            </a:uFill>
            <a:latin typeface="Times New Roman"/>
          </a:endParaRPr>
        </a:p>
      </xdr:txBody>
    </xdr:sp>
    <xdr:clientData/>
  </xdr:oneCellAnchor>
  <xdr:oneCellAnchor>
    <xdr:from>
      <xdr:col>4</xdr:col>
      <xdr:colOff>28575</xdr:colOff>
      <xdr:row>43</xdr:row>
      <xdr:rowOff>133350</xdr:rowOff>
    </xdr:from>
    <xdr:ext cx="1457325" cy="590550"/>
    <xdr:sp macro="" textlink="">
      <xdr:nvSpPr>
        <xdr:cNvPr id="4" name="CustomShape 1"/>
        <xdr:cNvSpPr/>
      </xdr:nvSpPr>
      <xdr:spPr>
        <a:xfrm>
          <a:off x="6276975" y="13535025"/>
          <a:ext cx="1457325" cy="590550"/>
        </a:xfrm>
        <a:prstGeom prst="homePlate">
          <a:avLst/>
        </a:prstGeom>
        <a:solidFill>
          <a:srgbClr val="548235"/>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3A1_3A2 FACTORES DE EMISIÓN</a:t>
          </a:r>
          <a:endParaRPr lang="es-PE" sz="1050" b="0" strike="noStrike" spc="-1">
            <a:solidFill>
              <a:srgbClr val="000000"/>
            </a:solidFill>
            <a:uFill>
              <a:solidFill>
                <a:srgbClr val="FFFFFF"/>
              </a:solidFill>
            </a:uFill>
            <a:latin typeface="Times New Roman"/>
          </a:endParaRPr>
        </a:p>
      </xdr:txBody>
    </xdr:sp>
    <xdr:clientData/>
  </xdr:oneCellAnchor>
  <xdr:oneCellAnchor>
    <xdr:from>
      <xdr:col>23</xdr:col>
      <xdr:colOff>542925</xdr:colOff>
      <xdr:row>17</xdr:row>
      <xdr:rowOff>57150</xdr:rowOff>
    </xdr:from>
    <xdr:ext cx="1457325" cy="638175"/>
    <xdr:sp macro="" textlink="">
      <xdr:nvSpPr>
        <xdr:cNvPr id="5" name="CustomShape 1"/>
        <xdr:cNvSpPr/>
      </xdr:nvSpPr>
      <xdr:spPr>
        <a:xfrm>
          <a:off x="22078950" y="6457950"/>
          <a:ext cx="1457325" cy="638175"/>
        </a:xfrm>
        <a:prstGeom prst="chevron">
          <a:avLst>
            <a:gd name="adj" fmla="val 50000"/>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3A1_3A2 FACTORES DE EMISIÓN</a:t>
          </a:r>
          <a:endParaRPr lang="es-PE" sz="1050" b="0" strike="noStrike" spc="-1">
            <a:solidFill>
              <a:srgbClr val="000000"/>
            </a:solidFill>
            <a:uFill>
              <a:solidFill>
                <a:srgbClr val="FFFFFF"/>
              </a:solidFill>
            </a:uFill>
            <a:latin typeface="Times New Roman"/>
          </a:endParaRPr>
        </a:p>
      </xdr:txBody>
    </xdr:sp>
    <xdr:clientData/>
  </xdr:oneCellAnchor>
  <xdr:oneCellAnchor>
    <xdr:from>
      <xdr:col>21</xdr:col>
      <xdr:colOff>504825</xdr:colOff>
      <xdr:row>17</xdr:row>
      <xdr:rowOff>152400</xdr:rowOff>
    </xdr:from>
    <xdr:ext cx="1685925" cy="323850"/>
    <xdr:sp macro="" textlink="">
      <xdr:nvSpPr>
        <xdr:cNvPr id="6" name="CustomShape 1"/>
        <xdr:cNvSpPr/>
      </xdr:nvSpPr>
      <xdr:spPr>
        <a:xfrm>
          <a:off x="20516850" y="6553200"/>
          <a:ext cx="1685925" cy="323850"/>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twoCellAnchor editAs="absolute">
    <xdr:from>
      <xdr:col>14</xdr:col>
      <xdr:colOff>276225</xdr:colOff>
      <xdr:row>29</xdr:row>
      <xdr:rowOff>9525</xdr:rowOff>
    </xdr:from>
    <xdr:to>
      <xdr:col>16</xdr:col>
      <xdr:colOff>742950</xdr:colOff>
      <xdr:row>31</xdr:row>
      <xdr:rowOff>47625</xdr:rowOff>
    </xdr:to>
    <xdr:sp macro="" textlink="">
      <xdr:nvSpPr>
        <xdr:cNvPr id="8" name="CustomShape 1">
          <a:hlinkClick r:id="rId1"/>
        </xdr:cNvPr>
        <xdr:cNvSpPr/>
      </xdr:nvSpPr>
      <xdr:spPr>
        <a:xfrm>
          <a:off x="14849475" y="10458450"/>
          <a:ext cx="1990725" cy="3619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3A1 EMISIONES T1_3A2 </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6</xdr:col>
      <xdr:colOff>200025</xdr:colOff>
      <xdr:row>2</xdr:row>
      <xdr:rowOff>323850</xdr:rowOff>
    </xdr:from>
    <xdr:to>
      <xdr:col>8</xdr:col>
      <xdr:colOff>666750</xdr:colOff>
      <xdr:row>3</xdr:row>
      <xdr:rowOff>0</xdr:rowOff>
    </xdr:to>
    <xdr:sp macro="" textlink="">
      <xdr:nvSpPr>
        <xdr:cNvPr id="10" name="CustomShape 1">
          <a:hlinkClick r:id="rId2"/>
        </xdr:cNvPr>
        <xdr:cNvSpPr/>
      </xdr:nvSpPr>
      <xdr:spPr>
        <a:xfrm>
          <a:off x="8677275" y="838200"/>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3A1 EMISIONES T1_3A2 </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25</xdr:col>
      <xdr:colOff>428625</xdr:colOff>
      <xdr:row>17</xdr:row>
      <xdr:rowOff>133350</xdr:rowOff>
    </xdr:from>
    <xdr:to>
      <xdr:col>28</xdr:col>
      <xdr:colOff>133350</xdr:colOff>
      <xdr:row>18</xdr:row>
      <xdr:rowOff>133350</xdr:rowOff>
    </xdr:to>
    <xdr:sp macro="" textlink="">
      <xdr:nvSpPr>
        <xdr:cNvPr id="11" name="CustomShape 1">
          <a:hlinkClick r:id="rId3"/>
        </xdr:cNvPr>
        <xdr:cNvSpPr/>
      </xdr:nvSpPr>
      <xdr:spPr>
        <a:xfrm>
          <a:off x="23488650" y="6534150"/>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3A1 EMISIONES T2</a:t>
          </a:r>
          <a:endParaRPr lang="es-PE" sz="1050" b="0" strike="noStrike" spc="-1">
            <a:solidFill>
              <a:srgbClr val="000000"/>
            </a:solidFill>
            <a:uFill>
              <a:solidFill>
                <a:srgbClr val="FFFFFF"/>
              </a:solidFill>
            </a:uFill>
            <a:latin typeface="Times New Roman"/>
          </a:endParaRPr>
        </a:p>
      </xdr:txBody>
    </xdr:sp>
    <xdr:clientData/>
  </xdr:twoCellAnchor>
  <xdr:oneCellAnchor>
    <xdr:from>
      <xdr:col>3</xdr:col>
      <xdr:colOff>771525</xdr:colOff>
      <xdr:row>2</xdr:row>
      <xdr:rowOff>314325</xdr:rowOff>
    </xdr:from>
    <xdr:ext cx="1247775" cy="323850"/>
    <xdr:sp macro="" textlink="">
      <xdr:nvSpPr>
        <xdr:cNvPr id="14" name="CustomShape 1">
          <a:hlinkClick r:id="rId4"/>
        </xdr:cNvPr>
        <xdr:cNvSpPr/>
      </xdr:nvSpPr>
      <xdr:spPr>
        <a:xfrm>
          <a:off x="6229350" y="828675"/>
          <a:ext cx="1247775" cy="323850"/>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10</xdr:col>
      <xdr:colOff>57150</xdr:colOff>
      <xdr:row>30</xdr:row>
      <xdr:rowOff>85725</xdr:rowOff>
    </xdr:from>
    <xdr:ext cx="1800225" cy="238125"/>
    <xdr:sp macro="" textlink="">
      <xdr:nvSpPr>
        <xdr:cNvPr id="15" name="CustomShape 1">
          <a:hlinkClick r:id="rId5"/>
        </xdr:cNvPr>
        <xdr:cNvSpPr/>
      </xdr:nvSpPr>
      <xdr:spPr>
        <a:xfrm>
          <a:off x="11582400" y="10696575"/>
          <a:ext cx="1800225" cy="238125"/>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10</xdr:col>
      <xdr:colOff>19050</xdr:colOff>
      <xdr:row>28</xdr:row>
      <xdr:rowOff>85725</xdr:rowOff>
    </xdr:from>
    <xdr:ext cx="1828800" cy="238125"/>
    <xdr:sp macro="" textlink="">
      <xdr:nvSpPr>
        <xdr:cNvPr id="17" name="CustomShape 1">
          <a:hlinkClick r:id="rId6"/>
        </xdr:cNvPr>
        <xdr:cNvSpPr/>
      </xdr:nvSpPr>
      <xdr:spPr>
        <a:xfrm>
          <a:off x="11544300" y="10372725"/>
          <a:ext cx="1828800" cy="23812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twoCellAnchor editAs="absolute">
    <xdr:from>
      <xdr:col>5</xdr:col>
      <xdr:colOff>257175</xdr:colOff>
      <xdr:row>43</xdr:row>
      <xdr:rowOff>180975</xdr:rowOff>
    </xdr:from>
    <xdr:to>
      <xdr:col>7</xdr:col>
      <xdr:colOff>352425</xdr:colOff>
      <xdr:row>43</xdr:row>
      <xdr:rowOff>542925</xdr:rowOff>
    </xdr:to>
    <xdr:sp macro="" textlink="">
      <xdr:nvSpPr>
        <xdr:cNvPr id="16" name="CustomShape 1">
          <a:hlinkClick r:id="rId7"/>
        </xdr:cNvPr>
        <xdr:cNvSpPr/>
      </xdr:nvSpPr>
      <xdr:spPr>
        <a:xfrm>
          <a:off x="7600950" y="13582650"/>
          <a:ext cx="1990725" cy="3619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3A1 EMISIONES T1_3A2 </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104775</xdr:colOff>
      <xdr:row>2</xdr:row>
      <xdr:rowOff>133350</xdr:rowOff>
    </xdr:from>
    <xdr:ext cx="1457325" cy="514350"/>
    <xdr:sp macro="" textlink="">
      <xdr:nvSpPr>
        <xdr:cNvPr id="2" name="CustomShape 1"/>
        <xdr:cNvSpPr/>
      </xdr:nvSpPr>
      <xdr:spPr>
        <a:xfrm>
          <a:off x="6267450" y="942975"/>
          <a:ext cx="1457325" cy="51435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3C1 FACTORES DE EMISIÓN</a:t>
          </a:r>
          <a:endParaRPr lang="es-PE" sz="1050" b="0" strike="noStrike" spc="-1">
            <a:solidFill>
              <a:srgbClr val="000000"/>
            </a:solidFill>
            <a:uFill>
              <a:solidFill>
                <a:srgbClr val="FFFFFF"/>
              </a:solidFill>
            </a:uFill>
            <a:latin typeface="Times New Roman"/>
          </a:endParaRPr>
        </a:p>
      </xdr:txBody>
    </xdr:sp>
    <xdr:clientData/>
  </xdr:oneCellAnchor>
  <xdr:twoCellAnchor editAs="absolute">
    <xdr:from>
      <xdr:col>7</xdr:col>
      <xdr:colOff>9525</xdr:colOff>
      <xdr:row>2</xdr:row>
      <xdr:rowOff>228600</xdr:rowOff>
    </xdr:from>
    <xdr:to>
      <xdr:col>9</xdr:col>
      <xdr:colOff>552450</xdr:colOff>
      <xdr:row>3</xdr:row>
      <xdr:rowOff>228600</xdr:rowOff>
    </xdr:to>
    <xdr:sp macro="" textlink="">
      <xdr:nvSpPr>
        <xdr:cNvPr id="3" name="CustomShape 1">
          <a:hlinkClick r:id="rId1"/>
        </xdr:cNvPr>
        <xdr:cNvSpPr/>
      </xdr:nvSpPr>
      <xdr:spPr>
        <a:xfrm>
          <a:off x="7620000" y="1038225"/>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3C1 EMISIONES</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685800</xdr:colOff>
      <xdr:row>2</xdr:row>
      <xdr:rowOff>142875</xdr:rowOff>
    </xdr:from>
    <xdr:ext cx="1457325" cy="514350"/>
    <xdr:sp macro="" textlink="">
      <xdr:nvSpPr>
        <xdr:cNvPr id="2" name="CustomShape 1"/>
        <xdr:cNvSpPr/>
      </xdr:nvSpPr>
      <xdr:spPr>
        <a:xfrm>
          <a:off x="5400675" y="790575"/>
          <a:ext cx="1457325" cy="51435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3C2 FACTORES DE EMISIÓN</a:t>
          </a:r>
          <a:endParaRPr lang="es-PE" sz="1050" b="0" strike="noStrike" spc="-1">
            <a:solidFill>
              <a:srgbClr val="000000"/>
            </a:solidFill>
            <a:uFill>
              <a:solidFill>
                <a:srgbClr val="FFFFFF"/>
              </a:solidFill>
            </a:uFill>
            <a:latin typeface="Times New Roman"/>
          </a:endParaRPr>
        </a:p>
      </xdr:txBody>
    </xdr:sp>
    <xdr:clientData/>
  </xdr:oneCellAnchor>
  <xdr:twoCellAnchor editAs="absolute">
    <xdr:from>
      <xdr:col>5</xdr:col>
      <xdr:colOff>590550</xdr:colOff>
      <xdr:row>2</xdr:row>
      <xdr:rowOff>238125</xdr:rowOff>
    </xdr:from>
    <xdr:to>
      <xdr:col>8</xdr:col>
      <xdr:colOff>409575</xdr:colOff>
      <xdr:row>3</xdr:row>
      <xdr:rowOff>238125</xdr:rowOff>
    </xdr:to>
    <xdr:sp macro="" textlink="">
      <xdr:nvSpPr>
        <xdr:cNvPr id="3" name="CustomShape 1">
          <a:hlinkClick r:id="rId1"/>
        </xdr:cNvPr>
        <xdr:cNvSpPr/>
      </xdr:nvSpPr>
      <xdr:spPr>
        <a:xfrm>
          <a:off x="6753225" y="885825"/>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3C2 EMISIONES</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714375</xdr:colOff>
      <xdr:row>2</xdr:row>
      <xdr:rowOff>142875</xdr:rowOff>
    </xdr:from>
    <xdr:ext cx="1457325" cy="533400"/>
    <xdr:sp macro="" textlink="">
      <xdr:nvSpPr>
        <xdr:cNvPr id="2" name="CustomShape 1"/>
        <xdr:cNvSpPr/>
      </xdr:nvSpPr>
      <xdr:spPr>
        <a:xfrm>
          <a:off x="5448300" y="952500"/>
          <a:ext cx="1457325" cy="53340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3C3 FACTORES DE EMISIÓN</a:t>
          </a:r>
          <a:endParaRPr lang="es-PE" sz="1050" b="0" strike="noStrike" spc="-1">
            <a:solidFill>
              <a:srgbClr val="000000"/>
            </a:solidFill>
            <a:uFill>
              <a:solidFill>
                <a:srgbClr val="FFFFFF"/>
              </a:solidFill>
            </a:uFill>
            <a:latin typeface="Times New Roman"/>
          </a:endParaRPr>
        </a:p>
      </xdr:txBody>
    </xdr:sp>
    <xdr:clientData/>
  </xdr:oneCellAnchor>
  <xdr:twoCellAnchor editAs="absolute">
    <xdr:from>
      <xdr:col>5</xdr:col>
      <xdr:colOff>609600</xdr:colOff>
      <xdr:row>2</xdr:row>
      <xdr:rowOff>180975</xdr:rowOff>
    </xdr:from>
    <xdr:to>
      <xdr:col>8</xdr:col>
      <xdr:colOff>428625</xdr:colOff>
      <xdr:row>4</xdr:row>
      <xdr:rowOff>123825</xdr:rowOff>
    </xdr:to>
    <xdr:sp macro="" textlink="">
      <xdr:nvSpPr>
        <xdr:cNvPr id="3" name="CustomShape 1">
          <a:hlinkClick r:id="rId1"/>
        </xdr:cNvPr>
        <xdr:cNvSpPr/>
      </xdr:nvSpPr>
      <xdr:spPr>
        <a:xfrm>
          <a:off x="6791325" y="990600"/>
          <a:ext cx="1990725" cy="428625"/>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3C3 EMISIONES</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676275</xdr:colOff>
      <xdr:row>2</xdr:row>
      <xdr:rowOff>95250</xdr:rowOff>
    </xdr:from>
    <xdr:ext cx="1447800" cy="514350"/>
    <xdr:sp macro="" textlink="">
      <xdr:nvSpPr>
        <xdr:cNvPr id="2" name="CustomShape 1"/>
        <xdr:cNvSpPr/>
      </xdr:nvSpPr>
      <xdr:spPr>
        <a:xfrm>
          <a:off x="7581900" y="904875"/>
          <a:ext cx="1447800" cy="51435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3C4 FACTORES DE EMISIÓN</a:t>
          </a:r>
          <a:endParaRPr lang="es-PE" sz="1050" b="0" strike="noStrike" spc="-1">
            <a:solidFill>
              <a:srgbClr val="000000"/>
            </a:solidFill>
            <a:uFill>
              <a:solidFill>
                <a:srgbClr val="FFFFFF"/>
              </a:solidFill>
            </a:uFill>
            <a:latin typeface="Times New Roman"/>
          </a:endParaRPr>
        </a:p>
      </xdr:txBody>
    </xdr:sp>
    <xdr:clientData/>
  </xdr:oneCellAnchor>
  <xdr:twoCellAnchor editAs="absolute">
    <xdr:from>
      <xdr:col>5</xdr:col>
      <xdr:colOff>581025</xdr:colOff>
      <xdr:row>2</xdr:row>
      <xdr:rowOff>190500</xdr:rowOff>
    </xdr:from>
    <xdr:to>
      <xdr:col>8</xdr:col>
      <xdr:colOff>390525</xdr:colOff>
      <xdr:row>2</xdr:row>
      <xdr:rowOff>514350</xdr:rowOff>
    </xdr:to>
    <xdr:sp macro="" textlink="">
      <xdr:nvSpPr>
        <xdr:cNvPr id="3" name="CustomShape 1">
          <a:hlinkClick r:id="rId1"/>
        </xdr:cNvPr>
        <xdr:cNvSpPr/>
      </xdr:nvSpPr>
      <xdr:spPr>
        <a:xfrm>
          <a:off x="8934450" y="1000125"/>
          <a:ext cx="1981200"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3C4 EMISIONES</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647700</xdr:colOff>
      <xdr:row>1</xdr:row>
      <xdr:rowOff>161925</xdr:rowOff>
    </xdr:from>
    <xdr:ext cx="1638300" cy="295275"/>
    <xdr:sp macro="" textlink="">
      <xdr:nvSpPr>
        <xdr:cNvPr id="2" name="CustomShape 1"/>
        <xdr:cNvSpPr/>
      </xdr:nvSpPr>
      <xdr:spPr>
        <a:xfrm>
          <a:off x="8705850" y="352425"/>
          <a:ext cx="1638300" cy="295275"/>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3A1_3A2_3C6</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11</xdr:col>
      <xdr:colOff>666750</xdr:colOff>
      <xdr:row>1</xdr:row>
      <xdr:rowOff>161925</xdr:rowOff>
    </xdr:from>
    <xdr:ext cx="1828800" cy="295275"/>
    <xdr:sp macro="" textlink="">
      <xdr:nvSpPr>
        <xdr:cNvPr id="3" name="CustomShape 1">
          <a:hlinkClick r:id="rId1"/>
        </xdr:cNvPr>
        <xdr:cNvSpPr/>
      </xdr:nvSpPr>
      <xdr:spPr>
        <a:xfrm>
          <a:off x="10296525" y="352425"/>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9</xdr:col>
      <xdr:colOff>647700</xdr:colOff>
      <xdr:row>34</xdr:row>
      <xdr:rowOff>161925</xdr:rowOff>
    </xdr:from>
    <xdr:ext cx="1638300" cy="342900"/>
    <xdr:sp macro="" textlink="">
      <xdr:nvSpPr>
        <xdr:cNvPr id="4" name="CustomShape 1"/>
        <xdr:cNvSpPr/>
      </xdr:nvSpPr>
      <xdr:spPr>
        <a:xfrm>
          <a:off x="8705850" y="7181850"/>
          <a:ext cx="1638300" cy="34290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3A1_3A2_3C6</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11</xdr:col>
      <xdr:colOff>666750</xdr:colOff>
      <xdr:row>34</xdr:row>
      <xdr:rowOff>161925</xdr:rowOff>
    </xdr:from>
    <xdr:ext cx="1828800" cy="371475"/>
    <xdr:sp macro="" textlink="">
      <xdr:nvSpPr>
        <xdr:cNvPr id="5" name="CustomShape 1">
          <a:hlinkClick r:id="rId2"/>
        </xdr:cNvPr>
        <xdr:cNvSpPr/>
      </xdr:nvSpPr>
      <xdr:spPr>
        <a:xfrm>
          <a:off x="10296525" y="7181850"/>
          <a:ext cx="1828800" cy="3714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9</xdr:col>
      <xdr:colOff>647700</xdr:colOff>
      <xdr:row>67</xdr:row>
      <xdr:rowOff>190500</xdr:rowOff>
    </xdr:from>
    <xdr:ext cx="1638300" cy="295275"/>
    <xdr:sp macro="" textlink="">
      <xdr:nvSpPr>
        <xdr:cNvPr id="6" name="CustomShape 1"/>
        <xdr:cNvSpPr/>
      </xdr:nvSpPr>
      <xdr:spPr>
        <a:xfrm>
          <a:off x="8705850" y="13887450"/>
          <a:ext cx="1638300" cy="295275"/>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3A1_3A2_3C6</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11</xdr:col>
      <xdr:colOff>666750</xdr:colOff>
      <xdr:row>67</xdr:row>
      <xdr:rowOff>190500</xdr:rowOff>
    </xdr:from>
    <xdr:ext cx="1828800" cy="342900"/>
    <xdr:sp macro="" textlink="">
      <xdr:nvSpPr>
        <xdr:cNvPr id="7" name="CustomShape 1">
          <a:hlinkClick r:id="rId3"/>
        </xdr:cNvPr>
        <xdr:cNvSpPr/>
      </xdr:nvSpPr>
      <xdr:spPr>
        <a:xfrm>
          <a:off x="10296525" y="13887450"/>
          <a:ext cx="1828800" cy="342900"/>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9</xdr:col>
      <xdr:colOff>647700</xdr:colOff>
      <xdr:row>100</xdr:row>
      <xdr:rowOff>161925</xdr:rowOff>
    </xdr:from>
    <xdr:ext cx="1638300" cy="295275"/>
    <xdr:sp macro="" textlink="">
      <xdr:nvSpPr>
        <xdr:cNvPr id="8" name="CustomShape 1"/>
        <xdr:cNvSpPr/>
      </xdr:nvSpPr>
      <xdr:spPr>
        <a:xfrm>
          <a:off x="8705850" y="20564475"/>
          <a:ext cx="1638300" cy="295275"/>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3A1_3A2_3C6</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11</xdr:col>
      <xdr:colOff>666750</xdr:colOff>
      <xdr:row>100</xdr:row>
      <xdr:rowOff>161925</xdr:rowOff>
    </xdr:from>
    <xdr:ext cx="1828800" cy="361950"/>
    <xdr:sp macro="" textlink="">
      <xdr:nvSpPr>
        <xdr:cNvPr id="9" name="CustomShape 1">
          <a:hlinkClick r:id="rId4"/>
        </xdr:cNvPr>
        <xdr:cNvSpPr/>
      </xdr:nvSpPr>
      <xdr:spPr>
        <a:xfrm>
          <a:off x="10296525" y="20564475"/>
          <a:ext cx="1828800" cy="361950"/>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9</xdr:col>
      <xdr:colOff>647700</xdr:colOff>
      <xdr:row>133</xdr:row>
      <xdr:rowOff>161925</xdr:rowOff>
    </xdr:from>
    <xdr:ext cx="1638300" cy="323850"/>
    <xdr:sp macro="" textlink="">
      <xdr:nvSpPr>
        <xdr:cNvPr id="10" name="CustomShape 1"/>
        <xdr:cNvSpPr/>
      </xdr:nvSpPr>
      <xdr:spPr>
        <a:xfrm>
          <a:off x="8705850" y="27089100"/>
          <a:ext cx="1638300" cy="32385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3A1_3A2_3C6</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11</xdr:col>
      <xdr:colOff>666750</xdr:colOff>
      <xdr:row>133</xdr:row>
      <xdr:rowOff>161925</xdr:rowOff>
    </xdr:from>
    <xdr:ext cx="1828800" cy="371475"/>
    <xdr:sp macro="" textlink="">
      <xdr:nvSpPr>
        <xdr:cNvPr id="11" name="CustomShape 1">
          <a:hlinkClick r:id="rId5"/>
        </xdr:cNvPr>
        <xdr:cNvSpPr/>
      </xdr:nvSpPr>
      <xdr:spPr>
        <a:xfrm>
          <a:off x="10296525" y="27089100"/>
          <a:ext cx="1828800" cy="3714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9</xdr:col>
      <xdr:colOff>647700</xdr:colOff>
      <xdr:row>165</xdr:row>
      <xdr:rowOff>161925</xdr:rowOff>
    </xdr:from>
    <xdr:ext cx="1638300" cy="342900"/>
    <xdr:sp macro="" textlink="">
      <xdr:nvSpPr>
        <xdr:cNvPr id="17" name="CustomShape 1"/>
        <xdr:cNvSpPr/>
      </xdr:nvSpPr>
      <xdr:spPr>
        <a:xfrm>
          <a:off x="8705850" y="33213675"/>
          <a:ext cx="1638300" cy="34290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3A1_3A2_3C6</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11</xdr:col>
      <xdr:colOff>590550</xdr:colOff>
      <xdr:row>165</xdr:row>
      <xdr:rowOff>161925</xdr:rowOff>
    </xdr:from>
    <xdr:ext cx="1685925" cy="304800"/>
    <xdr:sp macro="" textlink="">
      <xdr:nvSpPr>
        <xdr:cNvPr id="19" name="CustomShape 1">
          <a:hlinkClick r:id="rId6"/>
        </xdr:cNvPr>
        <xdr:cNvSpPr/>
      </xdr:nvSpPr>
      <xdr:spPr>
        <a:xfrm>
          <a:off x="10220325" y="33213675"/>
          <a:ext cx="1685925" cy="304800"/>
        </a:xfrm>
        <a:prstGeom prst="chevron">
          <a:avLst>
            <a:gd name="adj" fmla="val 50000"/>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3A1_3A2 FACTORES DE EMISIÓN</a:t>
          </a:r>
          <a:endParaRPr lang="es-PE" sz="1050" b="0" strike="noStrike" spc="-1">
            <a:solidFill>
              <a:schemeClr val="bg1"/>
            </a:solidFill>
            <a:uFill>
              <a:solidFill>
                <a:srgbClr val="FFFFFF"/>
              </a:solidFill>
            </a:uFill>
            <a:latin typeface="Times New Roman"/>
          </a:endParaRP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685800</xdr:colOff>
      <xdr:row>2</xdr:row>
      <xdr:rowOff>104775</xdr:rowOff>
    </xdr:from>
    <xdr:ext cx="1457325" cy="561975"/>
    <xdr:sp macro="" textlink="">
      <xdr:nvSpPr>
        <xdr:cNvPr id="2" name="CustomShape 1"/>
        <xdr:cNvSpPr/>
      </xdr:nvSpPr>
      <xdr:spPr>
        <a:xfrm>
          <a:off x="6372225" y="457200"/>
          <a:ext cx="1457325" cy="561975"/>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3C5 FACTORES DE EMISIÓN</a:t>
          </a:r>
          <a:endParaRPr lang="es-PE" sz="1050" b="0" strike="noStrike" spc="-1">
            <a:solidFill>
              <a:srgbClr val="000000"/>
            </a:solidFill>
            <a:uFill>
              <a:solidFill>
                <a:srgbClr val="FFFFFF"/>
              </a:solidFill>
            </a:uFill>
            <a:latin typeface="Times New Roman"/>
          </a:endParaRPr>
        </a:p>
      </xdr:txBody>
    </xdr:sp>
    <xdr:clientData/>
  </xdr:oneCellAnchor>
  <xdr:twoCellAnchor editAs="absolute">
    <xdr:from>
      <xdr:col>5</xdr:col>
      <xdr:colOff>590550</xdr:colOff>
      <xdr:row>2</xdr:row>
      <xdr:rowOff>190500</xdr:rowOff>
    </xdr:from>
    <xdr:to>
      <xdr:col>8</xdr:col>
      <xdr:colOff>409575</xdr:colOff>
      <xdr:row>2</xdr:row>
      <xdr:rowOff>514350</xdr:rowOff>
    </xdr:to>
    <xdr:sp macro="" textlink="">
      <xdr:nvSpPr>
        <xdr:cNvPr id="3" name="CustomShape 1">
          <a:hlinkClick r:id="rId1"/>
        </xdr:cNvPr>
        <xdr:cNvSpPr/>
      </xdr:nvSpPr>
      <xdr:spPr>
        <a:xfrm>
          <a:off x="7724775" y="542925"/>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3C5 EMISIONES</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695325</xdr:colOff>
      <xdr:row>2</xdr:row>
      <xdr:rowOff>104775</xdr:rowOff>
    </xdr:from>
    <xdr:ext cx="1457325" cy="561975"/>
    <xdr:sp macro="" textlink="">
      <xdr:nvSpPr>
        <xdr:cNvPr id="2" name="CustomShape 1"/>
        <xdr:cNvSpPr/>
      </xdr:nvSpPr>
      <xdr:spPr>
        <a:xfrm>
          <a:off x="5086350" y="457200"/>
          <a:ext cx="1457325" cy="561975"/>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3C6 FACTORES DE EMISIÓN</a:t>
          </a:r>
          <a:endParaRPr lang="es-PE" sz="1050" b="0" strike="noStrike" spc="-1">
            <a:solidFill>
              <a:srgbClr val="000000"/>
            </a:solidFill>
            <a:uFill>
              <a:solidFill>
                <a:srgbClr val="FFFFFF"/>
              </a:solidFill>
            </a:uFill>
            <a:latin typeface="Times New Roman"/>
          </a:endParaRPr>
        </a:p>
      </xdr:txBody>
    </xdr:sp>
    <xdr:clientData/>
  </xdr:oneCellAnchor>
  <xdr:twoCellAnchor editAs="absolute">
    <xdr:from>
      <xdr:col>5</xdr:col>
      <xdr:colOff>600075</xdr:colOff>
      <xdr:row>2</xdr:row>
      <xdr:rowOff>190500</xdr:rowOff>
    </xdr:from>
    <xdr:to>
      <xdr:col>8</xdr:col>
      <xdr:colOff>419100</xdr:colOff>
      <xdr:row>2</xdr:row>
      <xdr:rowOff>514350</xdr:rowOff>
    </xdr:to>
    <xdr:sp macro="" textlink="">
      <xdr:nvSpPr>
        <xdr:cNvPr id="3" name="CustomShape 1">
          <a:hlinkClick r:id="rId1"/>
        </xdr:cNvPr>
        <xdr:cNvSpPr/>
      </xdr:nvSpPr>
      <xdr:spPr>
        <a:xfrm>
          <a:off x="6438900" y="542925"/>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3C6 EMISIONES</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1238250</xdr:colOff>
      <xdr:row>2</xdr:row>
      <xdr:rowOff>123825</xdr:rowOff>
    </xdr:from>
    <xdr:ext cx="1457325" cy="495300"/>
    <xdr:sp macro="" textlink="">
      <xdr:nvSpPr>
        <xdr:cNvPr id="2" name="CustomShape 1"/>
        <xdr:cNvSpPr/>
      </xdr:nvSpPr>
      <xdr:spPr>
        <a:xfrm>
          <a:off x="6134100" y="476250"/>
          <a:ext cx="1457325" cy="495300"/>
        </a:xfrm>
        <a:prstGeom prst="homePlate">
          <a:avLst/>
        </a:prstGeom>
        <a:solidFill>
          <a:srgbClr val="5A7F2B"/>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FFFFFF"/>
              </a:solidFill>
              <a:uFill>
                <a:solidFill>
                  <a:srgbClr val="FFFFFF"/>
                </a:solidFill>
              </a:uFill>
              <a:latin typeface="+mn-lt"/>
              <a:ea typeface="Calibri"/>
            </a:rPr>
            <a:t>3C7 FACTORES DE EMISIÓN</a:t>
          </a:r>
          <a:endParaRPr lang="es-PE" sz="1050" b="0" strike="noStrike" spc="-1">
            <a:solidFill>
              <a:srgbClr val="000000"/>
            </a:solidFill>
            <a:uFill>
              <a:solidFill>
                <a:srgbClr val="FFFFFF"/>
              </a:solidFill>
            </a:uFill>
            <a:latin typeface="Times New Roman"/>
          </a:endParaRPr>
        </a:p>
      </xdr:txBody>
    </xdr:sp>
    <xdr:clientData/>
  </xdr:oneCellAnchor>
  <xdr:twoCellAnchor editAs="absolute">
    <xdr:from>
      <xdr:col>4</xdr:col>
      <xdr:colOff>1304925</xdr:colOff>
      <xdr:row>2</xdr:row>
      <xdr:rowOff>219075</xdr:rowOff>
    </xdr:from>
    <xdr:to>
      <xdr:col>6</xdr:col>
      <xdr:colOff>266700</xdr:colOff>
      <xdr:row>4</xdr:row>
      <xdr:rowOff>57150</xdr:rowOff>
    </xdr:to>
    <xdr:sp macro="" textlink="">
      <xdr:nvSpPr>
        <xdr:cNvPr id="3" name="CustomShape 1">
          <a:hlinkClick r:id="rId1"/>
        </xdr:cNvPr>
        <xdr:cNvSpPr/>
      </xdr:nvSpPr>
      <xdr:spPr>
        <a:xfrm>
          <a:off x="7477125" y="571500"/>
          <a:ext cx="1990725" cy="3238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3C7 EMISIONES</a:t>
          </a:r>
          <a:endParaRPr lang="es-PE" sz="1050" b="0" strike="noStrike" spc="-1">
            <a:solidFill>
              <a:srgbClr val="000000"/>
            </a:solidFill>
            <a:uFill>
              <a:solidFill>
                <a:srgbClr val="FFFFFF"/>
              </a:solidFill>
            </a:uFill>
            <a:latin typeface="Times New Roman"/>
          </a:endParaRP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152400</xdr:colOff>
      <xdr:row>1</xdr:row>
      <xdr:rowOff>123825</xdr:rowOff>
    </xdr:from>
    <xdr:ext cx="1457325" cy="514350"/>
    <xdr:sp macro="" textlink="">
      <xdr:nvSpPr>
        <xdr:cNvPr id="3" name="CustomShape 1"/>
        <xdr:cNvSpPr/>
      </xdr:nvSpPr>
      <xdr:spPr>
        <a:xfrm>
          <a:off x="8724900" y="32385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3A1 EMISIONES T1_3A2 </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11</xdr:col>
      <xdr:colOff>0</xdr:colOff>
      <xdr:row>25</xdr:row>
      <xdr:rowOff>0</xdr:rowOff>
    </xdr:from>
    <xdr:ext cx="1457325" cy="514350"/>
    <xdr:sp macro="" textlink="">
      <xdr:nvSpPr>
        <xdr:cNvPr id="4" name="CustomShape 1"/>
        <xdr:cNvSpPr/>
      </xdr:nvSpPr>
      <xdr:spPr>
        <a:xfrm>
          <a:off x="11525250" y="564832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3A1 EMISIONES T1_3A2 </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9</xdr:col>
      <xdr:colOff>333375</xdr:colOff>
      <xdr:row>1</xdr:row>
      <xdr:rowOff>57150</xdr:rowOff>
    </xdr:from>
    <xdr:to>
      <xdr:col>11</xdr:col>
      <xdr:colOff>485775</xdr:colOff>
      <xdr:row>4</xdr:row>
      <xdr:rowOff>57150</xdr:rowOff>
    </xdr:to>
    <xdr:sp macro="" textlink="">
      <xdr:nvSpPr>
        <xdr:cNvPr id="5" name="CustomShape 1">
          <a:hlinkClick r:id="rId1"/>
        </xdr:cNvPr>
        <xdr:cNvSpPr/>
      </xdr:nvSpPr>
      <xdr:spPr>
        <a:xfrm>
          <a:off x="10020300" y="257175"/>
          <a:ext cx="1990725" cy="600075"/>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twoCellAnchor editAs="absolute">
    <xdr:from>
      <xdr:col>12</xdr:col>
      <xdr:colOff>561975</xdr:colOff>
      <xdr:row>24</xdr:row>
      <xdr:rowOff>19050</xdr:rowOff>
    </xdr:from>
    <xdr:to>
      <xdr:col>15</xdr:col>
      <xdr:colOff>381000</xdr:colOff>
      <xdr:row>27</xdr:row>
      <xdr:rowOff>19050</xdr:rowOff>
    </xdr:to>
    <xdr:sp macro="" textlink="">
      <xdr:nvSpPr>
        <xdr:cNvPr id="6" name="CustomShape 1">
          <a:hlinkClick r:id="rId2"/>
        </xdr:cNvPr>
        <xdr:cNvSpPr/>
      </xdr:nvSpPr>
      <xdr:spPr>
        <a:xfrm>
          <a:off x="12811125" y="5467350"/>
          <a:ext cx="1990725" cy="600075"/>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oneCellAnchor>
    <xdr:from>
      <xdr:col>8</xdr:col>
      <xdr:colOff>152400</xdr:colOff>
      <xdr:row>1</xdr:row>
      <xdr:rowOff>123825</xdr:rowOff>
    </xdr:from>
    <xdr:ext cx="1457325" cy="514350"/>
    <xdr:sp macro="" textlink="">
      <xdr:nvSpPr>
        <xdr:cNvPr id="7" name="CustomShape 1"/>
        <xdr:cNvSpPr/>
      </xdr:nvSpPr>
      <xdr:spPr>
        <a:xfrm>
          <a:off x="8724900" y="32385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3A1 EMISIONES T1_3A2 </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11</xdr:col>
      <xdr:colOff>0</xdr:colOff>
      <xdr:row>25</xdr:row>
      <xdr:rowOff>0</xdr:rowOff>
    </xdr:from>
    <xdr:ext cx="1457325" cy="514350"/>
    <xdr:sp macro="" textlink="">
      <xdr:nvSpPr>
        <xdr:cNvPr id="8" name="CustomShape 1"/>
        <xdr:cNvSpPr/>
      </xdr:nvSpPr>
      <xdr:spPr>
        <a:xfrm>
          <a:off x="11525250" y="564832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3A1 EMISIONES T1_3A2 </a:t>
          </a:r>
          <a:endParaRPr lang="es-PE" sz="1050" b="0" strike="noStrike" spc="-1">
            <a:solidFill>
              <a:sysClr val="windowText" lastClr="000000"/>
            </a:solidFill>
            <a:uFill>
              <a:solidFill>
                <a:srgbClr val="FFFFFF"/>
              </a:solidFill>
            </a:uFill>
            <a:latin typeface="Times New Roman"/>
          </a:endParaRP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1114425</xdr:colOff>
      <xdr:row>2</xdr:row>
      <xdr:rowOff>142875</xdr:rowOff>
    </xdr:from>
    <xdr:ext cx="1838325" cy="523875"/>
    <xdr:sp macro="" textlink="">
      <xdr:nvSpPr>
        <xdr:cNvPr id="2" name="CustomShape 1"/>
        <xdr:cNvSpPr/>
      </xdr:nvSpPr>
      <xdr:spPr>
        <a:xfrm>
          <a:off x="9572625" y="523875"/>
          <a:ext cx="1838325" cy="523875"/>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3A1 EMISIONES T2 </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7</xdr:col>
      <xdr:colOff>1104900</xdr:colOff>
      <xdr:row>9</xdr:row>
      <xdr:rowOff>0</xdr:rowOff>
    </xdr:from>
    <xdr:ext cx="1762125" cy="523875"/>
    <xdr:sp macro="" textlink="">
      <xdr:nvSpPr>
        <xdr:cNvPr id="3" name="CustomShape 1"/>
        <xdr:cNvSpPr/>
      </xdr:nvSpPr>
      <xdr:spPr>
        <a:xfrm>
          <a:off x="9563100" y="2152650"/>
          <a:ext cx="1762125" cy="523875"/>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3A1 EMISIONES T2 </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9</xdr:col>
      <xdr:colOff>1085850</xdr:colOff>
      <xdr:row>2</xdr:row>
      <xdr:rowOff>114300</xdr:rowOff>
    </xdr:from>
    <xdr:to>
      <xdr:col>12</xdr:col>
      <xdr:colOff>504825</xdr:colOff>
      <xdr:row>4</xdr:row>
      <xdr:rowOff>180975</xdr:rowOff>
    </xdr:to>
    <xdr:sp macro="" textlink="">
      <xdr:nvSpPr>
        <xdr:cNvPr id="4" name="CustomShape 1">
          <a:hlinkClick r:id="rId1"/>
        </xdr:cNvPr>
        <xdr:cNvSpPr/>
      </xdr:nvSpPr>
      <xdr:spPr>
        <a:xfrm>
          <a:off x="11772900" y="495300"/>
          <a:ext cx="1981200" cy="600075"/>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twoCellAnchor editAs="absolute">
    <xdr:from>
      <xdr:col>9</xdr:col>
      <xdr:colOff>1009650</xdr:colOff>
      <xdr:row>8</xdr:row>
      <xdr:rowOff>285750</xdr:rowOff>
    </xdr:from>
    <xdr:to>
      <xdr:col>12</xdr:col>
      <xdr:colOff>428625</xdr:colOff>
      <xdr:row>11</xdr:row>
      <xdr:rowOff>133350</xdr:rowOff>
    </xdr:to>
    <xdr:sp macro="" textlink="">
      <xdr:nvSpPr>
        <xdr:cNvPr id="5" name="CustomShape 1">
          <a:hlinkClick r:id="rId2"/>
        </xdr:cNvPr>
        <xdr:cNvSpPr/>
      </xdr:nvSpPr>
      <xdr:spPr>
        <a:xfrm>
          <a:off x="11696700" y="2114550"/>
          <a:ext cx="1981200" cy="552450"/>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1</xdr:row>
      <xdr:rowOff>85725</xdr:rowOff>
    </xdr:from>
    <xdr:ext cx="1457325" cy="514350"/>
    <xdr:sp macro="" textlink="">
      <xdr:nvSpPr>
        <xdr:cNvPr id="2" name="CustomShape 1"/>
        <xdr:cNvSpPr/>
      </xdr:nvSpPr>
      <xdr:spPr>
        <a:xfrm>
          <a:off x="15601950" y="28575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3C1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17</xdr:col>
      <xdr:colOff>0</xdr:colOff>
      <xdr:row>44</xdr:row>
      <xdr:rowOff>0</xdr:rowOff>
    </xdr:from>
    <xdr:ext cx="1457325" cy="514350"/>
    <xdr:sp macro="" textlink="">
      <xdr:nvSpPr>
        <xdr:cNvPr id="3" name="CustomShape 1"/>
        <xdr:cNvSpPr/>
      </xdr:nvSpPr>
      <xdr:spPr>
        <a:xfrm>
          <a:off x="15601950" y="949642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3C1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17</xdr:col>
      <xdr:colOff>0</xdr:colOff>
      <xdr:row>68</xdr:row>
      <xdr:rowOff>0</xdr:rowOff>
    </xdr:from>
    <xdr:ext cx="1457325" cy="723900"/>
    <xdr:sp macro="" textlink="">
      <xdr:nvSpPr>
        <xdr:cNvPr id="4" name="CustomShape 1"/>
        <xdr:cNvSpPr/>
      </xdr:nvSpPr>
      <xdr:spPr>
        <a:xfrm>
          <a:off x="15601950" y="15011400"/>
          <a:ext cx="1457325" cy="72390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3C1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17</xdr:col>
      <xdr:colOff>0</xdr:colOff>
      <xdr:row>91</xdr:row>
      <xdr:rowOff>0</xdr:rowOff>
    </xdr:from>
    <xdr:ext cx="1457325" cy="723900"/>
    <xdr:sp macro="" textlink="">
      <xdr:nvSpPr>
        <xdr:cNvPr id="5" name="CustomShape 1"/>
        <xdr:cNvSpPr/>
      </xdr:nvSpPr>
      <xdr:spPr>
        <a:xfrm>
          <a:off x="15601950" y="20516850"/>
          <a:ext cx="1457325" cy="72390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3C1 EMISIONES</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18</xdr:col>
      <xdr:colOff>466725</xdr:colOff>
      <xdr:row>1</xdr:row>
      <xdr:rowOff>38100</xdr:rowOff>
    </xdr:from>
    <xdr:to>
      <xdr:col>21</xdr:col>
      <xdr:colOff>285750</xdr:colOff>
      <xdr:row>4</xdr:row>
      <xdr:rowOff>38100</xdr:rowOff>
    </xdr:to>
    <xdr:sp macro="" textlink="">
      <xdr:nvSpPr>
        <xdr:cNvPr id="6" name="CustomShape 1">
          <a:hlinkClick r:id="rId1"/>
        </xdr:cNvPr>
        <xdr:cNvSpPr/>
      </xdr:nvSpPr>
      <xdr:spPr>
        <a:xfrm>
          <a:off x="16792575" y="238125"/>
          <a:ext cx="1990725" cy="600075"/>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twoCellAnchor editAs="absolute">
    <xdr:from>
      <xdr:col>18</xdr:col>
      <xdr:colOff>457200</xdr:colOff>
      <xdr:row>42</xdr:row>
      <xdr:rowOff>38100</xdr:rowOff>
    </xdr:from>
    <xdr:to>
      <xdr:col>21</xdr:col>
      <xdr:colOff>276225</xdr:colOff>
      <xdr:row>44</xdr:row>
      <xdr:rowOff>238125</xdr:rowOff>
    </xdr:to>
    <xdr:sp macro="" textlink="">
      <xdr:nvSpPr>
        <xdr:cNvPr id="7" name="CustomShape 1">
          <a:hlinkClick r:id="rId2"/>
        </xdr:cNvPr>
        <xdr:cNvSpPr/>
      </xdr:nvSpPr>
      <xdr:spPr>
        <a:xfrm>
          <a:off x="16783050" y="9134475"/>
          <a:ext cx="1990725" cy="600075"/>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twoCellAnchor editAs="absolute">
    <xdr:from>
      <xdr:col>18</xdr:col>
      <xdr:colOff>476250</xdr:colOff>
      <xdr:row>84</xdr:row>
      <xdr:rowOff>28575</xdr:rowOff>
    </xdr:from>
    <xdr:to>
      <xdr:col>21</xdr:col>
      <xdr:colOff>295275</xdr:colOff>
      <xdr:row>87</xdr:row>
      <xdr:rowOff>47625</xdr:rowOff>
    </xdr:to>
    <xdr:sp macro="" textlink="">
      <xdr:nvSpPr>
        <xdr:cNvPr id="8" name="CustomShape 1">
          <a:hlinkClick r:id="rId3"/>
        </xdr:cNvPr>
        <xdr:cNvSpPr/>
      </xdr:nvSpPr>
      <xdr:spPr>
        <a:xfrm>
          <a:off x="16802100" y="19240500"/>
          <a:ext cx="1990725" cy="523875"/>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twoCellAnchor editAs="absolute">
    <xdr:from>
      <xdr:col>18</xdr:col>
      <xdr:colOff>466725</xdr:colOff>
      <xdr:row>63</xdr:row>
      <xdr:rowOff>161925</xdr:rowOff>
    </xdr:from>
    <xdr:to>
      <xdr:col>21</xdr:col>
      <xdr:colOff>285750</xdr:colOff>
      <xdr:row>66</xdr:row>
      <xdr:rowOff>161925</xdr:rowOff>
    </xdr:to>
    <xdr:sp macro="" textlink="">
      <xdr:nvSpPr>
        <xdr:cNvPr id="9" name="CustomShape 1">
          <a:hlinkClick r:id="rId4"/>
        </xdr:cNvPr>
        <xdr:cNvSpPr/>
      </xdr:nvSpPr>
      <xdr:spPr>
        <a:xfrm>
          <a:off x="16792575" y="14068425"/>
          <a:ext cx="1990725" cy="571500"/>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oneCellAnchor>
    <xdr:from>
      <xdr:col>17</xdr:col>
      <xdr:colOff>0</xdr:colOff>
      <xdr:row>1</xdr:row>
      <xdr:rowOff>85725</xdr:rowOff>
    </xdr:from>
    <xdr:ext cx="1457325" cy="514350"/>
    <xdr:sp macro="" textlink="">
      <xdr:nvSpPr>
        <xdr:cNvPr id="10" name="CustomShape 1"/>
        <xdr:cNvSpPr/>
      </xdr:nvSpPr>
      <xdr:spPr>
        <a:xfrm>
          <a:off x="15601950" y="28575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3C1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17</xdr:col>
      <xdr:colOff>0</xdr:colOff>
      <xdr:row>44</xdr:row>
      <xdr:rowOff>0</xdr:rowOff>
    </xdr:from>
    <xdr:ext cx="1457325" cy="514350"/>
    <xdr:sp macro="" textlink="">
      <xdr:nvSpPr>
        <xdr:cNvPr id="11" name="CustomShape 1"/>
        <xdr:cNvSpPr/>
      </xdr:nvSpPr>
      <xdr:spPr>
        <a:xfrm>
          <a:off x="15601950" y="949642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3C1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17</xdr:col>
      <xdr:colOff>0</xdr:colOff>
      <xdr:row>68</xdr:row>
      <xdr:rowOff>0</xdr:rowOff>
    </xdr:from>
    <xdr:ext cx="1457325" cy="514350"/>
    <xdr:sp macro="" textlink="">
      <xdr:nvSpPr>
        <xdr:cNvPr id="12" name="CustomShape 1"/>
        <xdr:cNvSpPr/>
      </xdr:nvSpPr>
      <xdr:spPr>
        <a:xfrm>
          <a:off x="15601950" y="1501140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3C1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17</xdr:col>
      <xdr:colOff>0</xdr:colOff>
      <xdr:row>91</xdr:row>
      <xdr:rowOff>0</xdr:rowOff>
    </xdr:from>
    <xdr:ext cx="1457325" cy="514350"/>
    <xdr:sp macro="" textlink="">
      <xdr:nvSpPr>
        <xdr:cNvPr id="13" name="CustomShape 1"/>
        <xdr:cNvSpPr/>
      </xdr:nvSpPr>
      <xdr:spPr>
        <a:xfrm>
          <a:off x="15601950" y="2051685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3C1 EMISIONES</a:t>
          </a:r>
          <a:endParaRPr lang="es-PE" sz="1050" b="0" strike="noStrike" spc="-1">
            <a:solidFill>
              <a:sysClr val="windowText" lastClr="000000"/>
            </a:solidFill>
            <a:uFill>
              <a:solidFill>
                <a:srgbClr val="FFFFFF"/>
              </a:solidFill>
            </a:uFill>
            <a:latin typeface="Times New Roman"/>
          </a:endParaRP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xdr:row>
      <xdr:rowOff>0</xdr:rowOff>
    </xdr:from>
    <xdr:ext cx="1457325" cy="514350"/>
    <xdr:sp macro="" textlink="">
      <xdr:nvSpPr>
        <xdr:cNvPr id="2" name="CustomShape 1"/>
        <xdr:cNvSpPr/>
      </xdr:nvSpPr>
      <xdr:spPr>
        <a:xfrm>
          <a:off x="7258050" y="40005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3C2 EMISIONES</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8</xdr:col>
      <xdr:colOff>657225</xdr:colOff>
      <xdr:row>1</xdr:row>
      <xdr:rowOff>161925</xdr:rowOff>
    </xdr:from>
    <xdr:to>
      <xdr:col>11</xdr:col>
      <xdr:colOff>476250</xdr:colOff>
      <xdr:row>4</xdr:row>
      <xdr:rowOff>19050</xdr:rowOff>
    </xdr:to>
    <xdr:sp macro="" textlink="">
      <xdr:nvSpPr>
        <xdr:cNvPr id="3" name="CustomShape 1">
          <a:hlinkClick r:id="rId1"/>
        </xdr:cNvPr>
        <xdr:cNvSpPr/>
      </xdr:nvSpPr>
      <xdr:spPr>
        <a:xfrm>
          <a:off x="8639175" y="361950"/>
          <a:ext cx="1990725" cy="600075"/>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oneCellAnchor>
    <xdr:from>
      <xdr:col>7</xdr:col>
      <xdr:colOff>0</xdr:colOff>
      <xdr:row>2</xdr:row>
      <xdr:rowOff>0</xdr:rowOff>
    </xdr:from>
    <xdr:ext cx="1457325" cy="514350"/>
    <xdr:sp macro="" textlink="">
      <xdr:nvSpPr>
        <xdr:cNvPr id="4" name="CustomShape 1"/>
        <xdr:cNvSpPr/>
      </xdr:nvSpPr>
      <xdr:spPr>
        <a:xfrm>
          <a:off x="7258050" y="40005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3C2 EMISIONES</a:t>
          </a:r>
          <a:endParaRPr lang="es-PE" sz="1050" b="0" strike="noStrike" spc="-1">
            <a:solidFill>
              <a:sysClr val="windowText" lastClr="000000"/>
            </a:solidFill>
            <a:uFill>
              <a:solidFill>
                <a:srgbClr val="FFFFFF"/>
              </a:solidFill>
            </a:uFill>
            <a:latin typeface="Times New Roman"/>
          </a:endParaRP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1457325" cy="914400"/>
    <xdr:sp macro="" textlink="">
      <xdr:nvSpPr>
        <xdr:cNvPr id="2" name="CustomShape 1"/>
        <xdr:cNvSpPr/>
      </xdr:nvSpPr>
      <xdr:spPr>
        <a:xfrm>
          <a:off x="6877050" y="1066800"/>
          <a:ext cx="1457325" cy="91440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3C3 EMISIONES</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7</xdr:col>
      <xdr:colOff>676275</xdr:colOff>
      <xdr:row>4</xdr:row>
      <xdr:rowOff>95250</xdr:rowOff>
    </xdr:from>
    <xdr:to>
      <xdr:col>10</xdr:col>
      <xdr:colOff>495300</xdr:colOff>
      <xdr:row>6</xdr:row>
      <xdr:rowOff>0</xdr:rowOff>
    </xdr:to>
    <xdr:sp macro="" textlink="">
      <xdr:nvSpPr>
        <xdr:cNvPr id="3" name="CustomShape 1">
          <a:hlinkClick r:id="rId1"/>
        </xdr:cNvPr>
        <xdr:cNvSpPr/>
      </xdr:nvSpPr>
      <xdr:spPr>
        <a:xfrm>
          <a:off x="8277225" y="990600"/>
          <a:ext cx="1990725" cy="990600"/>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5</xdr:row>
      <xdr:rowOff>0</xdr:rowOff>
    </xdr:from>
    <xdr:ext cx="1457325" cy="514350"/>
    <xdr:sp macro="" textlink="">
      <xdr:nvSpPr>
        <xdr:cNvPr id="2" name="CustomShape 1"/>
        <xdr:cNvSpPr/>
      </xdr:nvSpPr>
      <xdr:spPr>
        <a:xfrm>
          <a:off x="8382000" y="100012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3C4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11</xdr:col>
      <xdr:colOff>0</xdr:colOff>
      <xdr:row>25</xdr:row>
      <xdr:rowOff>0</xdr:rowOff>
    </xdr:from>
    <xdr:ext cx="1457325" cy="514350"/>
    <xdr:sp macro="" textlink="">
      <xdr:nvSpPr>
        <xdr:cNvPr id="3" name="CustomShape 1"/>
        <xdr:cNvSpPr/>
      </xdr:nvSpPr>
      <xdr:spPr>
        <a:xfrm>
          <a:off x="10944225" y="1065847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3C4 EMISIONES</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12</xdr:col>
      <xdr:colOff>533400</xdr:colOff>
      <xdr:row>19</xdr:row>
      <xdr:rowOff>133350</xdr:rowOff>
    </xdr:from>
    <xdr:to>
      <xdr:col>15</xdr:col>
      <xdr:colOff>352425</xdr:colOff>
      <xdr:row>22</xdr:row>
      <xdr:rowOff>133350</xdr:rowOff>
    </xdr:to>
    <xdr:sp macro="" textlink="">
      <xdr:nvSpPr>
        <xdr:cNvPr id="5" name="CustomShape 1">
          <a:hlinkClick r:id="rId1"/>
        </xdr:cNvPr>
        <xdr:cNvSpPr/>
      </xdr:nvSpPr>
      <xdr:spPr>
        <a:xfrm>
          <a:off x="12201525" y="9591675"/>
          <a:ext cx="1990725" cy="600075"/>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oneCellAnchor>
    <xdr:from>
      <xdr:col>8</xdr:col>
      <xdr:colOff>0</xdr:colOff>
      <xdr:row>5</xdr:row>
      <xdr:rowOff>0</xdr:rowOff>
    </xdr:from>
    <xdr:ext cx="1457325" cy="514350"/>
    <xdr:sp macro="" textlink="">
      <xdr:nvSpPr>
        <xdr:cNvPr id="6" name="CustomShape 1"/>
        <xdr:cNvSpPr/>
      </xdr:nvSpPr>
      <xdr:spPr>
        <a:xfrm>
          <a:off x="8382000" y="100012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3C4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11</xdr:col>
      <xdr:colOff>0</xdr:colOff>
      <xdr:row>25</xdr:row>
      <xdr:rowOff>0</xdr:rowOff>
    </xdr:from>
    <xdr:ext cx="1457325" cy="514350"/>
    <xdr:sp macro="" textlink="">
      <xdr:nvSpPr>
        <xdr:cNvPr id="7" name="CustomShape 1"/>
        <xdr:cNvSpPr/>
      </xdr:nvSpPr>
      <xdr:spPr>
        <a:xfrm>
          <a:off x="10944225" y="1065847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3C4 EMISIONES</a:t>
          </a:r>
          <a:endParaRPr lang="es-PE" sz="1050" b="0" strike="noStrike" spc="-1">
            <a:solidFill>
              <a:sysClr val="windowText" lastClr="000000"/>
            </a:solidFill>
            <a:uFill>
              <a:solidFill>
                <a:srgbClr val="FFFFFF"/>
              </a:solidFill>
            </a:uFill>
            <a:latin typeface="Times New Roman"/>
          </a:endParaRP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20</xdr:row>
      <xdr:rowOff>0</xdr:rowOff>
    </xdr:from>
    <xdr:ext cx="1457325" cy="657225"/>
    <xdr:sp macro="" textlink="">
      <xdr:nvSpPr>
        <xdr:cNvPr id="2" name="CustomShape 1"/>
        <xdr:cNvSpPr/>
      </xdr:nvSpPr>
      <xdr:spPr>
        <a:xfrm>
          <a:off x="11991975" y="6105525"/>
          <a:ext cx="1457325" cy="657225"/>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3C5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10</xdr:col>
      <xdr:colOff>0</xdr:colOff>
      <xdr:row>5</xdr:row>
      <xdr:rowOff>0</xdr:rowOff>
    </xdr:from>
    <xdr:ext cx="1457325" cy="514350"/>
    <xdr:sp macro="" textlink="">
      <xdr:nvSpPr>
        <xdr:cNvPr id="3" name="CustomShape 1"/>
        <xdr:cNvSpPr/>
      </xdr:nvSpPr>
      <xdr:spPr>
        <a:xfrm>
          <a:off x="10544175" y="106680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3C5 EMISIONES</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12</xdr:col>
      <xdr:colOff>485775</xdr:colOff>
      <xdr:row>18</xdr:row>
      <xdr:rowOff>95250</xdr:rowOff>
    </xdr:from>
    <xdr:to>
      <xdr:col>15</xdr:col>
      <xdr:colOff>304800</xdr:colOff>
      <xdr:row>20</xdr:row>
      <xdr:rowOff>295275</xdr:rowOff>
    </xdr:to>
    <xdr:sp macro="" textlink="">
      <xdr:nvSpPr>
        <xdr:cNvPr id="5" name="CustomShape 1">
          <a:hlinkClick r:id="rId1"/>
        </xdr:cNvPr>
        <xdr:cNvSpPr/>
      </xdr:nvSpPr>
      <xdr:spPr>
        <a:xfrm>
          <a:off x="12477750" y="5829300"/>
          <a:ext cx="1990725" cy="571500"/>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oneCellAnchor>
    <xdr:from>
      <xdr:col>10</xdr:col>
      <xdr:colOff>0</xdr:colOff>
      <xdr:row>5</xdr:row>
      <xdr:rowOff>0</xdr:rowOff>
    </xdr:from>
    <xdr:ext cx="1457325" cy="514350"/>
    <xdr:sp macro="" textlink="">
      <xdr:nvSpPr>
        <xdr:cNvPr id="6" name="CustomShape 1"/>
        <xdr:cNvSpPr/>
      </xdr:nvSpPr>
      <xdr:spPr>
        <a:xfrm>
          <a:off x="10544175" y="1066800"/>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3C5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12</xdr:col>
      <xdr:colOff>0</xdr:colOff>
      <xdr:row>20</xdr:row>
      <xdr:rowOff>0</xdr:rowOff>
    </xdr:from>
    <xdr:ext cx="1457325" cy="514350"/>
    <xdr:sp macro="" textlink="">
      <xdr:nvSpPr>
        <xdr:cNvPr id="7" name="CustomShape 1"/>
        <xdr:cNvSpPr/>
      </xdr:nvSpPr>
      <xdr:spPr>
        <a:xfrm>
          <a:off x="11991975" y="610552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3C5 EMISIONES</a:t>
          </a:r>
          <a:endParaRPr lang="es-PE" sz="1050" b="0" strike="noStrike" spc="-1">
            <a:solidFill>
              <a:sysClr val="windowText" lastClr="000000"/>
            </a:solidFill>
            <a:uFill>
              <a:solidFill>
                <a:srgbClr val="FFFFFF"/>
              </a:solidFill>
            </a:uFill>
            <a:latin typeface="Times New Roman"/>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647700</xdr:colOff>
      <xdr:row>1</xdr:row>
      <xdr:rowOff>247650</xdr:rowOff>
    </xdr:from>
    <xdr:ext cx="1638300" cy="295275"/>
    <xdr:sp macro="" textlink="">
      <xdr:nvSpPr>
        <xdr:cNvPr id="2" name="CustomShape 1"/>
        <xdr:cNvSpPr/>
      </xdr:nvSpPr>
      <xdr:spPr>
        <a:xfrm>
          <a:off x="6991350" y="438150"/>
          <a:ext cx="1638300" cy="295275"/>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3C1</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7</xdr:col>
      <xdr:colOff>666750</xdr:colOff>
      <xdr:row>1</xdr:row>
      <xdr:rowOff>247650</xdr:rowOff>
    </xdr:from>
    <xdr:ext cx="1828800" cy="295275"/>
    <xdr:sp macro="" textlink="">
      <xdr:nvSpPr>
        <xdr:cNvPr id="3" name="CustomShape 1">
          <a:hlinkClick r:id="rId1"/>
        </xdr:cNvPr>
        <xdr:cNvSpPr/>
      </xdr:nvSpPr>
      <xdr:spPr>
        <a:xfrm>
          <a:off x="8534400" y="438150"/>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3C1</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5</xdr:col>
      <xdr:colOff>647700</xdr:colOff>
      <xdr:row>67</xdr:row>
      <xdr:rowOff>323850</xdr:rowOff>
    </xdr:from>
    <xdr:ext cx="1638300" cy="342900"/>
    <xdr:sp macro="" textlink="">
      <xdr:nvSpPr>
        <xdr:cNvPr id="10" name="CustomShape 1"/>
        <xdr:cNvSpPr/>
      </xdr:nvSpPr>
      <xdr:spPr>
        <a:xfrm>
          <a:off x="6991350" y="14649450"/>
          <a:ext cx="1638300" cy="34290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3C1</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7</xdr:col>
      <xdr:colOff>666750</xdr:colOff>
      <xdr:row>67</xdr:row>
      <xdr:rowOff>247650</xdr:rowOff>
    </xdr:from>
    <xdr:ext cx="1828800" cy="295275"/>
    <xdr:sp macro="" textlink="">
      <xdr:nvSpPr>
        <xdr:cNvPr id="11" name="CustomShape 1">
          <a:hlinkClick r:id="rId2"/>
        </xdr:cNvPr>
        <xdr:cNvSpPr/>
      </xdr:nvSpPr>
      <xdr:spPr>
        <a:xfrm>
          <a:off x="8534400" y="14573250"/>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3C1</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5</xdr:col>
      <xdr:colOff>647700</xdr:colOff>
      <xdr:row>34</xdr:row>
      <xdr:rowOff>247650</xdr:rowOff>
    </xdr:from>
    <xdr:ext cx="1638300" cy="295275"/>
    <xdr:sp macro="" textlink="">
      <xdr:nvSpPr>
        <xdr:cNvPr id="6" name="CustomShape 1"/>
        <xdr:cNvSpPr/>
      </xdr:nvSpPr>
      <xdr:spPr>
        <a:xfrm>
          <a:off x="6991350" y="7267575"/>
          <a:ext cx="1638300" cy="295275"/>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3C1</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7</xdr:col>
      <xdr:colOff>666750</xdr:colOff>
      <xdr:row>34</xdr:row>
      <xdr:rowOff>247650</xdr:rowOff>
    </xdr:from>
    <xdr:ext cx="1828800" cy="295275"/>
    <xdr:sp macro="" textlink="">
      <xdr:nvSpPr>
        <xdr:cNvPr id="7" name="CustomShape 1">
          <a:hlinkClick r:id="rId3"/>
        </xdr:cNvPr>
        <xdr:cNvSpPr/>
      </xdr:nvSpPr>
      <xdr:spPr>
        <a:xfrm>
          <a:off x="8534400" y="7267575"/>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3C1</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5</xdr:row>
      <xdr:rowOff>0</xdr:rowOff>
    </xdr:from>
    <xdr:ext cx="1457325" cy="723900"/>
    <xdr:sp macro="" textlink="">
      <xdr:nvSpPr>
        <xdr:cNvPr id="2" name="CustomShape 1"/>
        <xdr:cNvSpPr/>
      </xdr:nvSpPr>
      <xdr:spPr>
        <a:xfrm>
          <a:off x="9239250" y="942975"/>
          <a:ext cx="1457325" cy="72390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3C6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15</xdr:col>
      <xdr:colOff>85725</xdr:colOff>
      <xdr:row>81</xdr:row>
      <xdr:rowOff>247650</xdr:rowOff>
    </xdr:from>
    <xdr:ext cx="1457325" cy="609600"/>
    <xdr:sp macro="" textlink="">
      <xdr:nvSpPr>
        <xdr:cNvPr id="3" name="CustomShape 1"/>
        <xdr:cNvSpPr/>
      </xdr:nvSpPr>
      <xdr:spPr>
        <a:xfrm>
          <a:off x="13896975" y="20678775"/>
          <a:ext cx="1457325" cy="60960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3C6 EMISIONES</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10</xdr:col>
      <xdr:colOff>304800</xdr:colOff>
      <xdr:row>4</xdr:row>
      <xdr:rowOff>142875</xdr:rowOff>
    </xdr:from>
    <xdr:to>
      <xdr:col>13</xdr:col>
      <xdr:colOff>123825</xdr:colOff>
      <xdr:row>5</xdr:row>
      <xdr:rowOff>561975</xdr:rowOff>
    </xdr:to>
    <xdr:sp macro="" textlink="">
      <xdr:nvSpPr>
        <xdr:cNvPr id="4" name="CustomShape 1">
          <a:hlinkClick r:id="rId1"/>
        </xdr:cNvPr>
        <xdr:cNvSpPr/>
      </xdr:nvSpPr>
      <xdr:spPr>
        <a:xfrm>
          <a:off x="10496550" y="914400"/>
          <a:ext cx="1990725" cy="590550"/>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twoCellAnchor editAs="absolute">
    <xdr:from>
      <xdr:col>16</xdr:col>
      <xdr:colOff>609600</xdr:colOff>
      <xdr:row>67</xdr:row>
      <xdr:rowOff>85725</xdr:rowOff>
    </xdr:from>
    <xdr:to>
      <xdr:col>19</xdr:col>
      <xdr:colOff>428625</xdr:colOff>
      <xdr:row>70</xdr:row>
      <xdr:rowOff>85725</xdr:rowOff>
    </xdr:to>
    <xdr:sp macro="" textlink="">
      <xdr:nvSpPr>
        <xdr:cNvPr id="5" name="CustomShape 1">
          <a:hlinkClick r:id="rId2"/>
        </xdr:cNvPr>
        <xdr:cNvSpPr/>
      </xdr:nvSpPr>
      <xdr:spPr>
        <a:xfrm>
          <a:off x="15144750" y="15935325"/>
          <a:ext cx="1990725" cy="514350"/>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oneCellAnchor>
    <xdr:from>
      <xdr:col>9</xdr:col>
      <xdr:colOff>0</xdr:colOff>
      <xdr:row>5</xdr:row>
      <xdr:rowOff>0</xdr:rowOff>
    </xdr:from>
    <xdr:ext cx="1457325" cy="514350"/>
    <xdr:sp macro="" textlink="">
      <xdr:nvSpPr>
        <xdr:cNvPr id="6" name="CustomShape 1"/>
        <xdr:cNvSpPr/>
      </xdr:nvSpPr>
      <xdr:spPr>
        <a:xfrm>
          <a:off x="9239250" y="94297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3C6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15</xdr:col>
      <xdr:colOff>85725</xdr:colOff>
      <xdr:row>80</xdr:row>
      <xdr:rowOff>295275</xdr:rowOff>
    </xdr:from>
    <xdr:ext cx="1457325" cy="2047875"/>
    <xdr:sp macro="" textlink="">
      <xdr:nvSpPr>
        <xdr:cNvPr id="7" name="CustomShape 1"/>
        <xdr:cNvSpPr/>
      </xdr:nvSpPr>
      <xdr:spPr>
        <a:xfrm>
          <a:off x="13896975" y="18773775"/>
          <a:ext cx="1457325" cy="2047875"/>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3C6 EMISIONES</a:t>
          </a:r>
          <a:endParaRPr lang="es-PE" sz="1050" b="0" strike="noStrike" spc="-1">
            <a:solidFill>
              <a:sysClr val="windowText" lastClr="000000"/>
            </a:solidFill>
            <a:uFill>
              <a:solidFill>
                <a:srgbClr val="FFFFFF"/>
              </a:solidFill>
            </a:uFill>
            <a:latin typeface="Times New Roman"/>
          </a:endParaRP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5</xdr:row>
      <xdr:rowOff>123825</xdr:rowOff>
    </xdr:from>
    <xdr:ext cx="1457325" cy="514350"/>
    <xdr:sp macro="" textlink="">
      <xdr:nvSpPr>
        <xdr:cNvPr id="2" name="CustomShape 1"/>
        <xdr:cNvSpPr/>
      </xdr:nvSpPr>
      <xdr:spPr>
        <a:xfrm>
          <a:off x="12734925" y="119062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3C7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6</xdr:col>
      <xdr:colOff>0</xdr:colOff>
      <xdr:row>27</xdr:row>
      <xdr:rowOff>0</xdr:rowOff>
    </xdr:from>
    <xdr:ext cx="1457325" cy="485775"/>
    <xdr:sp macro="" textlink="">
      <xdr:nvSpPr>
        <xdr:cNvPr id="3" name="CustomShape 1"/>
        <xdr:cNvSpPr/>
      </xdr:nvSpPr>
      <xdr:spPr>
        <a:xfrm>
          <a:off x="7496175" y="6819900"/>
          <a:ext cx="1457325" cy="485775"/>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3C7 EMISIONES</a:t>
          </a:r>
          <a:endParaRPr lang="es-PE" sz="1050" b="0" strike="noStrike" spc="-1">
            <a:solidFill>
              <a:sysClr val="windowText" lastClr="000000"/>
            </a:solidFill>
            <a:uFill>
              <a:solidFill>
                <a:srgbClr val="FFFFFF"/>
              </a:solidFill>
            </a:uFill>
            <a:latin typeface="Times New Roman"/>
          </a:endParaRPr>
        </a:p>
      </xdr:txBody>
    </xdr:sp>
    <xdr:clientData/>
  </xdr:oneCellAnchor>
  <xdr:twoCellAnchor editAs="absolute">
    <xdr:from>
      <xdr:col>6</xdr:col>
      <xdr:colOff>866775</xdr:colOff>
      <xdr:row>27</xdr:row>
      <xdr:rowOff>85725</xdr:rowOff>
    </xdr:from>
    <xdr:to>
      <xdr:col>8</xdr:col>
      <xdr:colOff>628650</xdr:colOff>
      <xdr:row>28</xdr:row>
      <xdr:rowOff>485775</xdr:rowOff>
    </xdr:to>
    <xdr:sp macro="" textlink="">
      <xdr:nvSpPr>
        <xdr:cNvPr id="5" name="CustomShape 1">
          <a:hlinkClick r:id="rId1"/>
        </xdr:cNvPr>
        <xdr:cNvSpPr/>
      </xdr:nvSpPr>
      <xdr:spPr>
        <a:xfrm>
          <a:off x="8362950" y="6905625"/>
          <a:ext cx="1990725" cy="571500"/>
        </a:xfrm>
        <a:prstGeom prst="flowChartInputOutput">
          <a:avLst/>
        </a:prstGeom>
        <a:solidFill>
          <a:srgbClr val="808080"/>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ea typeface="Calibri"/>
            </a:rPr>
            <a:t>RESULTADOS</a:t>
          </a:r>
          <a:endParaRPr lang="es-PE" sz="1050" b="0" strike="noStrike" spc="-1">
            <a:solidFill>
              <a:schemeClr val="bg1"/>
            </a:solidFill>
            <a:uFill>
              <a:solidFill>
                <a:srgbClr val="FFFFFF"/>
              </a:solidFill>
            </a:uFill>
            <a:latin typeface="Times New Roman"/>
          </a:endParaRPr>
        </a:p>
      </xdr:txBody>
    </xdr:sp>
    <xdr:clientData/>
  </xdr:twoCellAnchor>
  <xdr:oneCellAnchor>
    <xdr:from>
      <xdr:col>11</xdr:col>
      <xdr:colOff>57150</xdr:colOff>
      <xdr:row>5</xdr:row>
      <xdr:rowOff>123825</xdr:rowOff>
    </xdr:from>
    <xdr:ext cx="1457325" cy="514350"/>
    <xdr:sp macro="" textlink="">
      <xdr:nvSpPr>
        <xdr:cNvPr id="6" name="CustomShape 1"/>
        <xdr:cNvSpPr/>
      </xdr:nvSpPr>
      <xdr:spPr>
        <a:xfrm>
          <a:off x="12734925" y="1190625"/>
          <a:ext cx="1457325" cy="514350"/>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3C7 EMISIONES</a:t>
          </a:r>
          <a:endParaRPr lang="es-PE" sz="1050" b="0" strike="noStrike" spc="-1">
            <a:solidFill>
              <a:sysClr val="windowText" lastClr="000000"/>
            </a:solidFill>
            <a:uFill>
              <a:solidFill>
                <a:srgbClr val="FFFFFF"/>
              </a:solidFill>
            </a:uFill>
            <a:latin typeface="Times New Roman"/>
          </a:endParaRPr>
        </a:p>
      </xdr:txBody>
    </xdr:sp>
    <xdr:clientData/>
  </xdr:oneCellAnchor>
  <xdr:oneCellAnchor>
    <xdr:from>
      <xdr:col>6</xdr:col>
      <xdr:colOff>0</xdr:colOff>
      <xdr:row>27</xdr:row>
      <xdr:rowOff>0</xdr:rowOff>
    </xdr:from>
    <xdr:ext cx="1457325" cy="485775"/>
    <xdr:sp macro="" textlink="">
      <xdr:nvSpPr>
        <xdr:cNvPr id="7" name="CustomShape 1"/>
        <xdr:cNvSpPr/>
      </xdr:nvSpPr>
      <xdr:spPr>
        <a:xfrm>
          <a:off x="7496175" y="6819900"/>
          <a:ext cx="1457325" cy="485775"/>
        </a:xfrm>
        <a:prstGeom prst="chevron">
          <a:avLst>
            <a:gd name="adj" fmla="val 50000"/>
          </a:avLst>
        </a:prstGeom>
        <a:solidFill>
          <a:srgbClr val="D9D9D9"/>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ysClr val="windowText" lastClr="000000"/>
              </a:solidFill>
              <a:uFill>
                <a:solidFill>
                  <a:srgbClr val="FFFFFF"/>
                </a:solidFill>
              </a:uFill>
              <a:latin typeface="+mn-lt"/>
              <a:ea typeface="Calibri"/>
            </a:rPr>
            <a:t>3C7 EMISIONES</a:t>
          </a:r>
          <a:endParaRPr lang="es-PE" sz="1050" b="0" strike="noStrike" spc="-1">
            <a:solidFill>
              <a:sysClr val="windowText" lastClr="000000"/>
            </a:solidFill>
            <a:uFill>
              <a:solidFill>
                <a:srgbClr val="FFFFFF"/>
              </a:solidFill>
            </a:uFill>
            <a:latin typeface="Times New Roman"/>
          </a:endParaRP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46</xdr:row>
      <xdr:rowOff>0</xdr:rowOff>
    </xdr:from>
    <xdr:ext cx="7058025" cy="2933700"/>
    <xdr:graphicFrame macro="">
      <xdr:nvGraphicFramePr>
        <xdr:cNvPr id="2" name="1 Gráfico"/>
        <xdr:cNvGraphicFramePr/>
      </xdr:nvGraphicFramePr>
      <xdr:xfrm>
        <a:off x="314325" y="8143875"/>
        <a:ext cx="7058025" cy="2933700"/>
      </xdr:xfrm>
      <a:graphic>
        <a:graphicData uri="http://schemas.openxmlformats.org/drawingml/2006/chart">
          <c:chart xmlns:c="http://schemas.openxmlformats.org/drawingml/2006/chart" r:id="rId1"/>
        </a:graphicData>
      </a:graphic>
    </xdr:graphicFrame>
    <xdr:clientData/>
  </xdr:oneCellAnchor>
  <xdr:oneCellAnchor>
    <xdr:from>
      <xdr:col>15</xdr:col>
      <xdr:colOff>133350</xdr:colOff>
      <xdr:row>7</xdr:row>
      <xdr:rowOff>85725</xdr:rowOff>
    </xdr:from>
    <xdr:ext cx="7924800" cy="5934075"/>
    <xdr:graphicFrame macro="">
      <xdr:nvGraphicFramePr>
        <xdr:cNvPr id="3" name="Gráfico 2"/>
        <xdr:cNvGraphicFramePr/>
      </xdr:nvGraphicFramePr>
      <xdr:xfrm>
        <a:off x="11258550" y="1771650"/>
        <a:ext cx="7924800" cy="5934075"/>
      </xdr:xfrm>
      <a:graphic>
        <a:graphicData uri="http://schemas.openxmlformats.org/drawingml/2006/chart">
          <c:chart xmlns:c="http://schemas.openxmlformats.org/drawingml/2006/chart" r:id="rId2"/>
        </a:graphicData>
      </a:graphic>
    </xdr:graphicFrame>
    <xdr:clientData/>
  </xdr:oneCellAnchor>
  <xdr:oneCellAnchor>
    <xdr:from>
      <xdr:col>1</xdr:col>
      <xdr:colOff>0</xdr:colOff>
      <xdr:row>64</xdr:row>
      <xdr:rowOff>0</xdr:rowOff>
    </xdr:from>
    <xdr:ext cx="6600825" cy="2543175"/>
    <xdr:graphicFrame macro="">
      <xdr:nvGraphicFramePr>
        <xdr:cNvPr id="4" name="1 Gráfico"/>
        <xdr:cNvGraphicFramePr/>
      </xdr:nvGraphicFramePr>
      <xdr:xfrm>
        <a:off x="314325" y="11058525"/>
        <a:ext cx="6600825" cy="2543175"/>
      </xdr:xfrm>
      <a:graphic>
        <a:graphicData uri="http://schemas.openxmlformats.org/drawingml/2006/chart">
          <c:chart xmlns:c="http://schemas.openxmlformats.org/drawingml/2006/chart" r:id="rId3"/>
        </a:graphicData>
      </a:graphic>
    </xdr:graphicFrame>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304800</xdr:colOff>
      <xdr:row>15</xdr:row>
      <xdr:rowOff>180975</xdr:rowOff>
    </xdr:from>
    <xdr:to>
      <xdr:col>45</xdr:col>
      <xdr:colOff>561975</xdr:colOff>
      <xdr:row>30</xdr:row>
      <xdr:rowOff>66675</xdr:rowOff>
    </xdr:to>
    <xdr:graphicFrame macro="">
      <xdr:nvGraphicFramePr>
        <xdr:cNvPr id="5" name="Gráfico 4"/>
        <xdr:cNvGraphicFramePr/>
      </xdr:nvGraphicFramePr>
      <xdr:xfrm>
        <a:off x="32051625" y="3600450"/>
        <a:ext cx="5743575" cy="2743200"/>
      </xdr:xfrm>
      <a:graphic>
        <a:graphicData uri="http://schemas.openxmlformats.org/drawingml/2006/chart">
          <c:chart xmlns:c="http://schemas.openxmlformats.org/drawingml/2006/chart" r:id="rId1"/>
        </a:graphicData>
      </a:graphic>
    </xdr:graphicFrame>
    <xdr:clientData/>
  </xdr:twoCellAnchor>
  <xdr:twoCellAnchor>
    <xdr:from>
      <xdr:col>36</xdr:col>
      <xdr:colOff>257175</xdr:colOff>
      <xdr:row>3</xdr:row>
      <xdr:rowOff>161925</xdr:rowOff>
    </xdr:from>
    <xdr:to>
      <xdr:col>46</xdr:col>
      <xdr:colOff>57150</xdr:colOff>
      <xdr:row>15</xdr:row>
      <xdr:rowOff>38100</xdr:rowOff>
    </xdr:to>
    <xdr:graphicFrame macro="">
      <xdr:nvGraphicFramePr>
        <xdr:cNvPr id="7" name="Gráfico 6"/>
        <xdr:cNvGraphicFramePr/>
      </xdr:nvGraphicFramePr>
      <xdr:xfrm>
        <a:off x="32004000" y="714375"/>
        <a:ext cx="5895975" cy="2743200"/>
      </xdr:xfrm>
      <a:graphic>
        <a:graphicData uri="http://schemas.openxmlformats.org/drawingml/2006/chart">
          <c:chart xmlns:c="http://schemas.openxmlformats.org/drawingml/2006/chart" r:id="rId2"/>
        </a:graphicData>
      </a:graphic>
    </xdr:graphicFrame>
    <xdr:clientData/>
  </xdr:twoCellAnchor>
  <xdr:twoCellAnchor>
    <xdr:from>
      <xdr:col>46</xdr:col>
      <xdr:colOff>190500</xdr:colOff>
      <xdr:row>3</xdr:row>
      <xdr:rowOff>257175</xdr:rowOff>
    </xdr:from>
    <xdr:to>
      <xdr:col>54</xdr:col>
      <xdr:colOff>104775</xdr:colOff>
      <xdr:row>15</xdr:row>
      <xdr:rowOff>133350</xdr:rowOff>
    </xdr:to>
    <xdr:graphicFrame macro="">
      <xdr:nvGraphicFramePr>
        <xdr:cNvPr id="8" name="Gráfico 7"/>
        <xdr:cNvGraphicFramePr/>
      </xdr:nvGraphicFramePr>
      <xdr:xfrm>
        <a:off x="38033325" y="809625"/>
        <a:ext cx="4791075" cy="2743200"/>
      </xdr:xfrm>
      <a:graphic>
        <a:graphicData uri="http://schemas.openxmlformats.org/drawingml/2006/chart">
          <c:chart xmlns:c="http://schemas.openxmlformats.org/drawingml/2006/chart" r:id="rId3"/>
        </a:graphicData>
      </a:graphic>
    </xdr:graphicFrame>
    <xdr:clientData/>
  </xdr:twoCellAnchor>
  <xdr:twoCellAnchor>
    <xdr:from>
      <xdr:col>46</xdr:col>
      <xdr:colOff>209550</xdr:colOff>
      <xdr:row>16</xdr:row>
      <xdr:rowOff>47625</xdr:rowOff>
    </xdr:from>
    <xdr:to>
      <xdr:col>54</xdr:col>
      <xdr:colOff>123825</xdr:colOff>
      <xdr:row>30</xdr:row>
      <xdr:rowOff>123825</xdr:rowOff>
    </xdr:to>
    <xdr:graphicFrame macro="">
      <xdr:nvGraphicFramePr>
        <xdr:cNvPr id="9" name="Gráfico 8"/>
        <xdr:cNvGraphicFramePr/>
      </xdr:nvGraphicFramePr>
      <xdr:xfrm>
        <a:off x="38052375" y="3657600"/>
        <a:ext cx="4791075" cy="2743200"/>
      </xdr:xfrm>
      <a:graphic>
        <a:graphicData uri="http://schemas.openxmlformats.org/drawingml/2006/chart">
          <c:chart xmlns:c="http://schemas.openxmlformats.org/drawingml/2006/chart" r:id="rId4"/>
        </a:graphicData>
      </a:graphic>
    </xdr:graphicFrame>
    <xdr:clientData/>
  </xdr:twoCellAnchor>
  <xdr:twoCellAnchor>
    <xdr:from>
      <xdr:col>54</xdr:col>
      <xdr:colOff>266700</xdr:colOff>
      <xdr:row>16</xdr:row>
      <xdr:rowOff>47625</xdr:rowOff>
    </xdr:from>
    <xdr:to>
      <xdr:col>62</xdr:col>
      <xdr:colOff>180975</xdr:colOff>
      <xdr:row>30</xdr:row>
      <xdr:rowOff>123825</xdr:rowOff>
    </xdr:to>
    <xdr:graphicFrame macro="">
      <xdr:nvGraphicFramePr>
        <xdr:cNvPr id="10" name="Gráfico 9"/>
        <xdr:cNvGraphicFramePr/>
      </xdr:nvGraphicFramePr>
      <xdr:xfrm>
        <a:off x="42986325" y="3657600"/>
        <a:ext cx="4791075" cy="2743200"/>
      </xdr:xfrm>
      <a:graphic>
        <a:graphicData uri="http://schemas.openxmlformats.org/drawingml/2006/chart">
          <c:chart xmlns:c="http://schemas.openxmlformats.org/drawingml/2006/chart" r:id="rId5"/>
        </a:graphicData>
      </a:graphic>
    </xdr:graphicFrame>
    <xdr:clientData/>
  </xdr:twoCellAnchor>
  <xdr:twoCellAnchor>
    <xdr:from>
      <xdr:col>54</xdr:col>
      <xdr:colOff>285750</xdr:colOff>
      <xdr:row>3</xdr:row>
      <xdr:rowOff>238125</xdr:rowOff>
    </xdr:from>
    <xdr:to>
      <xdr:col>62</xdr:col>
      <xdr:colOff>200025</xdr:colOff>
      <xdr:row>15</xdr:row>
      <xdr:rowOff>114300</xdr:rowOff>
    </xdr:to>
    <xdr:graphicFrame macro="">
      <xdr:nvGraphicFramePr>
        <xdr:cNvPr id="11" name="Gráfico 10"/>
        <xdr:cNvGraphicFramePr/>
      </xdr:nvGraphicFramePr>
      <xdr:xfrm>
        <a:off x="43005375" y="790575"/>
        <a:ext cx="4791075" cy="2743200"/>
      </xdr:xfrm>
      <a:graphic>
        <a:graphicData uri="http://schemas.openxmlformats.org/drawingml/2006/chart">
          <c:chart xmlns:c="http://schemas.openxmlformats.org/drawingml/2006/chart" r:id="rId6"/>
        </a:graphicData>
      </a:graphic>
    </xdr:graphicFrame>
    <xdr:clientData/>
  </xdr:twoCellAnchor>
  <xdr:twoCellAnchor>
    <xdr:from>
      <xdr:col>62</xdr:col>
      <xdr:colOff>304800</xdr:colOff>
      <xdr:row>16</xdr:row>
      <xdr:rowOff>38100</xdr:rowOff>
    </xdr:from>
    <xdr:to>
      <xdr:col>72</xdr:col>
      <xdr:colOff>190500</xdr:colOff>
      <xdr:row>30</xdr:row>
      <xdr:rowOff>114300</xdr:rowOff>
    </xdr:to>
    <xdr:graphicFrame macro="">
      <xdr:nvGraphicFramePr>
        <xdr:cNvPr id="12" name="Gráfico 11"/>
        <xdr:cNvGraphicFramePr/>
      </xdr:nvGraphicFramePr>
      <xdr:xfrm>
        <a:off x="47901225" y="3648075"/>
        <a:ext cx="5981700" cy="2743200"/>
      </xdr:xfrm>
      <a:graphic>
        <a:graphicData uri="http://schemas.openxmlformats.org/drawingml/2006/chart">
          <c:chart xmlns:c="http://schemas.openxmlformats.org/drawingml/2006/chart" r:id="rId7"/>
        </a:graphicData>
      </a:graphic>
    </xdr:graphicFrame>
    <xdr:clientData/>
  </xdr:twoCellAnchor>
  <xdr:twoCellAnchor>
    <xdr:from>
      <xdr:col>62</xdr:col>
      <xdr:colOff>285750</xdr:colOff>
      <xdr:row>3</xdr:row>
      <xdr:rowOff>276225</xdr:rowOff>
    </xdr:from>
    <xdr:to>
      <xdr:col>72</xdr:col>
      <xdr:colOff>257175</xdr:colOff>
      <xdr:row>15</xdr:row>
      <xdr:rowOff>161925</xdr:rowOff>
    </xdr:to>
    <xdr:graphicFrame macro="">
      <xdr:nvGraphicFramePr>
        <xdr:cNvPr id="21" name="Gráfico 20"/>
        <xdr:cNvGraphicFramePr/>
      </xdr:nvGraphicFramePr>
      <xdr:xfrm>
        <a:off x="47882175" y="828675"/>
        <a:ext cx="6067425" cy="2752725"/>
      </xdr:xfrm>
      <a:graphic>
        <a:graphicData uri="http://schemas.openxmlformats.org/drawingml/2006/chart">
          <c:chart xmlns:c="http://schemas.openxmlformats.org/drawingml/2006/chart" r:id="rId8"/>
        </a:graphicData>
      </a:graphic>
    </xdr:graphicFrame>
    <xdr:clientData/>
  </xdr:twoCellAnchor>
  <xdr:twoCellAnchor>
    <xdr:from>
      <xdr:col>39</xdr:col>
      <xdr:colOff>152400</xdr:colOff>
      <xdr:row>46</xdr:row>
      <xdr:rowOff>209550</xdr:rowOff>
    </xdr:from>
    <xdr:to>
      <xdr:col>49</xdr:col>
      <xdr:colOff>438150</xdr:colOff>
      <xdr:row>59</xdr:row>
      <xdr:rowOff>123825</xdr:rowOff>
    </xdr:to>
    <xdr:graphicFrame macro="">
      <xdr:nvGraphicFramePr>
        <xdr:cNvPr id="22" name="Gráfico 21"/>
        <xdr:cNvGraphicFramePr/>
      </xdr:nvGraphicFramePr>
      <xdr:xfrm>
        <a:off x="33728025" y="9696450"/>
        <a:ext cx="6381750" cy="2400300"/>
      </xdr:xfrm>
      <a:graphic>
        <a:graphicData uri="http://schemas.openxmlformats.org/drawingml/2006/chart">
          <c:chart xmlns:c="http://schemas.openxmlformats.org/drawingml/2006/chart" r:id="rId9"/>
        </a:graphicData>
      </a:graphic>
    </xdr:graphicFrame>
    <xdr:clientData/>
  </xdr:twoCellAnchor>
  <xdr:twoCellAnchor>
    <xdr:from>
      <xdr:col>49</xdr:col>
      <xdr:colOff>552450</xdr:colOff>
      <xdr:row>46</xdr:row>
      <xdr:rowOff>161925</xdr:rowOff>
    </xdr:from>
    <xdr:to>
      <xdr:col>60</xdr:col>
      <xdr:colOff>238125</xdr:colOff>
      <xdr:row>59</xdr:row>
      <xdr:rowOff>114300</xdr:rowOff>
    </xdr:to>
    <xdr:graphicFrame macro="">
      <xdr:nvGraphicFramePr>
        <xdr:cNvPr id="23" name="Gráfico 22"/>
        <xdr:cNvGraphicFramePr/>
      </xdr:nvGraphicFramePr>
      <xdr:xfrm>
        <a:off x="40224075" y="9648825"/>
        <a:ext cx="6391275" cy="2438400"/>
      </xdr:xfrm>
      <a:graphic>
        <a:graphicData uri="http://schemas.openxmlformats.org/drawingml/2006/chart">
          <c:chart xmlns:c="http://schemas.openxmlformats.org/drawingml/2006/chart" r:id="rId10"/>
        </a:graphicData>
      </a:graphic>
    </xdr:graphicFrame>
    <xdr:clientData/>
  </xdr:twoCellAnchor>
  <xdr:twoCellAnchor>
    <xdr:from>
      <xdr:col>60</xdr:col>
      <xdr:colOff>400050</xdr:colOff>
      <xdr:row>46</xdr:row>
      <xdr:rowOff>142875</xdr:rowOff>
    </xdr:from>
    <xdr:to>
      <xdr:col>71</xdr:col>
      <xdr:colOff>76200</xdr:colOff>
      <xdr:row>59</xdr:row>
      <xdr:rowOff>85725</xdr:rowOff>
    </xdr:to>
    <xdr:graphicFrame macro="">
      <xdr:nvGraphicFramePr>
        <xdr:cNvPr id="24" name="Gráfico 23"/>
        <xdr:cNvGraphicFramePr/>
      </xdr:nvGraphicFramePr>
      <xdr:xfrm>
        <a:off x="46777275" y="9629775"/>
        <a:ext cx="6381750" cy="2428875"/>
      </xdr:xfrm>
      <a:graphic>
        <a:graphicData uri="http://schemas.openxmlformats.org/drawingml/2006/chart">
          <c:chart xmlns:c="http://schemas.openxmlformats.org/drawingml/2006/chart" r:id="rId11"/>
        </a:graphicData>
      </a:graphic>
    </xdr:graphicFrame>
    <xdr:clientData/>
  </xdr:twoCellAnchor>
  <xdr:twoCellAnchor>
    <xdr:from>
      <xdr:col>39</xdr:col>
      <xdr:colOff>190500</xdr:colOff>
      <xdr:row>60</xdr:row>
      <xdr:rowOff>123825</xdr:rowOff>
    </xdr:from>
    <xdr:to>
      <xdr:col>49</xdr:col>
      <xdr:colOff>476250</xdr:colOff>
      <xdr:row>75</xdr:row>
      <xdr:rowOff>28575</xdr:rowOff>
    </xdr:to>
    <xdr:graphicFrame macro="">
      <xdr:nvGraphicFramePr>
        <xdr:cNvPr id="25" name="Gráfico 24"/>
        <xdr:cNvGraphicFramePr/>
      </xdr:nvGraphicFramePr>
      <xdr:xfrm>
        <a:off x="33766125" y="12258675"/>
        <a:ext cx="6381750" cy="2333625"/>
      </xdr:xfrm>
      <a:graphic>
        <a:graphicData uri="http://schemas.openxmlformats.org/drawingml/2006/chart">
          <c:chart xmlns:c="http://schemas.openxmlformats.org/drawingml/2006/chart" r:id="rId12"/>
        </a:graphicData>
      </a:graphic>
    </xdr:graphicFrame>
    <xdr:clientData/>
  </xdr:twoCellAnchor>
  <xdr:twoCellAnchor>
    <xdr:from>
      <xdr:col>60</xdr:col>
      <xdr:colOff>390525</xdr:colOff>
      <xdr:row>60</xdr:row>
      <xdr:rowOff>95250</xdr:rowOff>
    </xdr:from>
    <xdr:to>
      <xdr:col>71</xdr:col>
      <xdr:colOff>57150</xdr:colOff>
      <xdr:row>74</xdr:row>
      <xdr:rowOff>161925</xdr:rowOff>
    </xdr:to>
    <xdr:graphicFrame macro="">
      <xdr:nvGraphicFramePr>
        <xdr:cNvPr id="26" name="Gráfico 25"/>
        <xdr:cNvGraphicFramePr/>
      </xdr:nvGraphicFramePr>
      <xdr:xfrm>
        <a:off x="46767750" y="12230100"/>
        <a:ext cx="6372225" cy="2333625"/>
      </xdr:xfrm>
      <a:graphic>
        <a:graphicData uri="http://schemas.openxmlformats.org/drawingml/2006/chart">
          <c:chart xmlns:c="http://schemas.openxmlformats.org/drawingml/2006/chart" r:id="rId13"/>
        </a:graphicData>
      </a:graphic>
    </xdr:graphicFrame>
    <xdr:clientData/>
  </xdr:twoCellAnchor>
  <xdr:twoCellAnchor>
    <xdr:from>
      <xdr:col>71</xdr:col>
      <xdr:colOff>152400</xdr:colOff>
      <xdr:row>59</xdr:row>
      <xdr:rowOff>161925</xdr:rowOff>
    </xdr:from>
    <xdr:to>
      <xdr:col>81</xdr:col>
      <xdr:colOff>457200</xdr:colOff>
      <xdr:row>74</xdr:row>
      <xdr:rowOff>66675</xdr:rowOff>
    </xdr:to>
    <xdr:graphicFrame macro="">
      <xdr:nvGraphicFramePr>
        <xdr:cNvPr id="27" name="Gráfico 26"/>
        <xdr:cNvGraphicFramePr/>
      </xdr:nvGraphicFramePr>
      <xdr:xfrm>
        <a:off x="53235225" y="12134850"/>
        <a:ext cx="6400800" cy="2333625"/>
      </xdr:xfrm>
      <a:graphic>
        <a:graphicData uri="http://schemas.openxmlformats.org/drawingml/2006/chart">
          <c:chart xmlns:c="http://schemas.openxmlformats.org/drawingml/2006/chart" r:id="rId14"/>
        </a:graphicData>
      </a:graphic>
    </xdr:graphicFrame>
    <xdr:clientData/>
  </xdr:twoCellAnchor>
  <xdr:twoCellAnchor>
    <xdr:from>
      <xdr:col>28</xdr:col>
      <xdr:colOff>504825</xdr:colOff>
      <xdr:row>46</xdr:row>
      <xdr:rowOff>219075</xdr:rowOff>
    </xdr:from>
    <xdr:to>
      <xdr:col>39</xdr:col>
      <xdr:colOff>9525</xdr:colOff>
      <xdr:row>59</xdr:row>
      <xdr:rowOff>161925</xdr:rowOff>
    </xdr:to>
    <xdr:graphicFrame macro="">
      <xdr:nvGraphicFramePr>
        <xdr:cNvPr id="28" name="Gráfico 27"/>
        <xdr:cNvGraphicFramePr/>
      </xdr:nvGraphicFramePr>
      <xdr:xfrm>
        <a:off x="27222450" y="9705975"/>
        <a:ext cx="6362700" cy="2428875"/>
      </xdr:xfrm>
      <a:graphic>
        <a:graphicData uri="http://schemas.openxmlformats.org/drawingml/2006/chart">
          <c:chart xmlns:c="http://schemas.openxmlformats.org/drawingml/2006/chart" r:id="rId15"/>
        </a:graphicData>
      </a:graphic>
    </xdr:graphicFrame>
    <xdr:clientData/>
  </xdr:twoCellAnchor>
  <xdr:twoCellAnchor>
    <xdr:from>
      <xdr:col>71</xdr:col>
      <xdr:colOff>171450</xdr:colOff>
      <xdr:row>46</xdr:row>
      <xdr:rowOff>161925</xdr:rowOff>
    </xdr:from>
    <xdr:to>
      <xdr:col>81</xdr:col>
      <xdr:colOff>428625</xdr:colOff>
      <xdr:row>59</xdr:row>
      <xdr:rowOff>123825</xdr:rowOff>
    </xdr:to>
    <xdr:graphicFrame macro="">
      <xdr:nvGraphicFramePr>
        <xdr:cNvPr id="29" name="Gráfico 28"/>
        <xdr:cNvGraphicFramePr/>
      </xdr:nvGraphicFramePr>
      <xdr:xfrm>
        <a:off x="53254275" y="9648825"/>
        <a:ext cx="6353175" cy="2447925"/>
      </xdr:xfrm>
      <a:graphic>
        <a:graphicData uri="http://schemas.openxmlformats.org/drawingml/2006/chart">
          <c:chart xmlns:c="http://schemas.openxmlformats.org/drawingml/2006/chart" r:id="rId16"/>
        </a:graphicData>
      </a:graphic>
    </xdr:graphicFrame>
    <xdr:clientData/>
  </xdr:twoCellAnchor>
  <xdr:twoCellAnchor>
    <xdr:from>
      <xdr:col>26</xdr:col>
      <xdr:colOff>971550</xdr:colOff>
      <xdr:row>3</xdr:row>
      <xdr:rowOff>190500</xdr:rowOff>
    </xdr:from>
    <xdr:to>
      <xdr:col>36</xdr:col>
      <xdr:colOff>9525</xdr:colOff>
      <xdr:row>15</xdr:row>
      <xdr:rowOff>66675</xdr:rowOff>
    </xdr:to>
    <xdr:graphicFrame macro="">
      <xdr:nvGraphicFramePr>
        <xdr:cNvPr id="30" name="Gráfico 29"/>
        <xdr:cNvGraphicFramePr/>
      </xdr:nvGraphicFramePr>
      <xdr:xfrm>
        <a:off x="25593675" y="742950"/>
        <a:ext cx="6162675" cy="2743200"/>
      </xdr:xfrm>
      <a:graphic>
        <a:graphicData uri="http://schemas.openxmlformats.org/drawingml/2006/chart">
          <c:chart xmlns:c="http://schemas.openxmlformats.org/drawingml/2006/chart" r:id="rId17"/>
        </a:graphicData>
      </a:graphic>
    </xdr:graphicFrame>
    <xdr:clientData/>
  </xdr:twoCellAnchor>
  <xdr:twoCellAnchor>
    <xdr:from>
      <xdr:col>50</xdr:col>
      <xdr:colOff>0</xdr:colOff>
      <xdr:row>60</xdr:row>
      <xdr:rowOff>161925</xdr:rowOff>
    </xdr:from>
    <xdr:to>
      <xdr:col>60</xdr:col>
      <xdr:colOff>285750</xdr:colOff>
      <xdr:row>75</xdr:row>
      <xdr:rowOff>57150</xdr:rowOff>
    </xdr:to>
    <xdr:graphicFrame macro="">
      <xdr:nvGraphicFramePr>
        <xdr:cNvPr id="31" name="Gráfico 30"/>
        <xdr:cNvGraphicFramePr/>
      </xdr:nvGraphicFramePr>
      <xdr:xfrm>
        <a:off x="40281225" y="12296775"/>
        <a:ext cx="6381750" cy="2324100"/>
      </xdr:xfrm>
      <a:graphic>
        <a:graphicData uri="http://schemas.openxmlformats.org/drawingml/2006/chart">
          <c:chart xmlns:c="http://schemas.openxmlformats.org/drawingml/2006/chart" r:id="rId18"/>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314325</xdr:colOff>
      <xdr:row>0</xdr:row>
      <xdr:rowOff>0</xdr:rowOff>
    </xdr:from>
    <xdr:to>
      <xdr:col>60</xdr:col>
      <xdr:colOff>504825</xdr:colOff>
      <xdr:row>38</xdr:row>
      <xdr:rowOff>19050</xdr:rowOff>
    </xdr:to>
    <xdr:graphicFrame macro="">
      <xdr:nvGraphicFramePr>
        <xdr:cNvPr id="2" name="Gráfico 1"/>
        <xdr:cNvGraphicFramePr/>
      </xdr:nvGraphicFramePr>
      <xdr:xfrm>
        <a:off x="34080450" y="0"/>
        <a:ext cx="15430500" cy="9344025"/>
      </xdr:xfrm>
      <a:graphic>
        <a:graphicData uri="http://schemas.openxmlformats.org/drawingml/2006/chart">
          <c:chart xmlns:c="http://schemas.openxmlformats.org/drawingml/2006/chart" r:id="rId1"/>
        </a:graphicData>
      </a:graphic>
    </xdr:graphicFrame>
    <xdr:clientData/>
  </xdr:twoCellAnchor>
  <xdr:twoCellAnchor>
    <xdr:from>
      <xdr:col>40</xdr:col>
      <xdr:colOff>571500</xdr:colOff>
      <xdr:row>19</xdr:row>
      <xdr:rowOff>19050</xdr:rowOff>
    </xdr:from>
    <xdr:to>
      <xdr:col>60</xdr:col>
      <xdr:colOff>762000</xdr:colOff>
      <xdr:row>63</xdr:row>
      <xdr:rowOff>19050</xdr:rowOff>
    </xdr:to>
    <xdr:graphicFrame macro="">
      <xdr:nvGraphicFramePr>
        <xdr:cNvPr id="4" name="Gráfico 3"/>
        <xdr:cNvGraphicFramePr/>
      </xdr:nvGraphicFramePr>
      <xdr:xfrm>
        <a:off x="34337625" y="5276850"/>
        <a:ext cx="15430500" cy="9001125"/>
      </xdr:xfrm>
      <a:graphic>
        <a:graphicData uri="http://schemas.openxmlformats.org/drawingml/2006/chart">
          <c:chart xmlns:c="http://schemas.openxmlformats.org/drawingml/2006/chart" r:id="rId2"/>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409575</xdr:colOff>
      <xdr:row>2</xdr:row>
      <xdr:rowOff>114300</xdr:rowOff>
    </xdr:from>
    <xdr:to>
      <xdr:col>20</xdr:col>
      <xdr:colOff>552450</xdr:colOff>
      <xdr:row>15</xdr:row>
      <xdr:rowOff>0</xdr:rowOff>
    </xdr:to>
    <xdr:graphicFrame macro="">
      <xdr:nvGraphicFramePr>
        <xdr:cNvPr id="2" name="Gráfico 1"/>
        <xdr:cNvGraphicFramePr/>
      </xdr:nvGraphicFramePr>
      <xdr:xfrm>
        <a:off x="8791575" y="495300"/>
        <a:ext cx="7000875" cy="3200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647700</xdr:colOff>
      <xdr:row>1</xdr:row>
      <xdr:rowOff>247650</xdr:rowOff>
    </xdr:from>
    <xdr:ext cx="1638300" cy="314325"/>
    <xdr:sp macro="" textlink="">
      <xdr:nvSpPr>
        <xdr:cNvPr id="2" name="CustomShape 1"/>
        <xdr:cNvSpPr/>
      </xdr:nvSpPr>
      <xdr:spPr>
        <a:xfrm>
          <a:off x="8496300" y="438150"/>
          <a:ext cx="1638300" cy="314325"/>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3C2</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6</xdr:col>
      <xdr:colOff>9525</xdr:colOff>
      <xdr:row>1</xdr:row>
      <xdr:rowOff>238125</xdr:rowOff>
    </xdr:from>
    <xdr:ext cx="1828800" cy="295275"/>
    <xdr:sp macro="" textlink="">
      <xdr:nvSpPr>
        <xdr:cNvPr id="3" name="CustomShape 1">
          <a:hlinkClick r:id="rId1"/>
        </xdr:cNvPr>
        <xdr:cNvSpPr/>
      </xdr:nvSpPr>
      <xdr:spPr>
        <a:xfrm>
          <a:off x="10029825" y="428625"/>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3C2</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3</xdr:col>
      <xdr:colOff>647700</xdr:colOff>
      <xdr:row>11</xdr:row>
      <xdr:rowOff>247650</xdr:rowOff>
    </xdr:from>
    <xdr:ext cx="1638300" cy="285750"/>
    <xdr:sp macro="" textlink="">
      <xdr:nvSpPr>
        <xdr:cNvPr id="6" name="CustomShape 1"/>
        <xdr:cNvSpPr/>
      </xdr:nvSpPr>
      <xdr:spPr>
        <a:xfrm>
          <a:off x="8496300" y="3038475"/>
          <a:ext cx="1638300" cy="28575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3C2</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6</xdr:col>
      <xdr:colOff>9525</xdr:colOff>
      <xdr:row>11</xdr:row>
      <xdr:rowOff>247650</xdr:rowOff>
    </xdr:from>
    <xdr:ext cx="1828800" cy="295275"/>
    <xdr:sp macro="" textlink="">
      <xdr:nvSpPr>
        <xdr:cNvPr id="7" name="CustomShape 1">
          <a:hlinkClick r:id="rId2"/>
        </xdr:cNvPr>
        <xdr:cNvSpPr/>
      </xdr:nvSpPr>
      <xdr:spPr>
        <a:xfrm>
          <a:off x="10029825" y="3038475"/>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3C2</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647700</xdr:colOff>
      <xdr:row>1</xdr:row>
      <xdr:rowOff>190500</xdr:rowOff>
    </xdr:from>
    <xdr:ext cx="1638300" cy="295275"/>
    <xdr:sp macro="" textlink="">
      <xdr:nvSpPr>
        <xdr:cNvPr id="2" name="CustomShape 1"/>
        <xdr:cNvSpPr/>
      </xdr:nvSpPr>
      <xdr:spPr>
        <a:xfrm>
          <a:off x="6934200" y="381000"/>
          <a:ext cx="1638300" cy="295275"/>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3C3</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6</xdr:col>
      <xdr:colOff>9525</xdr:colOff>
      <xdr:row>1</xdr:row>
      <xdr:rowOff>190500</xdr:rowOff>
    </xdr:from>
    <xdr:ext cx="1828800" cy="295275"/>
    <xdr:sp macro="" textlink="">
      <xdr:nvSpPr>
        <xdr:cNvPr id="3" name="CustomShape 1">
          <a:hlinkClick r:id="rId1"/>
        </xdr:cNvPr>
        <xdr:cNvSpPr/>
      </xdr:nvSpPr>
      <xdr:spPr>
        <a:xfrm>
          <a:off x="8467725" y="381000"/>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3C3</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647700</xdr:colOff>
      <xdr:row>2</xdr:row>
      <xdr:rowOff>57150</xdr:rowOff>
    </xdr:from>
    <xdr:ext cx="1638300" cy="295275"/>
    <xdr:sp macro="" textlink="">
      <xdr:nvSpPr>
        <xdr:cNvPr id="2" name="CustomShape 1"/>
        <xdr:cNvSpPr/>
      </xdr:nvSpPr>
      <xdr:spPr>
        <a:xfrm>
          <a:off x="6515100" y="571500"/>
          <a:ext cx="1638300" cy="295275"/>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3C4_3C5</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5</xdr:col>
      <xdr:colOff>581025</xdr:colOff>
      <xdr:row>2</xdr:row>
      <xdr:rowOff>57150</xdr:rowOff>
    </xdr:from>
    <xdr:ext cx="1828800" cy="295275"/>
    <xdr:sp macro="" textlink="">
      <xdr:nvSpPr>
        <xdr:cNvPr id="3" name="CustomShape 1">
          <a:hlinkClick r:id="rId1"/>
        </xdr:cNvPr>
        <xdr:cNvSpPr/>
      </xdr:nvSpPr>
      <xdr:spPr>
        <a:xfrm>
          <a:off x="8077200" y="571500"/>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4</xdr:col>
      <xdr:colOff>28575</xdr:colOff>
      <xdr:row>14</xdr:row>
      <xdr:rowOff>66675</xdr:rowOff>
    </xdr:from>
    <xdr:ext cx="1638300" cy="295275"/>
    <xdr:sp macro="" textlink="">
      <xdr:nvSpPr>
        <xdr:cNvPr id="14" name="CustomShape 1"/>
        <xdr:cNvSpPr/>
      </xdr:nvSpPr>
      <xdr:spPr>
        <a:xfrm>
          <a:off x="6743700" y="3467100"/>
          <a:ext cx="1638300" cy="295275"/>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3C4_3C5</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5</xdr:col>
      <xdr:colOff>790575</xdr:colOff>
      <xdr:row>14</xdr:row>
      <xdr:rowOff>66675</xdr:rowOff>
    </xdr:from>
    <xdr:ext cx="1828800" cy="295275"/>
    <xdr:sp macro="" textlink="">
      <xdr:nvSpPr>
        <xdr:cNvPr id="15" name="CustomShape 1">
          <a:hlinkClick r:id="rId2"/>
        </xdr:cNvPr>
        <xdr:cNvSpPr/>
      </xdr:nvSpPr>
      <xdr:spPr>
        <a:xfrm>
          <a:off x="8286750" y="3467100"/>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3</xdr:col>
      <xdr:colOff>647700</xdr:colOff>
      <xdr:row>47</xdr:row>
      <xdr:rowOff>190500</xdr:rowOff>
    </xdr:from>
    <xdr:ext cx="1638300" cy="342900"/>
    <xdr:sp macro="" textlink="">
      <xdr:nvSpPr>
        <xdr:cNvPr id="16" name="CustomShape 1"/>
        <xdr:cNvSpPr/>
      </xdr:nvSpPr>
      <xdr:spPr>
        <a:xfrm>
          <a:off x="6515100" y="10153650"/>
          <a:ext cx="1638300" cy="34290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3C4_3C5</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5</xdr:col>
      <xdr:colOff>581025</xdr:colOff>
      <xdr:row>47</xdr:row>
      <xdr:rowOff>190500</xdr:rowOff>
    </xdr:from>
    <xdr:ext cx="1828800" cy="295275"/>
    <xdr:sp macro="" textlink="">
      <xdr:nvSpPr>
        <xdr:cNvPr id="17" name="CustomShape 1">
          <a:hlinkClick r:id="rId3"/>
        </xdr:cNvPr>
        <xdr:cNvSpPr/>
      </xdr:nvSpPr>
      <xdr:spPr>
        <a:xfrm>
          <a:off x="8077200" y="10153650"/>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9</xdr:col>
      <xdr:colOff>647700</xdr:colOff>
      <xdr:row>80</xdr:row>
      <xdr:rowOff>190500</xdr:rowOff>
    </xdr:from>
    <xdr:ext cx="1638300" cy="342900"/>
    <xdr:sp macro="" textlink="">
      <xdr:nvSpPr>
        <xdr:cNvPr id="18" name="CustomShape 1"/>
        <xdr:cNvSpPr/>
      </xdr:nvSpPr>
      <xdr:spPr>
        <a:xfrm>
          <a:off x="11306175" y="16716375"/>
          <a:ext cx="1638300" cy="34290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3C4_3C5</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11</xdr:col>
      <xdr:colOff>666750</xdr:colOff>
      <xdr:row>80</xdr:row>
      <xdr:rowOff>190500</xdr:rowOff>
    </xdr:from>
    <xdr:ext cx="1828800" cy="342900"/>
    <xdr:sp macro="" textlink="">
      <xdr:nvSpPr>
        <xdr:cNvPr id="19" name="CustomShape 1">
          <a:hlinkClick r:id="rId4"/>
        </xdr:cNvPr>
        <xdr:cNvSpPr/>
      </xdr:nvSpPr>
      <xdr:spPr>
        <a:xfrm>
          <a:off x="12868275" y="16716375"/>
          <a:ext cx="1828800" cy="342900"/>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9</xdr:col>
      <xdr:colOff>647700</xdr:colOff>
      <xdr:row>113</xdr:row>
      <xdr:rowOff>190500</xdr:rowOff>
    </xdr:from>
    <xdr:ext cx="1638300" cy="342900"/>
    <xdr:sp macro="" textlink="">
      <xdr:nvSpPr>
        <xdr:cNvPr id="20" name="CustomShape 1"/>
        <xdr:cNvSpPr/>
      </xdr:nvSpPr>
      <xdr:spPr>
        <a:xfrm>
          <a:off x="11306175" y="23202900"/>
          <a:ext cx="1638300" cy="34290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3C4_3C5</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11</xdr:col>
      <xdr:colOff>666750</xdr:colOff>
      <xdr:row>113</xdr:row>
      <xdr:rowOff>190500</xdr:rowOff>
    </xdr:from>
    <xdr:ext cx="1828800" cy="342900"/>
    <xdr:sp macro="" textlink="">
      <xdr:nvSpPr>
        <xdr:cNvPr id="21" name="CustomShape 1">
          <a:hlinkClick r:id="rId5"/>
        </xdr:cNvPr>
        <xdr:cNvSpPr/>
      </xdr:nvSpPr>
      <xdr:spPr>
        <a:xfrm>
          <a:off x="12868275" y="23202900"/>
          <a:ext cx="1828800" cy="342900"/>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9</xdr:col>
      <xdr:colOff>647700</xdr:colOff>
      <xdr:row>146</xdr:row>
      <xdr:rowOff>190500</xdr:rowOff>
    </xdr:from>
    <xdr:ext cx="1638300" cy="342900"/>
    <xdr:sp macro="" textlink="">
      <xdr:nvSpPr>
        <xdr:cNvPr id="22" name="CustomShape 1"/>
        <xdr:cNvSpPr/>
      </xdr:nvSpPr>
      <xdr:spPr>
        <a:xfrm>
          <a:off x="11306175" y="29679900"/>
          <a:ext cx="1638300" cy="34290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3C4_3C5</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11</xdr:col>
      <xdr:colOff>666750</xdr:colOff>
      <xdr:row>146</xdr:row>
      <xdr:rowOff>190500</xdr:rowOff>
    </xdr:from>
    <xdr:ext cx="1828800" cy="342900"/>
    <xdr:sp macro="" textlink="">
      <xdr:nvSpPr>
        <xdr:cNvPr id="23" name="CustomShape 1">
          <a:hlinkClick r:id="rId6"/>
        </xdr:cNvPr>
        <xdr:cNvSpPr/>
      </xdr:nvSpPr>
      <xdr:spPr>
        <a:xfrm>
          <a:off x="12868275" y="29679900"/>
          <a:ext cx="1828800" cy="342900"/>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oneCellAnchor>
    <xdr:from>
      <xdr:col>9</xdr:col>
      <xdr:colOff>647700</xdr:colOff>
      <xdr:row>179</xdr:row>
      <xdr:rowOff>161925</xdr:rowOff>
    </xdr:from>
    <xdr:ext cx="1638300" cy="342900"/>
    <xdr:sp macro="" textlink="">
      <xdr:nvSpPr>
        <xdr:cNvPr id="24" name="CustomShape 1"/>
        <xdr:cNvSpPr/>
      </xdr:nvSpPr>
      <xdr:spPr>
        <a:xfrm>
          <a:off x="11306175" y="36109275"/>
          <a:ext cx="1638300" cy="34290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3C4_3C5</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11</xdr:col>
      <xdr:colOff>666750</xdr:colOff>
      <xdr:row>179</xdr:row>
      <xdr:rowOff>161925</xdr:rowOff>
    </xdr:from>
    <xdr:ext cx="1828800" cy="371475"/>
    <xdr:sp macro="" textlink="">
      <xdr:nvSpPr>
        <xdr:cNvPr id="25" name="CustomShape 1">
          <a:hlinkClick r:id="rId7"/>
        </xdr:cNvPr>
        <xdr:cNvSpPr/>
      </xdr:nvSpPr>
      <xdr:spPr>
        <a:xfrm>
          <a:off x="12868275" y="36109275"/>
          <a:ext cx="1828800" cy="3714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3C4_3C5</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PROC</a:t>
          </a:r>
          <a:endParaRPr lang="en-US" sz="1000">
            <a:solidFill>
              <a:schemeClr val="bg1"/>
            </a:solidFill>
            <a:effectLst/>
          </a:endParaRP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647700</xdr:colOff>
      <xdr:row>1</xdr:row>
      <xdr:rowOff>247650</xdr:rowOff>
    </xdr:from>
    <xdr:ext cx="1638300" cy="285750"/>
    <xdr:sp macro="" textlink="">
      <xdr:nvSpPr>
        <xdr:cNvPr id="2" name="CustomShape 1"/>
        <xdr:cNvSpPr/>
      </xdr:nvSpPr>
      <xdr:spPr>
        <a:xfrm>
          <a:off x="5829300" y="438150"/>
          <a:ext cx="1638300" cy="285750"/>
        </a:xfrm>
        <a:prstGeom prst="homePlate">
          <a:avLst>
            <a:gd name="adj" fmla="val 50000"/>
          </a:avLst>
        </a:prstGeom>
        <a:solidFill>
          <a:srgbClr val="BDD7EE"/>
        </a:solidFill>
        <a:ln>
          <a:noFill/>
        </a:ln>
        <a:effectLst>
          <a:glow rad="139700">
            <a:srgbClr val="00B0F0">
              <a:alpha val="50000"/>
            </a:srgbClr>
          </a:glo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Calibri"/>
              <a:ea typeface="Calibri"/>
            </a:rPr>
            <a:t>3C7</a:t>
          </a:r>
          <a:r>
            <a:rPr lang="es-PE" sz="1000" b="0" strike="noStrike" spc="-1" baseline="0">
              <a:solidFill>
                <a:srgbClr val="000000"/>
              </a:solidFill>
              <a:uFill>
                <a:solidFill>
                  <a:srgbClr val="FFFFFF"/>
                </a:solidFill>
              </a:uFill>
              <a:latin typeface="Calibri"/>
              <a:ea typeface="Calibri"/>
            </a:rPr>
            <a:t> </a:t>
          </a:r>
          <a:r>
            <a:rPr lang="es-PE" sz="1000" b="0" strike="noStrike" spc="-1">
              <a:solidFill>
                <a:srgbClr val="000000"/>
              </a:solidFill>
              <a:uFill>
                <a:solidFill>
                  <a:srgbClr val="FFFFFF"/>
                </a:solidFill>
              </a:uFill>
              <a:latin typeface="Calibri"/>
              <a:ea typeface="Calibri"/>
            </a:rPr>
            <a:t>INFO BASE</a:t>
          </a:r>
          <a:endParaRPr lang="es-PE" sz="1050" b="0" strike="noStrike" spc="-1">
            <a:solidFill>
              <a:srgbClr val="000000"/>
            </a:solidFill>
            <a:uFill>
              <a:solidFill>
                <a:srgbClr val="FFFFFF"/>
              </a:solidFill>
            </a:uFill>
            <a:latin typeface="Times New Roman"/>
          </a:endParaRPr>
        </a:p>
      </xdr:txBody>
    </xdr:sp>
    <xdr:clientData/>
  </xdr:oneCellAnchor>
  <xdr:oneCellAnchor>
    <xdr:from>
      <xdr:col>5</xdr:col>
      <xdr:colOff>666750</xdr:colOff>
      <xdr:row>1</xdr:row>
      <xdr:rowOff>247650</xdr:rowOff>
    </xdr:from>
    <xdr:ext cx="1828800" cy="295275"/>
    <xdr:sp macro="" textlink="">
      <xdr:nvSpPr>
        <xdr:cNvPr id="3" name="CustomShape 1">
          <a:hlinkClick r:id="rId1"/>
        </xdr:cNvPr>
        <xdr:cNvSpPr/>
      </xdr:nvSpPr>
      <xdr:spPr>
        <a:xfrm>
          <a:off x="7372350" y="438150"/>
          <a:ext cx="1828800" cy="295275"/>
        </a:xfrm>
        <a:prstGeom prst="chevron">
          <a:avLst>
            <a:gd name="adj" fmla="val 50000"/>
          </a:avLst>
        </a:prstGeom>
        <a:solidFill>
          <a:srgbClr val="2E75B6"/>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3C7</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28575</xdr:colOff>
      <xdr:row>2</xdr:row>
      <xdr:rowOff>228600</xdr:rowOff>
    </xdr:from>
    <xdr:ext cx="1800225" cy="323850"/>
    <xdr:sp macro="" textlink="">
      <xdr:nvSpPr>
        <xdr:cNvPr id="8" name="CustomShape 1">
          <a:hlinkClick r:id="rId1"/>
        </xdr:cNvPr>
        <xdr:cNvSpPr/>
      </xdr:nvSpPr>
      <xdr:spPr>
        <a:xfrm>
          <a:off x="11249025" y="714375"/>
          <a:ext cx="1800225" cy="32385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3A1_3A2_3C6</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14</xdr:col>
      <xdr:colOff>361950</xdr:colOff>
      <xdr:row>3</xdr:row>
      <xdr:rowOff>161925</xdr:rowOff>
    </xdr:from>
    <xdr:ext cx="1990725" cy="247650"/>
    <xdr:sp macro="" textlink="">
      <xdr:nvSpPr>
        <xdr:cNvPr id="9" name="CustomShape 1"/>
        <xdr:cNvSpPr/>
      </xdr:nvSpPr>
      <xdr:spPr>
        <a:xfrm>
          <a:off x="13125450" y="971550"/>
          <a:ext cx="1990725" cy="2476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4</xdr:col>
      <xdr:colOff>114300</xdr:colOff>
      <xdr:row>30</xdr:row>
      <xdr:rowOff>95250</xdr:rowOff>
    </xdr:from>
    <xdr:ext cx="1800225" cy="390525"/>
    <xdr:sp macro="" textlink="">
      <xdr:nvSpPr>
        <xdr:cNvPr id="17" name="CustomShape 1">
          <a:hlinkClick r:id="rId2"/>
        </xdr:cNvPr>
        <xdr:cNvSpPr/>
      </xdr:nvSpPr>
      <xdr:spPr>
        <a:xfrm>
          <a:off x="4762500" y="5438775"/>
          <a:ext cx="1800225" cy="390525"/>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3A1_3A2_3C6</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6</xdr:col>
      <xdr:colOff>190500</xdr:colOff>
      <xdr:row>30</xdr:row>
      <xdr:rowOff>57150</xdr:rowOff>
    </xdr:from>
    <xdr:ext cx="1990725" cy="323850"/>
    <xdr:sp macro="" textlink="">
      <xdr:nvSpPr>
        <xdr:cNvPr id="18" name="CustomShape 1"/>
        <xdr:cNvSpPr/>
      </xdr:nvSpPr>
      <xdr:spPr>
        <a:xfrm>
          <a:off x="6419850" y="5400675"/>
          <a:ext cx="1990725" cy="3238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7</xdr:col>
      <xdr:colOff>114300</xdr:colOff>
      <xdr:row>58</xdr:row>
      <xdr:rowOff>95250</xdr:rowOff>
    </xdr:from>
    <xdr:ext cx="1800225" cy="390525"/>
    <xdr:sp macro="" textlink="">
      <xdr:nvSpPr>
        <xdr:cNvPr id="19" name="CustomShape 1">
          <a:hlinkClick r:id="rId3"/>
        </xdr:cNvPr>
        <xdr:cNvSpPr/>
      </xdr:nvSpPr>
      <xdr:spPr>
        <a:xfrm>
          <a:off x="7124700" y="10163175"/>
          <a:ext cx="1800225" cy="390525"/>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3A1_3A2_3C6</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9</xdr:col>
      <xdr:colOff>438150</xdr:colOff>
      <xdr:row>59</xdr:row>
      <xdr:rowOff>47625</xdr:rowOff>
    </xdr:from>
    <xdr:ext cx="1990725" cy="314325"/>
    <xdr:sp macro="" textlink="">
      <xdr:nvSpPr>
        <xdr:cNvPr id="20" name="CustomShape 1"/>
        <xdr:cNvSpPr/>
      </xdr:nvSpPr>
      <xdr:spPr>
        <a:xfrm>
          <a:off x="9010650" y="10439400"/>
          <a:ext cx="1990725" cy="314325"/>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3</xdr:col>
      <xdr:colOff>95250</xdr:colOff>
      <xdr:row>88</xdr:row>
      <xdr:rowOff>104775</xdr:rowOff>
    </xdr:from>
    <xdr:ext cx="1990725" cy="276225"/>
    <xdr:sp macro="" textlink="">
      <xdr:nvSpPr>
        <xdr:cNvPr id="22" name="CustomShape 1"/>
        <xdr:cNvSpPr/>
      </xdr:nvSpPr>
      <xdr:spPr>
        <a:xfrm>
          <a:off x="3609975" y="15220950"/>
          <a:ext cx="1990725" cy="276225"/>
        </a:xfrm>
        <a:prstGeom prst="homePlate">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4</xdr:col>
      <xdr:colOff>114300</xdr:colOff>
      <xdr:row>100</xdr:row>
      <xdr:rowOff>47625</xdr:rowOff>
    </xdr:from>
    <xdr:ext cx="1800225" cy="276225"/>
    <xdr:sp macro="" textlink="">
      <xdr:nvSpPr>
        <xdr:cNvPr id="23" name="CustomShape 1">
          <a:hlinkClick r:id="rId4"/>
        </xdr:cNvPr>
        <xdr:cNvSpPr/>
      </xdr:nvSpPr>
      <xdr:spPr>
        <a:xfrm>
          <a:off x="4762500" y="17306925"/>
          <a:ext cx="1800225" cy="276225"/>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3A1_3A2_3C6</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6</xdr:col>
      <xdr:colOff>200025</xdr:colOff>
      <xdr:row>100</xdr:row>
      <xdr:rowOff>57150</xdr:rowOff>
    </xdr:from>
    <xdr:ext cx="1990725" cy="323850"/>
    <xdr:sp macro="" textlink="">
      <xdr:nvSpPr>
        <xdr:cNvPr id="24" name="CustomShape 1"/>
        <xdr:cNvSpPr/>
      </xdr:nvSpPr>
      <xdr:spPr>
        <a:xfrm>
          <a:off x="6429375" y="17316450"/>
          <a:ext cx="1990725" cy="3238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14</xdr:col>
      <xdr:colOff>95250</xdr:colOff>
      <xdr:row>128</xdr:row>
      <xdr:rowOff>133350</xdr:rowOff>
    </xdr:from>
    <xdr:ext cx="1990725" cy="276225"/>
    <xdr:sp macro="" textlink="">
      <xdr:nvSpPr>
        <xdr:cNvPr id="26" name="CustomShape 1"/>
        <xdr:cNvSpPr/>
      </xdr:nvSpPr>
      <xdr:spPr>
        <a:xfrm>
          <a:off x="12858750" y="22640925"/>
          <a:ext cx="1990725" cy="276225"/>
        </a:xfrm>
        <a:prstGeom prst="homePlate">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oneCellAnchor>
    <xdr:from>
      <xdr:col>6</xdr:col>
      <xdr:colOff>104775</xdr:colOff>
      <xdr:row>160</xdr:row>
      <xdr:rowOff>95250</xdr:rowOff>
    </xdr:from>
    <xdr:ext cx="1990725" cy="276225"/>
    <xdr:sp macro="" textlink="">
      <xdr:nvSpPr>
        <xdr:cNvPr id="28" name="CustomShape 1"/>
        <xdr:cNvSpPr/>
      </xdr:nvSpPr>
      <xdr:spPr>
        <a:xfrm>
          <a:off x="6334125" y="28746450"/>
          <a:ext cx="1990725" cy="276225"/>
        </a:xfrm>
        <a:prstGeom prst="homePlate">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3A1_3A2_3C6</a:t>
          </a:r>
          <a:r>
            <a:rPr lang="es-PE" sz="1000" b="0" baseline="0">
              <a:solidFill>
                <a:schemeClr val="bg1"/>
              </a:solidFill>
              <a:effectLst/>
              <a:latin typeface="+mn-lt"/>
              <a:ea typeface="+mn-ea"/>
              <a:cs typeface="+mn-cs"/>
            </a:rPr>
            <a:t> </a:t>
          </a:r>
          <a:r>
            <a:rPr lang="es-PE" sz="1000" b="0">
              <a:solidFill>
                <a:schemeClr val="bg1"/>
              </a:solidFill>
              <a:effectLst/>
              <a:latin typeface="+mn-lt"/>
              <a:ea typeface="+mn-ea"/>
              <a:cs typeface="+mn-cs"/>
            </a:rPr>
            <a:t>INFO PROC</a:t>
          </a:r>
          <a:endParaRPr lang="en-US" sz="1000">
            <a:solidFill>
              <a:schemeClr val="bg1"/>
            </a:solidFill>
            <a:effectLst/>
          </a:endParaRPr>
        </a:p>
      </xdr:txBody>
    </xdr:sp>
    <xdr:clientData/>
  </xdr:oneCellAnchor>
  <xdr:twoCellAnchor editAs="absolute">
    <xdr:from>
      <xdr:col>5</xdr:col>
      <xdr:colOff>19050</xdr:colOff>
      <xdr:row>86</xdr:row>
      <xdr:rowOff>104775</xdr:rowOff>
    </xdr:from>
    <xdr:to>
      <xdr:col>7</xdr:col>
      <xdr:colOff>466725</xdr:colOff>
      <xdr:row>88</xdr:row>
      <xdr:rowOff>66675</xdr:rowOff>
    </xdr:to>
    <xdr:sp macro="" textlink="">
      <xdr:nvSpPr>
        <xdr:cNvPr id="31" name="CustomShape 1">
          <a:hlinkClick r:id="rId5"/>
        </xdr:cNvPr>
        <xdr:cNvSpPr/>
      </xdr:nvSpPr>
      <xdr:spPr>
        <a:xfrm>
          <a:off x="5486400" y="14897100"/>
          <a:ext cx="1990725" cy="28575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3A1 EMISIONES T1_3A2 </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5</xdr:col>
      <xdr:colOff>38100</xdr:colOff>
      <xdr:row>88</xdr:row>
      <xdr:rowOff>104775</xdr:rowOff>
    </xdr:from>
    <xdr:to>
      <xdr:col>7</xdr:col>
      <xdr:colOff>485775</xdr:colOff>
      <xdr:row>90</xdr:row>
      <xdr:rowOff>47625</xdr:rowOff>
    </xdr:to>
    <xdr:sp macro="" textlink="">
      <xdr:nvSpPr>
        <xdr:cNvPr id="32" name="CustomShape 1">
          <a:hlinkClick r:id="rId6"/>
        </xdr:cNvPr>
        <xdr:cNvSpPr/>
      </xdr:nvSpPr>
      <xdr:spPr>
        <a:xfrm>
          <a:off x="5505450" y="15220950"/>
          <a:ext cx="1990725" cy="26670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3A1 EMISIONES T2 </a:t>
          </a:r>
          <a:endParaRPr lang="es-PE" sz="1050" b="0" strike="noStrike" spc="-1">
            <a:solidFill>
              <a:srgbClr val="000000"/>
            </a:solidFill>
            <a:uFill>
              <a:solidFill>
                <a:srgbClr val="FFFFFF"/>
              </a:solidFill>
            </a:uFill>
            <a:latin typeface="Times New Roman"/>
          </a:endParaRPr>
        </a:p>
      </xdr:txBody>
    </xdr:sp>
    <xdr:clientData/>
  </xdr:twoCellAnchor>
  <xdr:twoCellAnchor editAs="absolute">
    <xdr:from>
      <xdr:col>5</xdr:col>
      <xdr:colOff>28575</xdr:colOff>
      <xdr:row>90</xdr:row>
      <xdr:rowOff>85725</xdr:rowOff>
    </xdr:from>
    <xdr:to>
      <xdr:col>7</xdr:col>
      <xdr:colOff>476250</xdr:colOff>
      <xdr:row>92</xdr:row>
      <xdr:rowOff>28575</xdr:rowOff>
    </xdr:to>
    <xdr:sp macro="" textlink="">
      <xdr:nvSpPr>
        <xdr:cNvPr id="33" name="CustomShape 1">
          <a:hlinkClick r:id="rId7"/>
        </xdr:cNvPr>
        <xdr:cNvSpPr/>
      </xdr:nvSpPr>
      <xdr:spPr>
        <a:xfrm>
          <a:off x="5495925" y="15525750"/>
          <a:ext cx="1990725" cy="266700"/>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3C6 EMISIONES</a:t>
          </a:r>
          <a:endParaRPr lang="es-PE" sz="1050" b="0" strike="noStrike" spc="-1">
            <a:solidFill>
              <a:srgbClr val="000000"/>
            </a:solidFill>
            <a:uFill>
              <a:solidFill>
                <a:srgbClr val="FFFFFF"/>
              </a:solidFill>
            </a:uFill>
            <a:latin typeface="Times New Roman"/>
          </a:endParaRPr>
        </a:p>
      </xdr:txBody>
    </xdr:sp>
    <xdr:clientData/>
  </xdr:twoCellAnchor>
  <xdr:oneCellAnchor>
    <xdr:from>
      <xdr:col>8</xdr:col>
      <xdr:colOff>447675</xdr:colOff>
      <xdr:row>160</xdr:row>
      <xdr:rowOff>114300</xdr:rowOff>
    </xdr:from>
    <xdr:ext cx="1685925" cy="266700"/>
    <xdr:sp macro="" textlink="">
      <xdr:nvSpPr>
        <xdr:cNvPr id="35" name="CustomShape 1">
          <a:hlinkClick r:id="rId8"/>
        </xdr:cNvPr>
        <xdr:cNvSpPr/>
      </xdr:nvSpPr>
      <xdr:spPr>
        <a:xfrm>
          <a:off x="8239125" y="28765500"/>
          <a:ext cx="1685925" cy="266700"/>
        </a:xfrm>
        <a:prstGeom prst="chevron">
          <a:avLst>
            <a:gd name="adj" fmla="val 50000"/>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3A1_3A2 FACTORES DE EMISIÓN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12</xdr:col>
      <xdr:colOff>47625</xdr:colOff>
      <xdr:row>4</xdr:row>
      <xdr:rowOff>133350</xdr:rowOff>
    </xdr:from>
    <xdr:ext cx="1800225" cy="266700"/>
    <xdr:sp macro="" textlink="">
      <xdr:nvSpPr>
        <xdr:cNvPr id="29" name="CustomShape 1">
          <a:hlinkClick r:id="rId9"/>
        </xdr:cNvPr>
        <xdr:cNvSpPr/>
      </xdr:nvSpPr>
      <xdr:spPr>
        <a:xfrm>
          <a:off x="11268075" y="1104900"/>
          <a:ext cx="1800225" cy="266700"/>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7</xdr:col>
      <xdr:colOff>104775</xdr:colOff>
      <xdr:row>60</xdr:row>
      <xdr:rowOff>38100</xdr:rowOff>
    </xdr:from>
    <xdr:ext cx="1819275" cy="285750"/>
    <xdr:sp macro="" textlink="">
      <xdr:nvSpPr>
        <xdr:cNvPr id="34" name="CustomShape 1">
          <a:hlinkClick r:id="rId10"/>
        </xdr:cNvPr>
        <xdr:cNvSpPr/>
      </xdr:nvSpPr>
      <xdr:spPr>
        <a:xfrm>
          <a:off x="7115175" y="10591800"/>
          <a:ext cx="1819275" cy="285750"/>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114300</xdr:colOff>
      <xdr:row>2</xdr:row>
      <xdr:rowOff>85725</xdr:rowOff>
    </xdr:from>
    <xdr:ext cx="1800225" cy="457200"/>
    <xdr:sp macro="" textlink="">
      <xdr:nvSpPr>
        <xdr:cNvPr id="6" name="CustomShape 1">
          <a:hlinkClick r:id="rId1"/>
        </xdr:cNvPr>
        <xdr:cNvSpPr/>
      </xdr:nvSpPr>
      <xdr:spPr>
        <a:xfrm>
          <a:off x="15754350" y="552450"/>
          <a:ext cx="1800225" cy="45720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3C1</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21</xdr:col>
      <xdr:colOff>476250</xdr:colOff>
      <xdr:row>2</xdr:row>
      <xdr:rowOff>209550</xdr:rowOff>
    </xdr:from>
    <xdr:ext cx="1990725" cy="485775"/>
    <xdr:sp macro="" textlink="">
      <xdr:nvSpPr>
        <xdr:cNvPr id="7" name="CustomShape 1"/>
        <xdr:cNvSpPr/>
      </xdr:nvSpPr>
      <xdr:spPr>
        <a:xfrm>
          <a:off x="17564100" y="676275"/>
          <a:ext cx="1990725" cy="485775"/>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3C1 INFO PROC</a:t>
          </a:r>
          <a:endParaRPr lang="en-US" sz="1000">
            <a:solidFill>
              <a:schemeClr val="bg1"/>
            </a:solidFill>
            <a:effectLst/>
          </a:endParaRPr>
        </a:p>
      </xdr:txBody>
    </xdr:sp>
    <xdr:clientData/>
  </xdr:oneCellAnchor>
  <xdr:twoCellAnchor editAs="absolute">
    <xdr:from>
      <xdr:col>24</xdr:col>
      <xdr:colOff>257175</xdr:colOff>
      <xdr:row>2</xdr:row>
      <xdr:rowOff>228600</xdr:rowOff>
    </xdr:from>
    <xdr:to>
      <xdr:col>27</xdr:col>
      <xdr:colOff>76200</xdr:colOff>
      <xdr:row>4</xdr:row>
      <xdr:rowOff>38100</xdr:rowOff>
    </xdr:to>
    <xdr:sp macro="" textlink="">
      <xdr:nvSpPr>
        <xdr:cNvPr id="11" name="CustomShape 1">
          <a:hlinkClick r:id="rId2"/>
        </xdr:cNvPr>
        <xdr:cNvSpPr/>
      </xdr:nvSpPr>
      <xdr:spPr>
        <a:xfrm>
          <a:off x="19516725" y="695325"/>
          <a:ext cx="1990725" cy="485775"/>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3C1 EMISIONES</a:t>
          </a:r>
          <a:endParaRPr lang="es-PE" sz="1050" b="0" strike="noStrike" spc="-1">
            <a:solidFill>
              <a:srgbClr val="000000"/>
            </a:solidFill>
            <a:uFill>
              <a:solidFill>
                <a:srgbClr val="FFFFFF"/>
              </a:solidFill>
            </a:uFill>
            <a:latin typeface="Times New Roman"/>
          </a:endParaRPr>
        </a:p>
      </xdr:txBody>
    </xdr:sp>
    <xdr:clientData/>
  </xdr:twoCellAnchor>
  <xdr:oneCellAnchor>
    <xdr:from>
      <xdr:col>5</xdr:col>
      <xdr:colOff>257175</xdr:colOff>
      <xdr:row>39</xdr:row>
      <xdr:rowOff>66675</xdr:rowOff>
    </xdr:from>
    <xdr:ext cx="1800225" cy="371475"/>
    <xdr:sp macro="" textlink="">
      <xdr:nvSpPr>
        <xdr:cNvPr id="12" name="CustomShape 1">
          <a:hlinkClick r:id="rId3"/>
        </xdr:cNvPr>
        <xdr:cNvSpPr/>
      </xdr:nvSpPr>
      <xdr:spPr>
        <a:xfrm>
          <a:off x="4505325" y="8867775"/>
          <a:ext cx="1800225" cy="371475"/>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3C1</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7</xdr:col>
      <xdr:colOff>485775</xdr:colOff>
      <xdr:row>40</xdr:row>
      <xdr:rowOff>47625</xdr:rowOff>
    </xdr:from>
    <xdr:ext cx="1990725" cy="323850"/>
    <xdr:sp macro="" textlink="">
      <xdr:nvSpPr>
        <xdr:cNvPr id="13" name="CustomShape 1"/>
        <xdr:cNvSpPr/>
      </xdr:nvSpPr>
      <xdr:spPr>
        <a:xfrm>
          <a:off x="6410325" y="9010650"/>
          <a:ext cx="1990725" cy="3238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3C1 INFO PROC</a:t>
          </a:r>
          <a:endParaRPr lang="en-US" sz="1000">
            <a:solidFill>
              <a:schemeClr val="bg1"/>
            </a:solidFill>
            <a:effectLst/>
          </a:endParaRPr>
        </a:p>
      </xdr:txBody>
    </xdr:sp>
    <xdr:clientData/>
  </xdr:oneCellAnchor>
  <xdr:twoCellAnchor editAs="absolute">
    <xdr:from>
      <xdr:col>15</xdr:col>
      <xdr:colOff>495300</xdr:colOff>
      <xdr:row>31</xdr:row>
      <xdr:rowOff>190500</xdr:rowOff>
    </xdr:from>
    <xdr:to>
      <xdr:col>18</xdr:col>
      <xdr:colOff>200025</xdr:colOff>
      <xdr:row>34</xdr:row>
      <xdr:rowOff>9525</xdr:rowOff>
    </xdr:to>
    <xdr:sp macro="" textlink="">
      <xdr:nvSpPr>
        <xdr:cNvPr id="14" name="CustomShape 1">
          <a:hlinkClick r:id="rId4"/>
        </xdr:cNvPr>
        <xdr:cNvSpPr/>
      </xdr:nvSpPr>
      <xdr:spPr>
        <a:xfrm>
          <a:off x="13125450" y="7067550"/>
          <a:ext cx="1990725" cy="657225"/>
        </a:xfrm>
        <a:prstGeom prst="chevron">
          <a:avLst>
            <a:gd name="adj" fmla="val 50000"/>
          </a:avLst>
        </a:prstGeom>
        <a:solidFill>
          <a:srgbClr val="D9D9D9"/>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rgbClr val="000000"/>
              </a:solidFill>
              <a:uFill>
                <a:solidFill>
                  <a:srgbClr val="FFFFFF"/>
                </a:solidFill>
              </a:uFill>
              <a:latin typeface="+mn-lt"/>
              <a:ea typeface="Calibri"/>
            </a:rPr>
            <a:t>3C1 EMISIONES</a:t>
          </a:r>
          <a:endParaRPr lang="es-PE" sz="1050" b="0" strike="noStrike" spc="-1">
            <a:solidFill>
              <a:srgbClr val="000000"/>
            </a:solidFill>
            <a:uFill>
              <a:solidFill>
                <a:srgbClr val="FFFFFF"/>
              </a:solidFill>
            </a:uFill>
            <a:latin typeface="Times New Roman"/>
          </a:endParaRPr>
        </a:p>
      </xdr:txBody>
    </xdr:sp>
    <xdr:clientData/>
  </xdr:twoCellAnchor>
  <xdr:oneCellAnchor>
    <xdr:from>
      <xdr:col>19</xdr:col>
      <xdr:colOff>123825</xdr:colOff>
      <xdr:row>3</xdr:row>
      <xdr:rowOff>76200</xdr:rowOff>
    </xdr:from>
    <xdr:ext cx="1790700" cy="323850"/>
    <xdr:sp macro="" textlink="">
      <xdr:nvSpPr>
        <xdr:cNvPr id="8" name="CustomShape 1">
          <a:hlinkClick r:id="rId5"/>
        </xdr:cNvPr>
        <xdr:cNvSpPr/>
      </xdr:nvSpPr>
      <xdr:spPr>
        <a:xfrm>
          <a:off x="15763875" y="1028700"/>
          <a:ext cx="1790700" cy="323850"/>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5</xdr:col>
      <xdr:colOff>247650</xdr:colOff>
      <xdr:row>40</xdr:row>
      <xdr:rowOff>219075</xdr:rowOff>
    </xdr:from>
    <xdr:ext cx="1790700" cy="457200"/>
    <xdr:sp macro="" textlink="">
      <xdr:nvSpPr>
        <xdr:cNvPr id="9" name="CustomShape 1">
          <a:hlinkClick r:id="rId6"/>
        </xdr:cNvPr>
        <xdr:cNvSpPr/>
      </xdr:nvSpPr>
      <xdr:spPr>
        <a:xfrm>
          <a:off x="4495800" y="9182100"/>
          <a:ext cx="1790700" cy="457200"/>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oneCellAnchor>
    <xdr:from>
      <xdr:col>11</xdr:col>
      <xdr:colOff>161925</xdr:colOff>
      <xdr:row>31</xdr:row>
      <xdr:rowOff>9525</xdr:rowOff>
    </xdr:from>
    <xdr:ext cx="1800225" cy="323850"/>
    <xdr:sp macro="" textlink="">
      <xdr:nvSpPr>
        <xdr:cNvPr id="17" name="CustomShape 1">
          <a:hlinkClick r:id="rId7"/>
        </xdr:cNvPr>
        <xdr:cNvSpPr/>
      </xdr:nvSpPr>
      <xdr:spPr>
        <a:xfrm>
          <a:off x="9439275" y="6886575"/>
          <a:ext cx="1800225" cy="323850"/>
        </a:xfrm>
        <a:prstGeom prst="homePlate">
          <a:avLst>
            <a:gd name="adj" fmla="val 50000"/>
          </a:avLst>
        </a:prstGeom>
        <a:solidFill>
          <a:srgbClr val="BDD7EE"/>
        </a:solidFill>
        <a:ln>
          <a:noFill/>
        </a:ln>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effectLst/>
              <a:latin typeface="+mn-lt"/>
              <a:ea typeface="+mn-ea"/>
              <a:cs typeface="+mn-cs"/>
            </a:rPr>
            <a:t>3C1</a:t>
          </a:r>
          <a:r>
            <a:rPr lang="es-PE" sz="1000" b="0" baseline="0">
              <a:effectLst/>
              <a:latin typeface="+mn-lt"/>
              <a:ea typeface="+mn-ea"/>
              <a:cs typeface="+mn-cs"/>
            </a:rPr>
            <a:t> </a:t>
          </a:r>
          <a:r>
            <a:rPr lang="es-PE" sz="1000" b="0">
              <a:effectLst/>
              <a:latin typeface="+mn-lt"/>
              <a:ea typeface="+mn-ea"/>
              <a:cs typeface="+mn-cs"/>
            </a:rPr>
            <a:t>INFO BASE</a:t>
          </a:r>
          <a:endParaRPr lang="en-US" sz="1000">
            <a:effectLst/>
          </a:endParaRPr>
        </a:p>
      </xdr:txBody>
    </xdr:sp>
    <xdr:clientData/>
  </xdr:oneCellAnchor>
  <xdr:oneCellAnchor>
    <xdr:from>
      <xdr:col>13</xdr:col>
      <xdr:colOff>333375</xdr:colOff>
      <xdr:row>31</xdr:row>
      <xdr:rowOff>180975</xdr:rowOff>
    </xdr:from>
    <xdr:ext cx="1990725" cy="323850"/>
    <xdr:sp macro="" textlink="">
      <xdr:nvSpPr>
        <xdr:cNvPr id="18" name="CustomShape 1"/>
        <xdr:cNvSpPr/>
      </xdr:nvSpPr>
      <xdr:spPr>
        <a:xfrm>
          <a:off x="11287125" y="7058025"/>
          <a:ext cx="1990725" cy="323850"/>
        </a:xfrm>
        <a:prstGeom prst="chevron">
          <a:avLst>
            <a:gd name="adj" fmla="val 50000"/>
          </a:avLst>
        </a:prstGeom>
        <a:solidFill>
          <a:srgbClr val="2E75B6"/>
        </a:solidFill>
        <a:ln>
          <a:noFill/>
        </a:ln>
        <a:effectLst>
          <a:glow rad="139700">
            <a:srgbClr val="00B0F0">
              <a:alpha val="50000"/>
            </a:srgbClr>
          </a:glow>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r>
            <a:rPr lang="es-PE" sz="1000" b="0">
              <a:solidFill>
                <a:schemeClr val="bg1"/>
              </a:solidFill>
              <a:effectLst/>
              <a:latin typeface="+mn-lt"/>
              <a:ea typeface="+mn-ea"/>
              <a:cs typeface="+mn-cs"/>
            </a:rPr>
            <a:t>3C1 INFO PROC</a:t>
          </a:r>
          <a:endParaRPr lang="en-US" sz="1000">
            <a:solidFill>
              <a:schemeClr val="bg1"/>
            </a:solidFill>
            <a:effectLst/>
          </a:endParaRPr>
        </a:p>
      </xdr:txBody>
    </xdr:sp>
    <xdr:clientData/>
  </xdr:oneCellAnchor>
  <xdr:oneCellAnchor>
    <xdr:from>
      <xdr:col>11</xdr:col>
      <xdr:colOff>152400</xdr:colOff>
      <xdr:row>32</xdr:row>
      <xdr:rowOff>152400</xdr:rowOff>
    </xdr:from>
    <xdr:ext cx="1800225" cy="323850"/>
    <xdr:sp macro="" textlink="">
      <xdr:nvSpPr>
        <xdr:cNvPr id="19" name="CustomShape 1">
          <a:hlinkClick r:id="rId8"/>
        </xdr:cNvPr>
        <xdr:cNvSpPr/>
      </xdr:nvSpPr>
      <xdr:spPr>
        <a:xfrm>
          <a:off x="9429750" y="7353300"/>
          <a:ext cx="1800225" cy="323850"/>
        </a:xfrm>
        <a:prstGeom prst="homePlate">
          <a:avLst/>
        </a:prstGeom>
        <a:solidFill>
          <a:srgbClr val="548235"/>
        </a:solidFill>
        <a:ln>
          <a:noFill/>
        </a:ln>
        <a:effectLst>
          <a:outerShdw blurRad="50800" dist="38100" dir="5400000" algn="t" rotWithShape="0">
            <a:schemeClr val="accent1">
              <a:alpha val="40000"/>
            </a:schemeClr>
          </a:outerShdw>
        </a:effectLst>
      </xdr:spPr>
      <xdr:style>
        <a:lnRef idx="2">
          <a:schemeClr val="accent1">
            <a:shade val="50000"/>
          </a:schemeClr>
        </a:lnRef>
        <a:fillRef idx="1">
          <a:schemeClr val="accent1"/>
        </a:fillRef>
        <a:effectRef idx="0">
          <a:schemeClr val="accent1"/>
        </a:effectRef>
        <a:fontRef idx="minor">
          <a:schemeClr val="tx1"/>
        </a:fontRef>
      </xdr:style>
      <xdr:txBody>
        <a:bodyPr lIns="90000" tIns="45000" rIns="90000" bIns="45000" anchor="ctr"/>
        <a:lstStyle/>
        <a:p>
          <a:pPr algn="ctr">
            <a:lnSpc>
              <a:spcPct val="107000"/>
            </a:lnSpc>
            <a:spcAft>
              <a:spcPts val="799"/>
            </a:spcAft>
          </a:pPr>
          <a:r>
            <a:rPr lang="es-PE" sz="1000" b="0" strike="noStrike" spc="-1">
              <a:solidFill>
                <a:schemeClr val="bg1"/>
              </a:solidFill>
              <a:uFill>
                <a:solidFill>
                  <a:srgbClr val="FFFFFF"/>
                </a:solidFill>
              </a:uFill>
              <a:latin typeface="+mn-lt"/>
            </a:rPr>
            <a:t>FACTORES DE CONVERSIÓN</a:t>
          </a:r>
          <a:endParaRPr lang="es-PE" sz="1050" b="0" strike="noStrike" spc="-1">
            <a:solidFill>
              <a:schemeClr val="bg1"/>
            </a:solidFill>
            <a:uFill>
              <a:solidFill>
                <a:srgbClr val="FFFFFF"/>
              </a:solidFill>
            </a:uFill>
            <a:latin typeface="Times New Roman"/>
          </a:endParaRP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gelica%20Busso\AppData\Roaming\Microsoft\Excel\3A%20PLANILLA_GL%202006_FE%20GL%202019_C%20(version%201).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escargas\RAGEI%202016_GL%202006_BORRADOR1_11.07.2020_+arroz.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ULTAS"/>
      <sheetName val="INFO"/>
      <sheetName val="INFO PROCESADA"/>
      <sheetName val="FACTORES DE CONVERSIÓN"/>
      <sheetName val="FACTORES DE EMISIÓN"/>
      <sheetName val="FER ENT_MAN EST CH4"/>
      <sheetName val="MAN EST N2O (1)"/>
      <sheetName val="MAN EST N2O (2)"/>
      <sheetName val="MAN EST N2O (3)"/>
      <sheetName val="MAN EST N2O (4)"/>
      <sheetName val="MAN EST N2O (5)"/>
      <sheetName val="MAN EST N2O"/>
    </sheetNames>
    <sheetDataSet>
      <sheetData sheetId="0"/>
      <sheetData sheetId="1"/>
      <sheetData sheetId="2"/>
      <sheetData sheetId="3">
        <row r="10">
          <cell r="C10">
            <v>0.6911</v>
          </cell>
        </row>
        <row r="14">
          <cell r="N14">
            <v>1.6</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CTORES DE CONVERSIÓN"/>
      <sheetName val="3A1_3A2 INFO BASE"/>
      <sheetName val="3A1_3A2 INFO PROCESADA"/>
      <sheetName val="3A1_3A2 FACTORES DE EMISIÓN"/>
      <sheetName val="3A1_3A2 EMISIONES"/>
      <sheetName val="3C1 INFO BASE"/>
      <sheetName val="3C1 INFO PROCESADA"/>
      <sheetName val="3C1 FACTORES DE EMISIÓN"/>
      <sheetName val="3C1 EMISIONES"/>
      <sheetName val="3C2 INFO BASE"/>
      <sheetName val="3C2 INFO PROCESADA"/>
      <sheetName val="3C2 FACTORES DE EMISIÓN"/>
      <sheetName val="3C2 EMISIONES"/>
      <sheetName val="3C3 INFO BASE"/>
      <sheetName val="3C3 INFO PROCESADA"/>
      <sheetName val="3C3 FACTORES DE EMISIÓN"/>
      <sheetName val="3C3 EMISIONES"/>
      <sheetName val="3C4 INFO BASE"/>
      <sheetName val="3C4 INFO PROCESADA"/>
      <sheetName val="3C4 FACTORES DE EMISIÓN"/>
      <sheetName val="3C4 EMISIONES"/>
      <sheetName val="3C5 INFO BASE"/>
      <sheetName val="3C5 INFO PROCESADA"/>
      <sheetName val="3C5 FACTORES DE EMISIÓN"/>
      <sheetName val="3C5 EMISIONES"/>
      <sheetName val="3C6 INFO BASE"/>
      <sheetName val="3C6 INFO PROCESADA"/>
      <sheetName val="3C6 FACTORES DE EMISIÓN"/>
      <sheetName val="3C6 EMISIONES"/>
      <sheetName val="3C7 INFO BASE"/>
      <sheetName val="3C7 INFO PROCESADA"/>
      <sheetName val="3C7 FACTORES DE EMISIÓN"/>
      <sheetName val="3C7 EMIS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1">
          <cell r="C11" t="str">
            <v>Anegadizos</v>
          </cell>
        </row>
        <row r="12">
          <cell r="C12" t="str">
            <v>Expuesto a la sequía</v>
          </cell>
        </row>
        <row r="13">
          <cell r="C13" t="str">
            <v>Aguas profundas</v>
          </cell>
        </row>
      </sheetData>
      <sheetData sheetId="31">
        <row r="12">
          <cell r="B12" t="str">
            <v>Inundados permanentemente </v>
          </cell>
        </row>
        <row r="13">
          <cell r="B13" t="str">
            <v>Periodo de drenaje simple </v>
          </cell>
        </row>
        <row r="14">
          <cell r="B14" t="str">
            <v>Periodo de drenaje multiple</v>
          </cell>
        </row>
      </sheetData>
      <sheetData sheetId="32"/>
    </sheetDataSet>
  </externalBook>
</externalLink>
</file>

<file path=xl/persons/person.xml><?xml version="1.0" encoding="utf-8"?>
<personList xmlns="http://schemas.microsoft.com/office/spreadsheetml/2018/threadedcomments" xmlns:x="http://schemas.openxmlformats.org/spreadsheetml/2006/main">
  <person displayName="Walter Oyhantcabal" id="{CE75F348-0DC7-436C-B3D7-4B0009D54060}" userId="34390d5c5d55c5e7"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60" dT="2020-09-03T04:36:06.08" personId="{CE75F348-0DC7-436C-B3D7-4B0009D54060}" id="{10662C36-5E89-4141-BE85-D25F022B9EBA}">
    <text>Es curioso que traduzcan slope como declive y no como "pendiente". Se ve que el traductor no sabe estadística!!!</text>
  </threadedComment>
</ThreadedComments>
</file>

<file path=xl/worksheets/_rels/sheet1.xml.rels><?xml version="1.0" encoding="utf-8" standalone="yes"?><Relationships xmlns="http://schemas.openxmlformats.org/package/2006/relationships"><Relationship Id="rId1" Type="http://schemas.openxmlformats.org/officeDocument/2006/relationships/hyperlink" Target="http://infocarbono.minam.gob.pe/wp-content/uploads/2016/07/Guia-07_Portada-Original.pdf" TargetMode="External" /><Relationship Id="rId2" Type="http://schemas.openxmlformats.org/officeDocument/2006/relationships/hyperlink" Target="https://www.ipcc-nggip.iges.or.jp/public/2006gl/spanish/vol4.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12.xml" /><Relationship Id="rId4"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30" Type="http://schemas.microsoft.com/office/2017/10/relationships/threadedComment" Target="../threadedComments/threadedComment1.xml" /><Relationship Id="rId1" Type="http://schemas.openxmlformats.org/officeDocument/2006/relationships/hyperlink" Target="https://cdn.www.gob.pe/uploads/document/file/419901/ficha-tecnica-08-cultivo-choclo.pdf" TargetMode="External" /><Relationship Id="rId2" Type="http://schemas.openxmlformats.org/officeDocument/2006/relationships/hyperlink" Target="https://repositorio.minagri.gob.pe/bitstream/MINAGRI/291/1/ficha%20tecnica%20camote.pdf" TargetMode="External" /><Relationship Id="rId3" Type="http://schemas.openxmlformats.org/officeDocument/2006/relationships/hyperlink" Target="https://cdn.www.gob.pe/uploads/document/file/419902/ficha-tecnica-09-cultivo-mad.pdf" TargetMode="External" /><Relationship Id="rId4" Type="http://schemas.openxmlformats.org/officeDocument/2006/relationships/hyperlink" Target="https://cdn.www.gob.pe/uploads/document/file/419900/ficha-tecnica-07-cultivo-amilaceo.pdf" TargetMode="External" /><Relationship Id="rId5" Type="http://schemas.openxmlformats.org/officeDocument/2006/relationships/hyperlink" Target="https://cdn.www.gob.pe/uploads/document/file/419896/ficha-tecnica-03-cultivo-algodon.pdf" TargetMode="External" /><Relationship Id="rId6" Type="http://schemas.openxmlformats.org/officeDocument/2006/relationships/hyperlink" Target="https://cdn.www.gob.pe/uploads/document/file/419903/ficha-tecnica-10-cultivo-quinua.pdf" TargetMode="External" /><Relationship Id="rId7" Type="http://schemas.openxmlformats.org/officeDocument/2006/relationships/hyperlink" Target="https://cdn.www.gob.pe/uploads/document/file/419898/ficha-tecnica-05-cultivo-cebolla.pdf" TargetMode="External" /><Relationship Id="rId8" Type="http://schemas.openxmlformats.org/officeDocument/2006/relationships/hyperlink" Target="https://www.minagri.gob.pe/portal/download/pdf/direccionesyoficinas/dgca/Cartilla-de-difusion-Palma.pdf" TargetMode="External" /><Relationship Id="rId9" Type="http://schemas.openxmlformats.org/officeDocument/2006/relationships/hyperlink" Target="https://cdn.www.gob.pe/uploads/document/file/419899/ficha-tecnica-06-cultivo-frijol.pdf" TargetMode="External" /><Relationship Id="rId10" Type="http://schemas.openxmlformats.org/officeDocument/2006/relationships/hyperlink" Target="http://minagri.gob.pe/portal/download/pdf/sectoragrario/agricola/lineasdecultivosemergentes/PALLAR.pdf" TargetMode="External" /><Relationship Id="rId11" Type="http://schemas.openxmlformats.org/officeDocument/2006/relationships/hyperlink" Target="https://cdn.www.gob.pe/uploads/document/file/419894/ficha-tecnica-01-cultivo-de-la-papa.pdf" TargetMode="External" /><Relationship Id="rId12" Type="http://schemas.openxmlformats.org/officeDocument/2006/relationships/hyperlink" Target="http://minagri.gob.pe/portal/download/pdf/sectoragrario/agricola/lineasdecultivosemergentes/HABA.pdf" TargetMode="External" /><Relationship Id="rId13" Type="http://schemas.openxmlformats.org/officeDocument/2006/relationships/hyperlink" Target="http://www.agrolalibertad.gob.pe/sites/default/files/Cultivo-alfalfa.pdf" TargetMode="External" /><Relationship Id="rId14" Type="http://schemas.openxmlformats.org/officeDocument/2006/relationships/hyperlink" Target="http://minagri.gob.pe/portal/download/pdf/sectoragrario/agricola/lineasdecultivosemergentes/FRIJOL_CASTILLA.pdf" TargetMode="External" /><Relationship Id="rId15" Type="http://schemas.openxmlformats.org/officeDocument/2006/relationships/hyperlink" Target="http://minagri.gob.pe/portal/download/pdf/sectoragrario/agricola/lineasdecultivosemergentes/TARWI.pdf" TargetMode="External" /><Relationship Id="rId16" Type="http://schemas.openxmlformats.org/officeDocument/2006/relationships/hyperlink" Target="http://repositorio.minagri.gob.pe/bitstream/MINAGRI/292/1/ficha%20tecnica%20cebada.pdf" TargetMode="External" /><Relationship Id="rId17" Type="http://schemas.openxmlformats.org/officeDocument/2006/relationships/hyperlink" Target="https://www.agrorural.gob.pe/wp-content/uploads/transparencia/dab/material/ficha%20tecnica%20tomate.pdf" TargetMode="External" /><Relationship Id="rId18" Type="http://schemas.openxmlformats.org/officeDocument/2006/relationships/hyperlink" Target="https://www.minagri.gob.pe/portal/download/pdf/ais-2015/ficha04-trigo.pdf" TargetMode="External" /><Relationship Id="rId19" Type="http://schemas.openxmlformats.org/officeDocument/2006/relationships/hyperlink" Target="http://minagri.gob.pe/portal/download/pdf/sectoragrario/agricola/lineasdecultivosemergentes/ARVEJA.pdf" TargetMode="External" /><Relationship Id="rId20" Type="http://schemas.openxmlformats.org/officeDocument/2006/relationships/hyperlink" Target="http://minagri.gob.pe/portal/download/pdf/sectoragrario/agricola/lineasdecultivosemergentes/ARVEJA_VERDE.pdf" TargetMode="External" /><Relationship Id="rId21" Type="http://schemas.openxmlformats.org/officeDocument/2006/relationships/hyperlink" Target="http://minagri.gob.pe/portal/download/pdf/sectoragrario/agricola/lineasdecultivosemergentes/HABA.pdf" TargetMode="External" /><Relationship Id="rId22" Type="http://schemas.openxmlformats.org/officeDocument/2006/relationships/hyperlink" Target="https://repositorio.minagri.gob.pe/bitstream/MINAGRI/472/1/INIA-Cultivo_Alcachofa.pdf" TargetMode="External" /><Relationship Id="rId23" Type="http://schemas.openxmlformats.org/officeDocument/2006/relationships/hyperlink" Target="http://minagri.gob.pe/portal/download/pdf/ais-2015/ficha18-esparrago.pdf" TargetMode="External" /><Relationship Id="rId24" Type="http://schemas.openxmlformats.org/officeDocument/2006/relationships/hyperlink" Target="http://minagri.gob.pe/portal/download/pdf/ais-2015/ficha16-platano.pdf" TargetMode="External" /><Relationship Id="rId25" Type="http://schemas.openxmlformats.org/officeDocument/2006/relationships/hyperlink" Target="https://www.minagri.gob.pe/portal/download/pdf/ais-2015/ficha15-azucar.pdf" TargetMode="External" /><Relationship Id="rId26" Type="http://schemas.openxmlformats.org/officeDocument/2006/relationships/comments" Target="../comments15.xml" /><Relationship Id="rId27" Type="http://schemas.openxmlformats.org/officeDocument/2006/relationships/vmlDrawing" Target="../drawings/vmlDrawing4.vml" /><Relationship Id="rId28" Type="http://schemas.openxmlformats.org/officeDocument/2006/relationships/drawing" Target="../drawings/drawing14.xml" /><Relationship Id="rId29"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drawing" Target="../drawings/drawing15.xml" /><Relationship Id="rId4"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6.vml" /><Relationship Id="rId3" Type="http://schemas.openxmlformats.org/officeDocument/2006/relationships/drawing" Target="../drawings/drawing23.xml" /><Relationship Id="rId4" Type="http://schemas.openxmlformats.org/officeDocument/2006/relationships/printerSettings" Target="../printerSettings/printerSettings7.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7.vml" /><Relationship Id="rId3" Type="http://schemas.openxmlformats.org/officeDocument/2006/relationships/drawing" Target="../drawings/drawing24.xml" /><Relationship Id="rId4" Type="http://schemas.openxmlformats.org/officeDocument/2006/relationships/printerSettings" Target="../printerSettings/printerSettings8.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8.vml" /><Relationship Id="rId3" Type="http://schemas.openxmlformats.org/officeDocument/2006/relationships/drawing" Target="../drawings/drawing25.xml" /><Relationship Id="rId4" Type="http://schemas.openxmlformats.org/officeDocument/2006/relationships/printerSettings" Target="../printerSettings/printerSettings9.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9.vml" /><Relationship Id="rId3"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0.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0.vml" /><Relationship Id="rId3" Type="http://schemas.openxmlformats.org/officeDocument/2006/relationships/drawing" Target="../drawings/drawing28.xml" /><Relationship Id="rId4"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hyperlink" Target="http://sitiodea.com/siscipa/index.html" TargetMode="External" /><Relationship Id="rId2" Type="http://schemas.openxmlformats.org/officeDocument/2006/relationships/hyperlink" Target="http://sitiodea.com/siscipa/index.html" TargetMode="External" /><Relationship Id="rId3" Type="http://schemas.openxmlformats.org/officeDocument/2006/relationships/hyperlink" Target="http://sitiodea.com/siscipa/index.html" TargetMode="External" /><Relationship Id="rId4" Type="http://schemas.openxmlformats.org/officeDocument/2006/relationships/hyperlink" Target="https://www.inei.gob.pe/media/MenuRecursivo/publicaciones_digitales/Est/Lib1469/index.html" TargetMode="External" /><Relationship Id="rId5" Type="http://schemas.openxmlformats.org/officeDocument/2006/relationships/drawing" Target="../drawings/drawing2.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hyperlink" Target="http://frenteweb.minagri.gob.pe/sisca/" TargetMode="External" /><Relationship Id="rId2" Type="http://schemas.openxmlformats.org/officeDocument/2006/relationships/hyperlink" Target="http://frenteweb.minagri.gob.pe/sisca/"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hyperlink" Target="http://siea.minagri.gob.pe/siea/?q=publicaciones/anuario-estadistico-de-insumos-y-servicios-agrarios"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hyperlink" Target="http://sitiodea.com/siscipa/index.html" TargetMode="External" /><Relationship Id="rId2" Type="http://schemas.openxmlformats.org/officeDocument/2006/relationships/hyperlink" Target="http://sitiodea.com/siscipa/index.html" TargetMode="External" /><Relationship Id="rId3" Type="http://schemas.openxmlformats.org/officeDocument/2006/relationships/hyperlink" Target="http://siea.minagri.gob.pe/siea/?q=publicaciones/anuario-estadistico-de-insumos-y-servicios-agrarios" TargetMode="External" /><Relationship Id="rId4" Type="http://schemas.openxmlformats.org/officeDocument/2006/relationships/hyperlink" Target="http://frenteweb.minagri.gob.pe/sisca/" TargetMode="External" /><Relationship Id="rId5" Type="http://schemas.openxmlformats.org/officeDocument/2006/relationships/hyperlink" Target="http://frenteweb.minagri.gob.pe/sisca/" TargetMode="External" /><Relationship Id="rId6" Type="http://schemas.openxmlformats.org/officeDocument/2006/relationships/comments" Target="../comments7.xml" /><Relationship Id="rId7" Type="http://schemas.openxmlformats.org/officeDocument/2006/relationships/vmlDrawing" Target="../drawings/vmlDrawing2.vml" /><Relationship Id="rId8"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hyperlink" Target="http://siea.minagri.gob.pe/siea/?q=publicaciones/anuario-de-produccion-pecuaria" TargetMode="Externa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A2:S114"/>
  <sheetViews>
    <sheetView workbookViewId="0" topLeftCell="A1">
      <selection activeCell="N34" sqref="N34"/>
    </sheetView>
  </sheetViews>
  <sheetFormatPr defaultColWidth="9.140625" defaultRowHeight="15"/>
  <cols>
    <col min="1" max="1" width="3.28125" style="60" customWidth="1"/>
    <col min="2" max="2" width="14.7109375" style="60" customWidth="1"/>
    <col min="3" max="4" width="11.140625" style="60" customWidth="1"/>
    <col min="5" max="5" width="4.8515625" style="60" customWidth="1"/>
    <col min="6" max="18" width="11.140625" style="60" customWidth="1"/>
    <col min="19" max="19" width="3.28125" style="60" customWidth="1"/>
    <col min="20" max="1025" width="9.140625" style="60" customWidth="1"/>
    <col min="1026" max="16384" width="9.140625" style="24" customWidth="1"/>
  </cols>
  <sheetData>
    <row r="1" ht="12.75"/>
    <row r="2" spans="2:18" s="96" customFormat="1" ht="18.75">
      <c r="B2" s="1118" t="s">
        <v>779</v>
      </c>
      <c r="C2" s="1118"/>
      <c r="D2" s="1118"/>
      <c r="E2" s="1118"/>
      <c r="F2" s="1118"/>
      <c r="G2" s="1118"/>
      <c r="H2" s="1118"/>
      <c r="I2" s="1118"/>
      <c r="J2" s="1118"/>
      <c r="K2" s="1118"/>
      <c r="L2" s="1118"/>
      <c r="M2" s="1118"/>
      <c r="N2" s="1118"/>
      <c r="O2" s="1118"/>
      <c r="P2" s="1118"/>
      <c r="Q2" s="1118"/>
      <c r="R2" s="1118"/>
    </row>
    <row r="3" spans="2:18" s="96" customFormat="1" ht="18.75">
      <c r="B3" s="1118" t="s">
        <v>778</v>
      </c>
      <c r="C3" s="1118"/>
      <c r="D3" s="1118"/>
      <c r="E3" s="1118"/>
      <c r="F3" s="1118"/>
      <c r="G3" s="1118"/>
      <c r="H3" s="1118"/>
      <c r="I3" s="1118"/>
      <c r="J3" s="1118"/>
      <c r="K3" s="1118"/>
      <c r="L3" s="1118"/>
      <c r="M3" s="1118"/>
      <c r="N3" s="1118"/>
      <c r="O3" s="1118"/>
      <c r="P3" s="1118"/>
      <c r="Q3" s="1118"/>
      <c r="R3" s="1118"/>
    </row>
    <row r="4" ht="15">
      <c r="B4" s="95"/>
    </row>
    <row r="5" spans="2:18" s="94" customFormat="1" ht="15.75">
      <c r="B5" s="1119" t="s">
        <v>777</v>
      </c>
      <c r="C5" s="1119"/>
      <c r="D5" s="1119"/>
      <c r="E5" s="1119"/>
      <c r="F5" s="1119"/>
      <c r="G5" s="1119"/>
      <c r="H5" s="1119"/>
      <c r="I5" s="1119"/>
      <c r="J5" s="1119"/>
      <c r="K5" s="1119"/>
      <c r="L5" s="1119"/>
      <c r="M5" s="1119"/>
      <c r="N5" s="1119"/>
      <c r="O5" s="1119"/>
      <c r="P5" s="1119"/>
      <c r="Q5" s="1119"/>
      <c r="R5" s="1119"/>
    </row>
    <row r="6" spans="2:12" ht="15">
      <c r="B6" s="64"/>
      <c r="C6" s="61"/>
      <c r="D6" s="61"/>
      <c r="E6" s="61"/>
      <c r="F6" s="61"/>
      <c r="G6" s="61"/>
      <c r="H6" s="61"/>
      <c r="I6" s="61"/>
      <c r="J6" s="61"/>
      <c r="K6" s="61"/>
      <c r="L6" s="61"/>
    </row>
    <row r="7" spans="2:18" ht="15">
      <c r="B7" s="1120" t="s">
        <v>776</v>
      </c>
      <c r="C7" s="1120"/>
      <c r="D7" s="1120"/>
      <c r="E7" s="1120"/>
      <c r="F7" s="1120"/>
      <c r="G7" s="1120"/>
      <c r="H7" s="1120"/>
      <c r="I7" s="1120"/>
      <c r="J7" s="1120"/>
      <c r="K7" s="1120"/>
      <c r="L7" s="1120"/>
      <c r="M7" s="1120"/>
      <c r="N7" s="1120"/>
      <c r="O7" s="1120"/>
      <c r="P7" s="1120"/>
      <c r="Q7" s="1120"/>
      <c r="R7" s="1120"/>
    </row>
    <row r="8" spans="2:18" ht="12.75" customHeight="1">
      <c r="B8" s="1121" t="s">
        <v>775</v>
      </c>
      <c r="C8" s="1121"/>
      <c r="D8" s="1121"/>
      <c r="E8" s="1121"/>
      <c r="F8" s="1121"/>
      <c r="G8" s="1121"/>
      <c r="H8" s="1121"/>
      <c r="I8" s="1121"/>
      <c r="J8" s="1121"/>
      <c r="K8" s="1121"/>
      <c r="L8" s="1121"/>
      <c r="M8" s="1121"/>
      <c r="N8" s="1121"/>
      <c r="O8" s="1121"/>
      <c r="P8" s="93"/>
      <c r="Q8" s="93"/>
      <c r="R8" s="93"/>
    </row>
    <row r="9" spans="2:15" ht="15">
      <c r="B9" s="1121"/>
      <c r="C9" s="1121"/>
      <c r="D9" s="1121"/>
      <c r="E9" s="1121"/>
      <c r="F9" s="1121"/>
      <c r="G9" s="1121"/>
      <c r="H9" s="1121"/>
      <c r="I9" s="1121"/>
      <c r="J9" s="1121"/>
      <c r="K9" s="1121"/>
      <c r="L9" s="1121"/>
      <c r="M9" s="1121"/>
      <c r="N9" s="1121"/>
      <c r="O9" s="1121"/>
    </row>
    <row r="10" spans="2:15" ht="15">
      <c r="B10" s="92"/>
      <c r="C10" s="92"/>
      <c r="D10" s="92"/>
      <c r="E10" s="92"/>
      <c r="F10" s="92"/>
      <c r="G10" s="92"/>
      <c r="H10" s="92"/>
      <c r="I10" s="92"/>
      <c r="J10" s="92"/>
      <c r="K10" s="92"/>
      <c r="L10" s="92"/>
      <c r="M10" s="92"/>
      <c r="N10" s="92"/>
      <c r="O10" s="92"/>
    </row>
    <row r="11" spans="2:15" ht="12.75" customHeight="1">
      <c r="B11" s="1123" t="s">
        <v>896</v>
      </c>
      <c r="C11" s="1123"/>
      <c r="D11" s="1123"/>
      <c r="E11" s="1123"/>
      <c r="F11" s="1123"/>
      <c r="G11" s="1123"/>
      <c r="H11" s="1123"/>
      <c r="I11" s="1123"/>
      <c r="J11" s="1123"/>
      <c r="K11" s="1123"/>
      <c r="L11" s="1123"/>
      <c r="M11" s="1123"/>
      <c r="N11" s="1123"/>
      <c r="O11" s="1123"/>
    </row>
    <row r="12" spans="2:15" ht="15">
      <c r="B12" s="1123"/>
      <c r="C12" s="1123"/>
      <c r="D12" s="1123"/>
      <c r="E12" s="1123"/>
      <c r="F12" s="1123"/>
      <c r="G12" s="1123"/>
      <c r="H12" s="1123"/>
      <c r="I12" s="1123"/>
      <c r="J12" s="1123"/>
      <c r="K12" s="1123"/>
      <c r="L12" s="1123"/>
      <c r="M12" s="1123"/>
      <c r="N12" s="1123"/>
      <c r="O12" s="1123"/>
    </row>
    <row r="13" spans="2:15" ht="15">
      <c r="B13" s="1123"/>
      <c r="C13" s="1123"/>
      <c r="D13" s="1123"/>
      <c r="E13" s="1123"/>
      <c r="F13" s="1123"/>
      <c r="G13" s="1123"/>
      <c r="H13" s="1123"/>
      <c r="I13" s="1123"/>
      <c r="J13" s="1123"/>
      <c r="K13" s="1123"/>
      <c r="L13" s="1123"/>
      <c r="M13" s="1123"/>
      <c r="N13" s="1123"/>
      <c r="O13" s="1123"/>
    </row>
    <row r="14" spans="2:15" ht="15">
      <c r="B14" s="1123"/>
      <c r="C14" s="1123"/>
      <c r="D14" s="1123"/>
      <c r="E14" s="1123"/>
      <c r="F14" s="1123"/>
      <c r="G14" s="1123"/>
      <c r="H14" s="1123"/>
      <c r="I14" s="1123"/>
      <c r="J14" s="1123"/>
      <c r="K14" s="1123"/>
      <c r="L14" s="1123"/>
      <c r="M14" s="1123"/>
      <c r="N14" s="1123"/>
      <c r="O14" s="1123"/>
    </row>
    <row r="15" spans="2:15" ht="15">
      <c r="B15" s="1123"/>
      <c r="C15" s="1123"/>
      <c r="D15" s="1123"/>
      <c r="E15" s="1123"/>
      <c r="F15" s="1123"/>
      <c r="G15" s="1123"/>
      <c r="H15" s="1123"/>
      <c r="I15" s="1123"/>
      <c r="J15" s="1123"/>
      <c r="K15" s="1123"/>
      <c r="L15" s="1123"/>
      <c r="M15" s="1123"/>
      <c r="N15" s="1123"/>
      <c r="O15" s="1123"/>
    </row>
    <row r="16" spans="2:15" ht="15">
      <c r="B16" s="1123"/>
      <c r="C16" s="1123"/>
      <c r="D16" s="1123"/>
      <c r="E16" s="1123"/>
      <c r="F16" s="1123"/>
      <c r="G16" s="1123"/>
      <c r="H16" s="1123"/>
      <c r="I16" s="1123"/>
      <c r="J16" s="1123"/>
      <c r="K16" s="1123"/>
      <c r="L16" s="1123"/>
      <c r="M16" s="1123"/>
      <c r="N16" s="1123"/>
      <c r="O16" s="1123"/>
    </row>
    <row r="17" spans="2:15" ht="15">
      <c r="B17" s="1123"/>
      <c r="C17" s="1123"/>
      <c r="D17" s="1123"/>
      <c r="E17" s="1123"/>
      <c r="F17" s="1123"/>
      <c r="G17" s="1123"/>
      <c r="H17" s="1123"/>
      <c r="I17" s="1123"/>
      <c r="J17" s="1123"/>
      <c r="K17" s="1123"/>
      <c r="L17" s="1123"/>
      <c r="M17" s="1123"/>
      <c r="N17" s="1123"/>
      <c r="O17" s="1123"/>
    </row>
    <row r="18" spans="2:15" ht="15">
      <c r="B18" s="1123"/>
      <c r="C18" s="1123"/>
      <c r="D18" s="1123"/>
      <c r="E18" s="1123"/>
      <c r="F18" s="1123"/>
      <c r="G18" s="1123"/>
      <c r="H18" s="1123"/>
      <c r="I18" s="1123"/>
      <c r="J18" s="1123"/>
      <c r="K18" s="1123"/>
      <c r="L18" s="1123"/>
      <c r="M18" s="1123"/>
      <c r="N18" s="1123"/>
      <c r="O18" s="1123"/>
    </row>
    <row r="19" spans="1:19" ht="15">
      <c r="A19" s="65"/>
      <c r="B19" s="65"/>
      <c r="C19" s="65"/>
      <c r="D19" s="65"/>
      <c r="E19" s="65"/>
      <c r="F19" s="65"/>
      <c r="G19" s="65"/>
      <c r="H19" s="65"/>
      <c r="I19" s="65"/>
      <c r="J19" s="65"/>
      <c r="K19" s="65"/>
      <c r="L19" s="65"/>
      <c r="M19" s="65"/>
      <c r="N19" s="65"/>
      <c r="O19" s="65"/>
      <c r="P19" s="65"/>
      <c r="Q19" s="65"/>
      <c r="R19" s="65"/>
      <c r="S19" s="65"/>
    </row>
    <row r="20" spans="2:18" ht="15">
      <c r="B20" s="1120" t="s">
        <v>774</v>
      </c>
      <c r="C20" s="1120"/>
      <c r="D20" s="1120"/>
      <c r="E20" s="1120"/>
      <c r="F20" s="1120"/>
      <c r="G20" s="1120"/>
      <c r="H20" s="1120"/>
      <c r="I20" s="1120"/>
      <c r="J20" s="1120"/>
      <c r="K20" s="1120"/>
      <c r="L20" s="1120"/>
      <c r="M20" s="1120"/>
      <c r="N20" s="1120"/>
      <c r="O20" s="1120"/>
      <c r="P20" s="1120"/>
      <c r="Q20" s="1120"/>
      <c r="R20" s="1120"/>
    </row>
    <row r="21" ht="15">
      <c r="B21" s="84"/>
    </row>
    <row r="23" spans="2:14" ht="15">
      <c r="B23" s="1122" t="s">
        <v>891</v>
      </c>
      <c r="C23" s="1122"/>
      <c r="D23" s="1122"/>
      <c r="E23" s="1122"/>
      <c r="F23" s="1122"/>
      <c r="G23" s="1122"/>
      <c r="H23" s="1122"/>
      <c r="I23" s="1122"/>
      <c r="J23" s="1122"/>
      <c r="K23" s="1122"/>
      <c r="L23" s="1122"/>
      <c r="M23" s="1122"/>
      <c r="N23" s="1122"/>
    </row>
    <row r="24" spans="2:14" ht="27.75" customHeight="1">
      <c r="B24" s="1122" t="s">
        <v>773</v>
      </c>
      <c r="C24" s="1122"/>
      <c r="D24" s="1122"/>
      <c r="E24" s="1122"/>
      <c r="F24" s="1122"/>
      <c r="G24" s="1122"/>
      <c r="H24" s="1122"/>
      <c r="I24" s="1122"/>
      <c r="J24" s="1122"/>
      <c r="K24" s="1122"/>
      <c r="L24" s="1122"/>
      <c r="M24" s="1122"/>
      <c r="N24" s="1122"/>
    </row>
    <row r="25" spans="2:14" ht="19.5" customHeight="1">
      <c r="B25" s="91"/>
      <c r="C25" s="91"/>
      <c r="D25" s="91"/>
      <c r="E25" s="91"/>
      <c r="F25" s="91"/>
      <c r="G25" s="91"/>
      <c r="H25" s="91"/>
      <c r="I25" s="91"/>
      <c r="J25" s="91"/>
      <c r="K25" s="91"/>
      <c r="L25" s="91"/>
      <c r="M25" s="91"/>
      <c r="N25" s="91"/>
    </row>
    <row r="26" spans="3:7" ht="15">
      <c r="C26"/>
      <c r="D26" s="90"/>
      <c r="E26" s="90"/>
      <c r="G26" s="89" t="s">
        <v>772</v>
      </c>
    </row>
    <row r="27" spans="5:18" ht="12.75">
      <c r="E27" s="65"/>
      <c r="G27" s="65"/>
      <c r="I27" s="65"/>
      <c r="J27" s="65"/>
      <c r="K27" s="65"/>
      <c r="L27" s="65"/>
      <c r="M27" s="65"/>
      <c r="N27" s="65"/>
      <c r="O27" s="65"/>
      <c r="P27" s="65"/>
      <c r="Q27" s="65"/>
      <c r="R27" s="65"/>
    </row>
    <row r="28" spans="5:18" ht="12.75">
      <c r="E28" s="65"/>
      <c r="G28" s="86"/>
      <c r="I28" s="86"/>
      <c r="J28" s="86"/>
      <c r="K28" s="86"/>
      <c r="L28" s="86"/>
      <c r="M28" s="86"/>
      <c r="N28" s="86"/>
      <c r="O28" s="86"/>
      <c r="P28" s="86"/>
      <c r="Q28" s="86"/>
      <c r="R28" s="86"/>
    </row>
    <row r="29" spans="5:18" ht="12.75">
      <c r="E29" s="65"/>
      <c r="F29" s="65"/>
      <c r="G29" s="65"/>
      <c r="I29" s="65"/>
      <c r="J29" s="65"/>
      <c r="K29" s="65"/>
      <c r="L29" s="65"/>
      <c r="M29" s="65"/>
      <c r="N29" s="65"/>
      <c r="O29" s="65"/>
      <c r="P29" s="65"/>
      <c r="Q29" s="65"/>
      <c r="R29" s="65"/>
    </row>
    <row r="30" spans="5:18" ht="12.75">
      <c r="E30" s="65"/>
      <c r="F30" s="65"/>
      <c r="G30" s="65"/>
      <c r="I30" s="65"/>
      <c r="J30" s="65"/>
      <c r="K30" s="65"/>
      <c r="L30" s="65"/>
      <c r="M30" s="65"/>
      <c r="N30" s="65"/>
      <c r="O30" s="65"/>
      <c r="P30" s="65"/>
      <c r="Q30" s="65"/>
      <c r="R30" s="65"/>
    </row>
    <row r="31" spans="5:18" ht="12.75">
      <c r="E31" s="65"/>
      <c r="G31" s="88" t="s">
        <v>771</v>
      </c>
      <c r="I31" s="88"/>
      <c r="J31" s="88"/>
      <c r="K31" s="88"/>
      <c r="L31" s="88"/>
      <c r="M31" s="88"/>
      <c r="N31" s="88"/>
      <c r="O31" s="88"/>
      <c r="P31" s="88"/>
      <c r="Q31" s="88"/>
      <c r="R31" s="88"/>
    </row>
    <row r="32" spans="5:18" ht="12.75" customHeight="1">
      <c r="E32" s="65"/>
      <c r="G32" s="1125" t="s">
        <v>770</v>
      </c>
      <c r="H32" s="1125"/>
      <c r="I32" s="1125"/>
      <c r="J32" s="1125"/>
      <c r="K32" s="1125"/>
      <c r="L32" s="1125"/>
      <c r="M32" s="1125"/>
      <c r="N32" s="1125"/>
      <c r="O32" s="1125"/>
      <c r="P32" s="1125"/>
      <c r="Q32" s="1125"/>
      <c r="R32" s="1125"/>
    </row>
    <row r="33" spans="5:18" ht="12.75">
      <c r="E33" s="65"/>
      <c r="G33" s="1125"/>
      <c r="H33" s="1125"/>
      <c r="I33" s="1125"/>
      <c r="J33" s="1125"/>
      <c r="K33" s="1125"/>
      <c r="L33" s="1125"/>
      <c r="M33" s="1125"/>
      <c r="N33" s="1125"/>
      <c r="O33" s="1125"/>
      <c r="P33" s="1125"/>
      <c r="Q33" s="1125"/>
      <c r="R33" s="1125"/>
    </row>
    <row r="34" spans="5:18" ht="12.75">
      <c r="E34" s="65"/>
      <c r="G34" s="87" t="s">
        <v>769</v>
      </c>
      <c r="I34" s="87"/>
      <c r="J34" s="87"/>
      <c r="K34" s="87"/>
      <c r="L34" s="87"/>
      <c r="M34" s="87"/>
      <c r="N34" s="87"/>
      <c r="O34" s="87"/>
      <c r="P34" s="87"/>
      <c r="Q34" s="87"/>
      <c r="R34" s="87"/>
    </row>
    <row r="35" spans="5:18" ht="12.75">
      <c r="E35" s="65"/>
      <c r="F35" s="86"/>
      <c r="G35" s="86"/>
      <c r="H35" s="86"/>
      <c r="I35" s="86"/>
      <c r="J35" s="86"/>
      <c r="K35" s="86"/>
      <c r="L35" s="86"/>
      <c r="M35" s="86"/>
      <c r="N35" s="86"/>
      <c r="O35" s="86"/>
      <c r="P35" s="86"/>
      <c r="Q35" s="86"/>
      <c r="R35" s="86"/>
    </row>
    <row r="36" spans="5:18" ht="20.25" customHeight="1">
      <c r="E36" s="65"/>
      <c r="F36" s="86"/>
      <c r="G36" s="86"/>
      <c r="H36" s="86"/>
      <c r="I36" s="86"/>
      <c r="J36" s="86"/>
      <c r="K36" s="86"/>
      <c r="L36" s="86"/>
      <c r="M36" s="86"/>
      <c r="N36" s="86"/>
      <c r="O36" s="86"/>
      <c r="P36" s="86"/>
      <c r="Q36" s="86"/>
      <c r="R36" s="86"/>
    </row>
    <row r="37" spans="2:18" ht="15">
      <c r="B37" s="1120" t="s">
        <v>768</v>
      </c>
      <c r="C37" s="1120"/>
      <c r="D37" s="1120"/>
      <c r="E37" s="1120"/>
      <c r="F37" s="1120"/>
      <c r="G37" s="1120"/>
      <c r="H37" s="1120"/>
      <c r="I37" s="1120"/>
      <c r="J37" s="1120"/>
      <c r="K37" s="1120"/>
      <c r="L37" s="1120"/>
      <c r="M37" s="1120"/>
      <c r="N37" s="1120"/>
      <c r="O37" s="1120"/>
      <c r="P37" s="1120"/>
      <c r="Q37" s="1120"/>
      <c r="R37" s="1120"/>
    </row>
    <row r="38" ht="15">
      <c r="B38" s="84"/>
    </row>
    <row r="39" spans="2:3" ht="15">
      <c r="B39" s="85" t="s">
        <v>767</v>
      </c>
      <c r="C39" s="85"/>
    </row>
    <row r="40" ht="15">
      <c r="B40" s="84"/>
    </row>
    <row r="41" spans="2:9" ht="15">
      <c r="B41" s="83" t="s">
        <v>766</v>
      </c>
      <c r="C41" s="1124" t="s">
        <v>765</v>
      </c>
      <c r="D41" s="1124"/>
      <c r="E41" s="1124"/>
      <c r="F41" s="1124"/>
      <c r="G41" s="1124"/>
      <c r="H41" s="1124"/>
      <c r="I41" s="1124"/>
    </row>
    <row r="42" spans="2:9" ht="15">
      <c r="B42" s="82"/>
      <c r="C42" s="81" t="s">
        <v>764</v>
      </c>
      <c r="D42" s="80"/>
      <c r="E42" s="80"/>
      <c r="F42" s="80"/>
      <c r="G42" s="80"/>
      <c r="H42" s="80"/>
      <c r="I42" s="79"/>
    </row>
    <row r="43" spans="2:9" ht="15">
      <c r="B43" s="78"/>
      <c r="C43" s="74" t="s">
        <v>763</v>
      </c>
      <c r="D43" s="65"/>
      <c r="E43" s="65"/>
      <c r="F43" s="65"/>
      <c r="G43" s="65"/>
      <c r="H43" s="65"/>
      <c r="I43" s="72"/>
    </row>
    <row r="44" spans="2:9" ht="15">
      <c r="B44" s="77"/>
      <c r="C44" s="65" t="s">
        <v>762</v>
      </c>
      <c r="D44" s="65"/>
      <c r="E44" s="65"/>
      <c r="F44" s="65"/>
      <c r="G44" s="76"/>
      <c r="H44" s="65"/>
      <c r="I44" s="72"/>
    </row>
    <row r="45" spans="2:9" ht="15">
      <c r="B45" s="75"/>
      <c r="C45" s="74" t="s">
        <v>761</v>
      </c>
      <c r="D45" s="65"/>
      <c r="E45" s="65"/>
      <c r="F45" s="65"/>
      <c r="G45" s="65"/>
      <c r="H45" s="65"/>
      <c r="I45" s="72"/>
    </row>
    <row r="46" spans="2:9" ht="15">
      <c r="B46" s="73"/>
      <c r="C46" s="65" t="s">
        <v>760</v>
      </c>
      <c r="D46" s="65"/>
      <c r="E46" s="65"/>
      <c r="F46" s="65"/>
      <c r="G46" s="65"/>
      <c r="H46" s="65"/>
      <c r="I46" s="72"/>
    </row>
    <row r="47" spans="2:9" ht="15">
      <c r="B47" s="71"/>
      <c r="C47" s="70" t="s">
        <v>759</v>
      </c>
      <c r="D47" s="70"/>
      <c r="E47" s="70"/>
      <c r="F47" s="70"/>
      <c r="G47" s="70"/>
      <c r="H47" s="70"/>
      <c r="I47" s="69"/>
    </row>
    <row r="48" ht="15">
      <c r="H48" s="60" t="s">
        <v>758</v>
      </c>
    </row>
    <row r="49" spans="2:15" ht="15">
      <c r="B49" s="68" t="s">
        <v>757</v>
      </c>
      <c r="C49" s="68"/>
      <c r="D49" s="68"/>
      <c r="E49" s="68"/>
      <c r="F49" s="68"/>
      <c r="G49" s="68"/>
      <c r="H49" s="68"/>
      <c r="I49" s="68"/>
      <c r="J49" s="68"/>
      <c r="K49" s="68"/>
      <c r="L49" s="68"/>
      <c r="M49" s="68"/>
      <c r="N49" s="68"/>
      <c r="O49" s="68"/>
    </row>
    <row r="50" spans="2:15" ht="15">
      <c r="B50" s="68"/>
      <c r="C50" s="68"/>
      <c r="D50" s="68"/>
      <c r="E50" s="68"/>
      <c r="F50" s="68"/>
      <c r="G50" s="68"/>
      <c r="H50" s="68"/>
      <c r="I50" s="68"/>
      <c r="J50" s="68"/>
      <c r="K50" s="68"/>
      <c r="L50" s="68"/>
      <c r="M50" s="68"/>
      <c r="N50" s="68"/>
      <c r="O50" s="68"/>
    </row>
    <row r="51" spans="2:15" ht="15">
      <c r="B51" s="68"/>
      <c r="C51" s="68"/>
      <c r="D51" s="68"/>
      <c r="E51" s="68"/>
      <c r="F51" s="68"/>
      <c r="G51" s="68"/>
      <c r="H51" s="68"/>
      <c r="I51" s="68"/>
      <c r="J51" s="68"/>
      <c r="K51" s="68"/>
      <c r="L51" s="68"/>
      <c r="M51" s="68"/>
      <c r="N51" s="68"/>
      <c r="O51" s="68"/>
    </row>
    <row r="52" spans="2:15" ht="15">
      <c r="B52" s="68"/>
      <c r="C52" s="68"/>
      <c r="D52" s="68"/>
      <c r="E52" s="68"/>
      <c r="F52" s="68"/>
      <c r="G52" s="68"/>
      <c r="H52" s="68"/>
      <c r="I52" s="68"/>
      <c r="J52" s="68"/>
      <c r="K52" s="68"/>
      <c r="L52" s="68"/>
      <c r="M52" s="68"/>
      <c r="N52" s="68"/>
      <c r="O52" s="68"/>
    </row>
    <row r="53" spans="2:15" ht="15">
      <c r="B53" s="68"/>
      <c r="C53" s="68"/>
      <c r="D53" s="68"/>
      <c r="E53" s="68"/>
      <c r="F53" s="68"/>
      <c r="G53" s="68"/>
      <c r="H53" s="68"/>
      <c r="I53" s="68"/>
      <c r="J53" s="68"/>
      <c r="K53" s="68"/>
      <c r="L53" s="68"/>
      <c r="M53" s="68"/>
      <c r="N53" s="68"/>
      <c r="O53" s="68"/>
    </row>
    <row r="54" spans="2:15" ht="15">
      <c r="B54" s="68"/>
      <c r="C54" s="68"/>
      <c r="D54" s="68"/>
      <c r="E54" s="68"/>
      <c r="F54" s="68"/>
      <c r="G54" s="68"/>
      <c r="H54" s="68"/>
      <c r="I54" s="68"/>
      <c r="J54" s="68"/>
      <c r="K54" s="68"/>
      <c r="L54" s="68"/>
      <c r="M54" s="68"/>
      <c r="N54" s="68"/>
      <c r="O54" s="68"/>
    </row>
    <row r="55" spans="2:15" ht="15">
      <c r="B55" s="68"/>
      <c r="C55" s="68"/>
      <c r="D55" s="68"/>
      <c r="E55" s="68"/>
      <c r="F55" s="68"/>
      <c r="G55" s="68"/>
      <c r="H55" s="68"/>
      <c r="I55" s="68"/>
      <c r="J55" s="68"/>
      <c r="K55" s="68"/>
      <c r="L55" s="68"/>
      <c r="M55" s="68"/>
      <c r="N55" s="68"/>
      <c r="O55" s="68"/>
    </row>
    <row r="56" spans="2:15" ht="15">
      <c r="B56" s="68"/>
      <c r="C56" s="68"/>
      <c r="D56" s="68"/>
      <c r="E56" s="68"/>
      <c r="F56" s="68"/>
      <c r="G56" s="68"/>
      <c r="H56" s="68"/>
      <c r="I56" s="68"/>
      <c r="J56" s="68"/>
      <c r="K56" s="68"/>
      <c r="L56" s="68"/>
      <c r="M56" s="68"/>
      <c r="N56" s="68"/>
      <c r="O56" s="68"/>
    </row>
    <row r="57" spans="2:15" ht="15">
      <c r="B57" s="68"/>
      <c r="C57" s="68"/>
      <c r="D57" s="68"/>
      <c r="E57" s="68"/>
      <c r="F57" s="68"/>
      <c r="G57" s="68"/>
      <c r="H57" s="68"/>
      <c r="I57" s="68"/>
      <c r="J57" s="68"/>
      <c r="K57" s="68"/>
      <c r="L57" s="68"/>
      <c r="M57" s="68"/>
      <c r="N57" s="68"/>
      <c r="O57" s="68"/>
    </row>
    <row r="58" spans="2:15" ht="15">
      <c r="B58" s="68"/>
      <c r="C58" s="68"/>
      <c r="D58" s="68"/>
      <c r="E58" s="68"/>
      <c r="F58" s="68"/>
      <c r="G58" s="68"/>
      <c r="H58" s="68"/>
      <c r="I58" s="68"/>
      <c r="J58" s="68"/>
      <c r="K58" s="68"/>
      <c r="L58" s="68"/>
      <c r="M58" s="68"/>
      <c r="N58" s="68"/>
      <c r="O58" s="68"/>
    </row>
    <row r="59" spans="2:15" ht="15">
      <c r="B59" s="68"/>
      <c r="C59" s="68"/>
      <c r="D59" s="68"/>
      <c r="E59" s="68"/>
      <c r="F59" s="68"/>
      <c r="G59" s="68"/>
      <c r="H59" s="68"/>
      <c r="I59" s="68"/>
      <c r="J59" s="68"/>
      <c r="K59" s="68"/>
      <c r="L59" s="68"/>
      <c r="M59" s="68"/>
      <c r="N59" s="68"/>
      <c r="O59" s="68"/>
    </row>
    <row r="60" spans="2:15" ht="15">
      <c r="B60" s="68"/>
      <c r="C60" s="68"/>
      <c r="D60" s="68"/>
      <c r="E60" s="68"/>
      <c r="F60" s="68"/>
      <c r="G60" s="68"/>
      <c r="H60" s="68"/>
      <c r="I60" s="68"/>
      <c r="J60" s="68"/>
      <c r="K60" s="68"/>
      <c r="L60" s="68"/>
      <c r="M60" s="68"/>
      <c r="N60" s="68"/>
      <c r="O60" s="68"/>
    </row>
    <row r="61" spans="2:15" ht="15">
      <c r="B61" s="68"/>
      <c r="C61" s="68"/>
      <c r="D61" s="68"/>
      <c r="E61" s="68"/>
      <c r="F61" s="68"/>
      <c r="G61" s="68"/>
      <c r="H61" s="68"/>
      <c r="I61" s="68"/>
      <c r="J61" s="68"/>
      <c r="K61" s="68"/>
      <c r="L61" s="68"/>
      <c r="M61" s="68"/>
      <c r="N61" s="68"/>
      <c r="O61" s="68"/>
    </row>
    <row r="62" spans="2:15" ht="15">
      <c r="B62" s="68"/>
      <c r="C62" s="68"/>
      <c r="D62" s="68"/>
      <c r="E62" s="68"/>
      <c r="F62" s="68"/>
      <c r="G62" s="68"/>
      <c r="H62" s="68"/>
      <c r="I62" s="68"/>
      <c r="J62" s="68"/>
      <c r="K62" s="68"/>
      <c r="L62" s="68"/>
      <c r="M62" s="68"/>
      <c r="N62" s="68"/>
      <c r="O62" s="68"/>
    </row>
    <row r="63" spans="2:15" ht="15">
      <c r="B63" s="68"/>
      <c r="C63" s="68"/>
      <c r="D63" s="68"/>
      <c r="E63" s="68"/>
      <c r="F63" s="68"/>
      <c r="G63" s="68"/>
      <c r="H63" s="68"/>
      <c r="I63" s="68"/>
      <c r="J63" s="68"/>
      <c r="K63" s="68"/>
      <c r="L63" s="68"/>
      <c r="M63" s="68"/>
      <c r="N63" s="68"/>
      <c r="O63" s="68"/>
    </row>
    <row r="64" spans="2:15" ht="15">
      <c r="B64" s="68"/>
      <c r="C64" s="68"/>
      <c r="D64" s="68"/>
      <c r="E64" s="68"/>
      <c r="F64" s="68"/>
      <c r="G64" s="68"/>
      <c r="H64" s="68"/>
      <c r="I64" s="68"/>
      <c r="J64" s="68"/>
      <c r="K64" s="68"/>
      <c r="L64" s="68"/>
      <c r="M64" s="68"/>
      <c r="N64" s="68"/>
      <c r="O64" s="68"/>
    </row>
    <row r="65" spans="2:15" ht="15">
      <c r="B65" s="68"/>
      <c r="C65" s="68"/>
      <c r="D65" s="68"/>
      <c r="E65" s="68"/>
      <c r="F65" s="68"/>
      <c r="G65" s="68"/>
      <c r="H65" s="68"/>
      <c r="I65" s="68"/>
      <c r="J65" s="68"/>
      <c r="K65" s="68"/>
      <c r="L65" s="68"/>
      <c r="M65" s="68"/>
      <c r="N65" s="68"/>
      <c r="O65" s="68"/>
    </row>
    <row r="66" spans="2:15" ht="15">
      <c r="B66" s="68"/>
      <c r="C66" s="68"/>
      <c r="D66" s="68"/>
      <c r="E66" s="68"/>
      <c r="F66" s="68"/>
      <c r="G66" s="68"/>
      <c r="H66" s="68"/>
      <c r="I66" s="68"/>
      <c r="J66" s="68"/>
      <c r="K66" s="68"/>
      <c r="L66" s="68"/>
      <c r="M66" s="68"/>
      <c r="N66" s="68"/>
      <c r="O66" s="68"/>
    </row>
    <row r="67" spans="2:15" ht="15">
      <c r="B67" s="68"/>
      <c r="C67" s="68"/>
      <c r="D67" s="68"/>
      <c r="E67" s="68"/>
      <c r="F67" s="68"/>
      <c r="G67" s="68"/>
      <c r="H67" s="68"/>
      <c r="I67" s="68"/>
      <c r="J67" s="68"/>
      <c r="K67" s="68"/>
      <c r="L67" s="68"/>
      <c r="M67" s="68"/>
      <c r="N67" s="68"/>
      <c r="O67" s="68"/>
    </row>
    <row r="68" spans="2:15" ht="15">
      <c r="B68" s="68"/>
      <c r="C68" s="68"/>
      <c r="D68" s="68"/>
      <c r="E68" s="68"/>
      <c r="F68" s="68"/>
      <c r="G68" s="68"/>
      <c r="H68" s="68"/>
      <c r="I68" s="68"/>
      <c r="J68" s="68"/>
      <c r="K68" s="68"/>
      <c r="L68" s="68"/>
      <c r="M68" s="68"/>
      <c r="N68" s="68"/>
      <c r="O68" s="68"/>
    </row>
    <row r="69" spans="2:15" ht="15">
      <c r="B69" s="68"/>
      <c r="C69" s="68"/>
      <c r="D69" s="68"/>
      <c r="E69" s="68"/>
      <c r="F69" s="68"/>
      <c r="G69" s="68"/>
      <c r="H69" s="68"/>
      <c r="I69" s="68"/>
      <c r="J69" s="68"/>
      <c r="K69" s="68"/>
      <c r="L69" s="68"/>
      <c r="M69" s="68"/>
      <c r="N69" s="68"/>
      <c r="O69" s="68"/>
    </row>
    <row r="70" spans="2:15" ht="15">
      <c r="B70" s="68"/>
      <c r="C70" s="68"/>
      <c r="D70" s="68"/>
      <c r="E70" s="68"/>
      <c r="F70" s="68"/>
      <c r="G70" s="68"/>
      <c r="H70" s="68"/>
      <c r="I70" s="68"/>
      <c r="J70" s="68"/>
      <c r="K70" s="68"/>
      <c r="L70" s="68"/>
      <c r="M70" s="68"/>
      <c r="N70" s="68"/>
      <c r="O70" s="68"/>
    </row>
    <row r="71" spans="2:15" ht="15">
      <c r="B71" s="68"/>
      <c r="C71" s="68"/>
      <c r="D71" s="68"/>
      <c r="E71" s="68"/>
      <c r="F71" s="68"/>
      <c r="G71" s="68"/>
      <c r="H71" s="68"/>
      <c r="I71" s="68"/>
      <c r="J71" s="68"/>
      <c r="K71" s="68"/>
      <c r="L71" s="68"/>
      <c r="M71" s="68"/>
      <c r="N71" s="68"/>
      <c r="O71" s="68"/>
    </row>
    <row r="72" ht="12.75"/>
    <row r="73" spans="1:19" ht="15">
      <c r="A73" s="65"/>
      <c r="B73" s="67"/>
      <c r="C73" s="66"/>
      <c r="D73" s="66"/>
      <c r="E73" s="66"/>
      <c r="F73" s="66"/>
      <c r="G73" s="66"/>
      <c r="H73" s="66"/>
      <c r="I73" s="66"/>
      <c r="J73" s="66"/>
      <c r="K73" s="66"/>
      <c r="L73" s="66"/>
      <c r="M73" s="66"/>
      <c r="N73" s="66"/>
      <c r="O73" s="66"/>
      <c r="P73" s="66"/>
      <c r="Q73" s="66"/>
      <c r="R73" s="66"/>
      <c r="S73" s="65"/>
    </row>
    <row r="74" spans="2:18" ht="15">
      <c r="B74" s="1120" t="s">
        <v>756</v>
      </c>
      <c r="C74" s="1120"/>
      <c r="D74" s="1120"/>
      <c r="E74" s="1120"/>
      <c r="F74" s="1120"/>
      <c r="G74" s="1120"/>
      <c r="H74" s="1120"/>
      <c r="I74" s="1120"/>
      <c r="J74" s="1120"/>
      <c r="K74" s="1120"/>
      <c r="L74" s="1120"/>
      <c r="M74" s="1120"/>
      <c r="N74" s="1120"/>
      <c r="O74" s="1120"/>
      <c r="P74" s="1120"/>
      <c r="Q74" s="1120"/>
      <c r="R74" s="1120"/>
    </row>
    <row r="75" spans="2:18" ht="15">
      <c r="B75" s="64"/>
      <c r="C75" s="61"/>
      <c r="D75" s="62"/>
      <c r="E75" s="62"/>
      <c r="F75" s="62"/>
      <c r="G75" s="62"/>
      <c r="H75" s="62"/>
      <c r="I75" s="62"/>
      <c r="J75" s="62"/>
      <c r="K75" s="62"/>
      <c r="L75" s="62"/>
      <c r="M75" s="62"/>
      <c r="N75" s="62"/>
      <c r="O75" s="62"/>
      <c r="P75" s="62"/>
      <c r="Q75" s="62"/>
      <c r="R75" s="62"/>
    </row>
    <row r="76" spans="2:18" ht="15">
      <c r="B76" s="60" t="s">
        <v>755</v>
      </c>
      <c r="C76" s="60" t="s">
        <v>754</v>
      </c>
      <c r="D76" s="62"/>
      <c r="E76" s="62"/>
      <c r="F76" s="62"/>
      <c r="G76" s="62"/>
      <c r="H76" s="62"/>
      <c r="I76" s="62"/>
      <c r="J76" s="62"/>
      <c r="K76" s="62"/>
      <c r="L76" s="62"/>
      <c r="M76" s="62"/>
      <c r="N76" s="62"/>
      <c r="O76" s="62"/>
      <c r="P76" s="62"/>
      <c r="Q76" s="62"/>
      <c r="R76" s="62"/>
    </row>
    <row r="77" spans="2:18" ht="15">
      <c r="B77" s="60" t="s">
        <v>753</v>
      </c>
      <c r="C77" s="60" t="s">
        <v>752</v>
      </c>
      <c r="D77" s="62"/>
      <c r="E77" s="62"/>
      <c r="F77" s="62"/>
      <c r="G77" s="62"/>
      <c r="H77" s="62"/>
      <c r="I77" s="62"/>
      <c r="J77" s="62"/>
      <c r="K77" s="62"/>
      <c r="L77" s="62"/>
      <c r="M77" s="62"/>
      <c r="N77" s="62"/>
      <c r="O77" s="62"/>
      <c r="P77" s="62"/>
      <c r="Q77" s="62"/>
      <c r="R77" s="62"/>
    </row>
    <row r="78" spans="2:18" ht="15">
      <c r="B78" s="60" t="s">
        <v>751</v>
      </c>
      <c r="C78" s="60" t="s">
        <v>750</v>
      </c>
      <c r="D78" s="62"/>
      <c r="E78" s="62"/>
      <c r="F78" s="62"/>
      <c r="G78" s="62"/>
      <c r="H78" s="62"/>
      <c r="I78" s="62"/>
      <c r="J78" s="62"/>
      <c r="K78" s="62"/>
      <c r="L78" s="62"/>
      <c r="M78" s="62"/>
      <c r="N78" s="62"/>
      <c r="O78" s="62"/>
      <c r="P78" s="62"/>
      <c r="Q78" s="62"/>
      <c r="R78" s="62"/>
    </row>
    <row r="79" spans="2:18" ht="15">
      <c r="B79" s="60" t="s">
        <v>279</v>
      </c>
      <c r="C79" s="60" t="s">
        <v>749</v>
      </c>
      <c r="D79" s="62"/>
      <c r="E79" s="62"/>
      <c r="F79" s="62"/>
      <c r="G79" s="62"/>
      <c r="H79" s="62"/>
      <c r="I79" s="62"/>
      <c r="J79" s="62"/>
      <c r="K79" s="62"/>
      <c r="L79" s="62"/>
      <c r="M79" s="62"/>
      <c r="N79" s="62"/>
      <c r="O79" s="62"/>
      <c r="P79" s="62"/>
      <c r="Q79" s="62"/>
      <c r="R79" s="62"/>
    </row>
    <row r="80" spans="2:18" ht="15">
      <c r="B80" s="63" t="s">
        <v>748</v>
      </c>
      <c r="C80" s="61" t="s">
        <v>747</v>
      </c>
      <c r="D80" s="62"/>
      <c r="E80" s="62"/>
      <c r="F80" s="62"/>
      <c r="G80" s="62"/>
      <c r="H80" s="62"/>
      <c r="I80" s="62"/>
      <c r="J80" s="62"/>
      <c r="K80" s="62"/>
      <c r="L80" s="62"/>
      <c r="M80" s="62"/>
      <c r="N80" s="62"/>
      <c r="O80" s="62"/>
      <c r="P80" s="62"/>
      <c r="Q80" s="62"/>
      <c r="R80" s="62"/>
    </row>
    <row r="81" spans="2:18" ht="15">
      <c r="B81" s="63" t="s">
        <v>746</v>
      </c>
      <c r="C81" s="61" t="s">
        <v>745</v>
      </c>
      <c r="D81" s="62"/>
      <c r="E81" s="62"/>
      <c r="F81" s="62"/>
      <c r="G81" s="62"/>
      <c r="H81" s="62"/>
      <c r="I81" s="62"/>
      <c r="J81" s="62"/>
      <c r="K81" s="62"/>
      <c r="L81" s="62"/>
      <c r="M81" s="62"/>
      <c r="N81" s="62"/>
      <c r="O81" s="62"/>
      <c r="P81" s="62"/>
      <c r="Q81" s="62"/>
      <c r="R81" s="62"/>
    </row>
    <row r="82" spans="2:3" ht="15">
      <c r="B82" s="60" t="s">
        <v>744</v>
      </c>
      <c r="C82" s="61" t="s">
        <v>743</v>
      </c>
    </row>
    <row r="83" spans="2:3" ht="15">
      <c r="B83" s="60" t="s">
        <v>892</v>
      </c>
      <c r="C83" s="61" t="s">
        <v>893</v>
      </c>
    </row>
    <row r="84" spans="2:3" ht="15">
      <c r="B84" s="60" t="s">
        <v>742</v>
      </c>
      <c r="C84" s="61" t="s">
        <v>741</v>
      </c>
    </row>
    <row r="85" spans="2:3" ht="15">
      <c r="B85" s="60" t="s">
        <v>740</v>
      </c>
      <c r="C85" s="61" t="s">
        <v>739</v>
      </c>
    </row>
    <row r="86" spans="2:3" ht="15">
      <c r="B86" s="60" t="s">
        <v>738</v>
      </c>
      <c r="C86" s="61" t="s">
        <v>737</v>
      </c>
    </row>
    <row r="87" spans="2:3" ht="15">
      <c r="B87" s="60" t="s">
        <v>736</v>
      </c>
      <c r="C87" s="61" t="s">
        <v>735</v>
      </c>
    </row>
    <row r="88" spans="2:3" ht="15">
      <c r="B88" s="60" t="s">
        <v>734</v>
      </c>
      <c r="C88" s="60" t="s">
        <v>733</v>
      </c>
    </row>
    <row r="89" spans="2:3" ht="15">
      <c r="B89" s="60" t="s">
        <v>732</v>
      </c>
      <c r="C89" s="60" t="s">
        <v>731</v>
      </c>
    </row>
    <row r="90" spans="2:3" ht="15">
      <c r="B90" s="60" t="s">
        <v>119</v>
      </c>
      <c r="C90" s="60" t="s">
        <v>730</v>
      </c>
    </row>
    <row r="91" spans="2:3" ht="15">
      <c r="B91" s="60" t="s">
        <v>729</v>
      </c>
      <c r="C91" s="60" t="s">
        <v>728</v>
      </c>
    </row>
    <row r="92" spans="2:3" ht="15">
      <c r="B92" s="60" t="s">
        <v>417</v>
      </c>
      <c r="C92" s="60" t="s">
        <v>727</v>
      </c>
    </row>
    <row r="93" spans="2:3" ht="15">
      <c r="B93" s="60" t="s">
        <v>726</v>
      </c>
      <c r="C93" s="60" t="s">
        <v>725</v>
      </c>
    </row>
    <row r="94" spans="2:3" ht="15.75">
      <c r="B94" s="60" t="s">
        <v>724</v>
      </c>
      <c r="C94" s="60" t="s">
        <v>723</v>
      </c>
    </row>
    <row r="95" spans="2:3" ht="15">
      <c r="B95" s="60" t="s">
        <v>722</v>
      </c>
      <c r="C95" s="60" t="s">
        <v>721</v>
      </c>
    </row>
    <row r="96" spans="2:3" ht="15">
      <c r="B96" s="60" t="s">
        <v>720</v>
      </c>
      <c r="C96" s="60" t="s">
        <v>719</v>
      </c>
    </row>
    <row r="97" spans="2:3" ht="15">
      <c r="B97" s="60" t="s">
        <v>718</v>
      </c>
      <c r="C97" s="60" t="s">
        <v>717</v>
      </c>
    </row>
    <row r="98" spans="2:3" ht="15">
      <c r="B98" s="60" t="s">
        <v>690</v>
      </c>
      <c r="C98" s="60" t="s">
        <v>716</v>
      </c>
    </row>
    <row r="99" spans="2:3" ht="15">
      <c r="B99" s="60" t="s">
        <v>715</v>
      </c>
      <c r="C99" s="60" t="s">
        <v>714</v>
      </c>
    </row>
    <row r="100" spans="2:3" ht="15">
      <c r="B100" s="60" t="s">
        <v>713</v>
      </c>
      <c r="C100" s="60" t="s">
        <v>712</v>
      </c>
    </row>
    <row r="101" spans="2:3" ht="15">
      <c r="B101" s="60" t="s">
        <v>711</v>
      </c>
      <c r="C101" s="60" t="s">
        <v>710</v>
      </c>
    </row>
    <row r="102" spans="2:3" ht="15">
      <c r="B102" s="60" t="s">
        <v>709</v>
      </c>
      <c r="C102" s="60" t="s">
        <v>708</v>
      </c>
    </row>
    <row r="103" spans="2:3" ht="15">
      <c r="B103" s="60" t="s">
        <v>707</v>
      </c>
      <c r="C103" s="60" t="s">
        <v>706</v>
      </c>
    </row>
    <row r="104" spans="2:3" ht="15">
      <c r="B104" s="60" t="s">
        <v>705</v>
      </c>
      <c r="C104" s="60" t="s">
        <v>704</v>
      </c>
    </row>
    <row r="105" spans="2:3" ht="15">
      <c r="B105" s="60" t="s">
        <v>703</v>
      </c>
      <c r="C105" s="60" t="s">
        <v>702</v>
      </c>
    </row>
    <row r="106" spans="2:3" ht="15">
      <c r="B106" s="60" t="s">
        <v>701</v>
      </c>
      <c r="C106" s="60" t="s">
        <v>700</v>
      </c>
    </row>
    <row r="107" spans="2:3" ht="15">
      <c r="B107" s="60" t="s">
        <v>699</v>
      </c>
      <c r="C107" s="60" t="s">
        <v>698</v>
      </c>
    </row>
    <row r="108" spans="2:3" ht="15">
      <c r="B108" s="60" t="s">
        <v>697</v>
      </c>
      <c r="C108" s="60" t="s">
        <v>696</v>
      </c>
    </row>
    <row r="109" spans="2:3" ht="15">
      <c r="B109" s="60" t="s">
        <v>695</v>
      </c>
      <c r="C109" s="60" t="s">
        <v>694</v>
      </c>
    </row>
    <row r="110" spans="2:3" ht="15">
      <c r="B110" s="60" t="s">
        <v>570</v>
      </c>
      <c r="C110" s="60" t="s">
        <v>693</v>
      </c>
    </row>
    <row r="111" spans="2:3" ht="15">
      <c r="B111" s="60" t="s">
        <v>692</v>
      </c>
      <c r="C111" s="60" t="s">
        <v>691</v>
      </c>
    </row>
    <row r="112" spans="2:3" ht="15">
      <c r="B112" s="60" t="s">
        <v>690</v>
      </c>
      <c r="C112" s="60" t="s">
        <v>689</v>
      </c>
    </row>
    <row r="113" spans="2:3" ht="15">
      <c r="B113" s="60" t="s">
        <v>688</v>
      </c>
      <c r="C113" s="60" t="s">
        <v>687</v>
      </c>
    </row>
    <row r="114" spans="2:3" ht="15">
      <c r="B114" s="60" t="s">
        <v>686</v>
      </c>
      <c r="C114" s="60" t="s">
        <v>685</v>
      </c>
    </row>
  </sheetData>
  <mergeCells count="13">
    <mergeCell ref="B23:N23"/>
    <mergeCell ref="B11:O18"/>
    <mergeCell ref="C41:I41"/>
    <mergeCell ref="B74:R74"/>
    <mergeCell ref="B20:R20"/>
    <mergeCell ref="B24:N24"/>
    <mergeCell ref="G32:R33"/>
    <mergeCell ref="B37:R37"/>
    <mergeCell ref="B2:R2"/>
    <mergeCell ref="B3:R3"/>
    <mergeCell ref="B5:R5"/>
    <mergeCell ref="B7:R7"/>
    <mergeCell ref="B8:O9"/>
  </mergeCells>
  <hyperlinks>
    <hyperlink ref="B24" r:id="rId1" display="http://infocarbono.minam.gob.pe/wp-content/uploads/2016/07/Guia-07_Portada-Original.pdf"/>
    <hyperlink ref="B23" r:id="rId2" display="https://www.ipcc-nggip.iges.or.jp/public/2006gl/spanish/vol4.html"/>
  </hyperlinks>
  <printOptions/>
  <pageMargins left="0.7" right="0.7" top="0.75" bottom="0.75" header="0.511805555555555" footer="0.511805555555555"/>
  <pageSetup horizontalDpi="300" verticalDpi="300" orientation="portrait" paperSize="9"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336699"/>
  </sheetPr>
  <dimension ref="A1:AA48"/>
  <sheetViews>
    <sheetView workbookViewId="0" topLeftCell="A1">
      <selection activeCell="I45" sqref="I45"/>
    </sheetView>
  </sheetViews>
  <sheetFormatPr defaultColWidth="10.8515625" defaultRowHeight="15"/>
  <cols>
    <col min="1" max="1" width="13.421875" style="103" customWidth="1"/>
    <col min="2" max="16" width="12.57421875" style="103" customWidth="1"/>
  </cols>
  <sheetData>
    <row r="1" ht="12.75">
      <c r="A1" s="147" t="s">
        <v>472</v>
      </c>
    </row>
    <row r="2" spans="1:27" ht="24" customHeight="1">
      <c r="A2" s="1210" t="s">
        <v>41</v>
      </c>
      <c r="B2" s="1209" t="s">
        <v>365</v>
      </c>
      <c r="C2" s="1209"/>
      <c r="D2" s="1209"/>
      <c r="E2" s="1209" t="s">
        <v>303</v>
      </c>
      <c r="F2" s="1209" t="s">
        <v>473</v>
      </c>
      <c r="G2" s="1209" t="s">
        <v>628</v>
      </c>
      <c r="H2" s="1209" t="s">
        <v>1044</v>
      </c>
      <c r="I2" s="1209" t="s">
        <v>473</v>
      </c>
      <c r="J2" s="1209" t="s">
        <v>628</v>
      </c>
      <c r="K2" s="1209" t="s">
        <v>1045</v>
      </c>
      <c r="L2" s="1209" t="s">
        <v>473</v>
      </c>
      <c r="M2" s="1209" t="s">
        <v>628</v>
      </c>
      <c r="N2" s="1209" t="s">
        <v>1033</v>
      </c>
      <c r="O2" s="1209" t="s">
        <v>473</v>
      </c>
      <c r="P2" s="1209" t="s">
        <v>628</v>
      </c>
      <c r="T2" s="508" t="s">
        <v>989</v>
      </c>
      <c r="U2" s="6"/>
      <c r="V2" s="6"/>
      <c r="W2" s="6"/>
      <c r="X2" s="6"/>
      <c r="Y2" s="6"/>
      <c r="Z2" s="103"/>
      <c r="AA2" s="103"/>
    </row>
    <row r="3" spans="1:27" ht="38.25">
      <c r="A3" s="1211"/>
      <c r="B3" s="201" t="s">
        <v>1043</v>
      </c>
      <c r="C3" s="201" t="s">
        <v>1100</v>
      </c>
      <c r="D3" s="201" t="s">
        <v>1099</v>
      </c>
      <c r="E3" s="201" t="s">
        <v>1043</v>
      </c>
      <c r="F3" s="201" t="s">
        <v>473</v>
      </c>
      <c r="G3" s="201" t="s">
        <v>1099</v>
      </c>
      <c r="H3" s="201" t="s">
        <v>1043</v>
      </c>
      <c r="I3" s="201" t="s">
        <v>1100</v>
      </c>
      <c r="J3" s="201" t="s">
        <v>1099</v>
      </c>
      <c r="K3" s="201" t="s">
        <v>1043</v>
      </c>
      <c r="L3" s="201" t="s">
        <v>473</v>
      </c>
      <c r="M3" s="201" t="s">
        <v>1099</v>
      </c>
      <c r="N3" s="201" t="s">
        <v>1043</v>
      </c>
      <c r="O3" s="201" t="s">
        <v>473</v>
      </c>
      <c r="P3" s="201" t="s">
        <v>1099</v>
      </c>
      <c r="T3" s="6"/>
      <c r="U3" s="6"/>
      <c r="V3" s="6"/>
      <c r="W3" s="6"/>
      <c r="X3" s="6"/>
      <c r="Y3" s="6"/>
      <c r="Z3" s="103"/>
      <c r="AA3" s="103"/>
    </row>
    <row r="4" spans="1:27" ht="15">
      <c r="A4" s="473" t="s">
        <v>4</v>
      </c>
      <c r="B4" s="199">
        <f>+SUM(B5:B28)</f>
        <v>87697</v>
      </c>
      <c r="C4" s="199"/>
      <c r="D4" s="199">
        <f>+SUM(D5:D28)</f>
        <v>83312.15</v>
      </c>
      <c r="E4" s="199">
        <f aca="true" t="shared" si="0" ref="E4:P4">+SUM(E5:E28)</f>
        <v>419564</v>
      </c>
      <c r="F4" s="199"/>
      <c r="G4" s="199">
        <f t="shared" si="0"/>
        <v>83912.80000000002</v>
      </c>
      <c r="H4" s="199">
        <f t="shared" si="0"/>
        <v>18099</v>
      </c>
      <c r="I4" s="199"/>
      <c r="J4" s="199">
        <f t="shared" si="0"/>
        <v>7239.599999999999</v>
      </c>
      <c r="K4" s="199">
        <f t="shared" si="0"/>
        <v>27945.818</v>
      </c>
      <c r="L4" s="199"/>
      <c r="M4" s="199">
        <f t="shared" si="0"/>
        <v>1397.2909</v>
      </c>
      <c r="N4" s="199">
        <f t="shared" si="0"/>
        <v>22091.99</v>
      </c>
      <c r="O4" s="199"/>
      <c r="P4" s="199">
        <f t="shared" si="0"/>
        <v>1104.5995000000003</v>
      </c>
      <c r="T4" s="6"/>
      <c r="U4" s="6"/>
      <c r="V4" s="6"/>
      <c r="W4" s="6"/>
      <c r="X4" s="6"/>
      <c r="Y4" s="6"/>
      <c r="Z4" s="103"/>
      <c r="AA4" s="103"/>
    </row>
    <row r="5" spans="1:27" ht="15">
      <c r="A5" s="141" t="s">
        <v>49</v>
      </c>
      <c r="B5" s="470">
        <f>+'3C1 INFO BASE'!B9</f>
        <v>0</v>
      </c>
      <c r="C5" s="568">
        <f>+'FACTORES DE CONVERSIÓN'!$B$186</f>
        <v>0.95</v>
      </c>
      <c r="D5" s="470">
        <f>+B5*C5</f>
        <v>0</v>
      </c>
      <c r="E5" s="470">
        <f>'3C1 INFO BASE'!C9</f>
        <v>41567</v>
      </c>
      <c r="F5" s="568">
        <f>'FACTORES DE CONVERSIÓN'!$B$187</f>
        <v>0.2</v>
      </c>
      <c r="G5" s="470">
        <f>+E5*F5</f>
        <v>8313.4</v>
      </c>
      <c r="H5" s="470">
        <f>'3C1 INFO BASE'!D9</f>
        <v>0</v>
      </c>
      <c r="I5" s="568">
        <f>'FACTORES DE CONVERSIÓN'!$B$188</f>
        <v>0.4</v>
      </c>
      <c r="J5" s="470">
        <f>+H5*I5</f>
        <v>0</v>
      </c>
      <c r="K5" s="470">
        <f>'3C1 INFO BASE'!E9</f>
        <v>0</v>
      </c>
      <c r="L5" s="568">
        <f>'FACTORES DE CONVERSIÓN'!$B$189</f>
        <v>0.05</v>
      </c>
      <c r="M5" s="470">
        <f>+K5*L5</f>
        <v>0</v>
      </c>
      <c r="N5" s="470">
        <f>'3C1 INFO BASE'!F9</f>
        <v>228</v>
      </c>
      <c r="O5" s="568">
        <f>'FACTORES DE CONVERSIÓN'!$B$190</f>
        <v>0.05</v>
      </c>
      <c r="P5" s="470">
        <f>+N5*O5</f>
        <v>11.4</v>
      </c>
      <c r="T5" s="6"/>
      <c r="U5" s="6"/>
      <c r="V5" s="6"/>
      <c r="W5" s="6"/>
      <c r="X5" s="6"/>
      <c r="Y5" s="6"/>
      <c r="Z5" s="103"/>
      <c r="AA5" s="103"/>
    </row>
    <row r="6" spans="1:27" ht="15">
      <c r="A6" s="141" t="s">
        <v>321</v>
      </c>
      <c r="B6" s="470">
        <f>+'3C1 INFO BASE'!B10</f>
        <v>7267</v>
      </c>
      <c r="C6" s="568">
        <f>+'FACTORES DE CONVERSIÓN'!$B$186</f>
        <v>0.95</v>
      </c>
      <c r="D6" s="470">
        <f aca="true" t="shared" si="1" ref="D6:D28">+B6*C6</f>
        <v>6903.65</v>
      </c>
      <c r="E6" s="470">
        <f>'3C1 INFO BASE'!C10</f>
        <v>6795</v>
      </c>
      <c r="F6" s="568">
        <f>'FACTORES DE CONVERSIÓN'!$B$187</f>
        <v>0.2</v>
      </c>
      <c r="G6" s="470">
        <f aca="true" t="shared" si="2" ref="G6:G28">+E6*F6</f>
        <v>1359</v>
      </c>
      <c r="H6" s="470">
        <f>'3C1 INFO BASE'!D10</f>
        <v>518</v>
      </c>
      <c r="I6" s="568">
        <f>'FACTORES DE CONVERSIÓN'!$B$188</f>
        <v>0.4</v>
      </c>
      <c r="J6" s="470">
        <f aca="true" t="shared" si="3" ref="J6:J28">+H6*I6</f>
        <v>207.20000000000002</v>
      </c>
      <c r="K6" s="470">
        <f>'3C1 INFO BASE'!E10</f>
        <v>367</v>
      </c>
      <c r="L6" s="568">
        <f>'FACTORES DE CONVERSIÓN'!$B$189</f>
        <v>0.05</v>
      </c>
      <c r="M6" s="470">
        <f aca="true" t="shared" si="4" ref="M6:M28">+K6*L6</f>
        <v>18.35</v>
      </c>
      <c r="N6" s="470">
        <f>'3C1 INFO BASE'!F10</f>
        <v>915</v>
      </c>
      <c r="O6" s="568">
        <f>'FACTORES DE CONVERSIÓN'!$B$190</f>
        <v>0.05</v>
      </c>
      <c r="P6" s="470">
        <f aca="true" t="shared" si="5" ref="P6:P28">+N6*O6</f>
        <v>45.75</v>
      </c>
      <c r="T6" s="6"/>
      <c r="U6" s="6"/>
      <c r="V6" s="6"/>
      <c r="W6" s="6"/>
      <c r="X6" s="6"/>
      <c r="Y6" s="6"/>
      <c r="Z6" s="103"/>
      <c r="AA6" s="103"/>
    </row>
    <row r="7" spans="1:27" ht="15">
      <c r="A7" s="141" t="s">
        <v>50</v>
      </c>
      <c r="B7" s="470">
        <f>+'3C1 INFO BASE'!B11</f>
        <v>0</v>
      </c>
      <c r="C7" s="568">
        <f>+'FACTORES DE CONVERSIÓN'!$B$186</f>
        <v>0.95</v>
      </c>
      <c r="D7" s="470">
        <f t="shared" si="1"/>
        <v>0</v>
      </c>
      <c r="E7" s="470">
        <f>'3C1 INFO BASE'!C11</f>
        <v>0</v>
      </c>
      <c r="F7" s="568">
        <f>'FACTORES DE CONVERSIÓN'!$B$187</f>
        <v>0.2</v>
      </c>
      <c r="G7" s="470">
        <f t="shared" si="2"/>
        <v>0</v>
      </c>
      <c r="H7" s="470">
        <f>'3C1 INFO BASE'!D11</f>
        <v>0</v>
      </c>
      <c r="I7" s="568">
        <f>'FACTORES DE CONVERSIÓN'!$B$188</f>
        <v>0.4</v>
      </c>
      <c r="J7" s="470">
        <f t="shared" si="3"/>
        <v>0</v>
      </c>
      <c r="K7" s="470">
        <f>'3C1 INFO BASE'!E11</f>
        <v>0</v>
      </c>
      <c r="L7" s="568">
        <f>'FACTORES DE CONVERSIÓN'!$B$189</f>
        <v>0.05</v>
      </c>
      <c r="M7" s="470">
        <f t="shared" si="4"/>
        <v>0</v>
      </c>
      <c r="N7" s="470">
        <f>'3C1 INFO BASE'!F11</f>
        <v>45</v>
      </c>
      <c r="O7" s="568">
        <f>'FACTORES DE CONVERSIÓN'!$B$190</f>
        <v>0.05</v>
      </c>
      <c r="P7" s="470">
        <f t="shared" si="5"/>
        <v>2.25</v>
      </c>
      <c r="T7" s="6"/>
      <c r="U7" s="6"/>
      <c r="V7" s="6"/>
      <c r="W7" s="6"/>
      <c r="X7" s="6"/>
      <c r="Y7" s="6"/>
      <c r="Z7" s="103"/>
      <c r="AA7" s="103"/>
    </row>
    <row r="8" spans="1:27" ht="15">
      <c r="A8" s="141" t="s">
        <v>51</v>
      </c>
      <c r="B8" s="470">
        <f>+'3C1 INFO BASE'!B12</f>
        <v>501</v>
      </c>
      <c r="C8" s="568">
        <f>+'FACTORES DE CONVERSIÓN'!$B$186</f>
        <v>0.95</v>
      </c>
      <c r="D8" s="470">
        <f t="shared" si="1"/>
        <v>475.95</v>
      </c>
      <c r="E8" s="470">
        <f>'3C1 INFO BASE'!C12</f>
        <v>19939</v>
      </c>
      <c r="F8" s="568">
        <f>'FACTORES DE CONVERSIÓN'!$B$187</f>
        <v>0.2</v>
      </c>
      <c r="G8" s="470">
        <f t="shared" si="2"/>
        <v>3987.8</v>
      </c>
      <c r="H8" s="470">
        <f>'3C1 INFO BASE'!D12</f>
        <v>107</v>
      </c>
      <c r="I8" s="568">
        <f>'FACTORES DE CONVERSIÓN'!$B$188</f>
        <v>0.4</v>
      </c>
      <c r="J8" s="470">
        <f t="shared" si="3"/>
        <v>42.800000000000004</v>
      </c>
      <c r="K8" s="470">
        <f>'3C1 INFO BASE'!E12</f>
        <v>1205</v>
      </c>
      <c r="L8" s="568">
        <f>'FACTORES DE CONVERSIÓN'!$B$189</f>
        <v>0.05</v>
      </c>
      <c r="M8" s="470">
        <f t="shared" si="4"/>
        <v>60.25</v>
      </c>
      <c r="N8" s="470">
        <f>'3C1 INFO BASE'!F12</f>
        <v>12</v>
      </c>
      <c r="O8" s="568">
        <f>'FACTORES DE CONVERSIÓN'!$B$190</f>
        <v>0.05</v>
      </c>
      <c r="P8" s="470">
        <f t="shared" si="5"/>
        <v>0.6000000000000001</v>
      </c>
      <c r="T8" s="6"/>
      <c r="U8" s="6"/>
      <c r="V8" s="6"/>
      <c r="W8" s="6"/>
      <c r="X8" s="6"/>
      <c r="Y8" s="6"/>
      <c r="Z8" s="103"/>
      <c r="AA8" s="103"/>
    </row>
    <row r="9" spans="1:20" ht="15">
      <c r="A9" s="141" t="s">
        <v>52</v>
      </c>
      <c r="B9" s="470">
        <f>+'3C1 INFO BASE'!B13</f>
        <v>0</v>
      </c>
      <c r="C9" s="568">
        <f>+'FACTORES DE CONVERSIÓN'!$B$186</f>
        <v>0.95</v>
      </c>
      <c r="D9" s="470">
        <f t="shared" si="1"/>
        <v>0</v>
      </c>
      <c r="E9" s="470">
        <f>'3C1 INFO BASE'!C13</f>
        <v>80</v>
      </c>
      <c r="F9" s="568">
        <f>'FACTORES DE CONVERSIÓN'!$B$187</f>
        <v>0.2</v>
      </c>
      <c r="G9" s="470">
        <f t="shared" si="2"/>
        <v>16</v>
      </c>
      <c r="H9" s="470">
        <f>'3C1 INFO BASE'!D13</f>
        <v>0</v>
      </c>
      <c r="I9" s="568">
        <f>'FACTORES DE CONVERSIÓN'!$B$188</f>
        <v>0.4</v>
      </c>
      <c r="J9" s="470">
        <f t="shared" si="3"/>
        <v>0</v>
      </c>
      <c r="K9" s="470">
        <f>'3C1 INFO BASE'!E13</f>
        <v>15</v>
      </c>
      <c r="L9" s="568">
        <f>'FACTORES DE CONVERSIÓN'!$B$189</f>
        <v>0.05</v>
      </c>
      <c r="M9" s="470">
        <f t="shared" si="4"/>
        <v>0.75</v>
      </c>
      <c r="N9" s="470">
        <f>'3C1 INFO BASE'!F13</f>
        <v>68</v>
      </c>
      <c r="O9" s="568">
        <f>'FACTORES DE CONVERSIÓN'!$B$190</f>
        <v>0.05</v>
      </c>
      <c r="P9" s="470">
        <f t="shared" si="5"/>
        <v>3.4000000000000004</v>
      </c>
      <c r="Q9" s="103"/>
      <c r="R9" s="103"/>
      <c r="S9" s="103"/>
      <c r="T9" s="103"/>
    </row>
    <row r="10" spans="1:16" ht="15">
      <c r="A10" s="141" t="s">
        <v>53</v>
      </c>
      <c r="B10" s="470">
        <f>+'3C1 INFO BASE'!B14</f>
        <v>0</v>
      </c>
      <c r="C10" s="568">
        <f>+'FACTORES DE CONVERSIÓN'!$B$186</f>
        <v>0.95</v>
      </c>
      <c r="D10" s="470">
        <f t="shared" si="1"/>
        <v>0</v>
      </c>
      <c r="E10" s="470">
        <f>'3C1 INFO BASE'!C14</f>
        <v>24886</v>
      </c>
      <c r="F10" s="568">
        <f>'FACTORES DE CONVERSIÓN'!$B$187</f>
        <v>0.2</v>
      </c>
      <c r="G10" s="470">
        <f t="shared" si="2"/>
        <v>4977.200000000001</v>
      </c>
      <c r="H10" s="470">
        <f>'3C1 INFO BASE'!D14</f>
        <v>0</v>
      </c>
      <c r="I10" s="568">
        <f>'FACTORES DE CONVERSIÓN'!$B$188</f>
        <v>0.4</v>
      </c>
      <c r="J10" s="470">
        <f t="shared" si="3"/>
        <v>0</v>
      </c>
      <c r="K10" s="470">
        <f>'3C1 INFO BASE'!E14</f>
        <v>141</v>
      </c>
      <c r="L10" s="568">
        <f>'FACTORES DE CONVERSIÓN'!$B$189</f>
        <v>0.05</v>
      </c>
      <c r="M10" s="470">
        <f t="shared" si="4"/>
        <v>7.050000000000001</v>
      </c>
      <c r="N10" s="470">
        <f>'3C1 INFO BASE'!F14</f>
        <v>48.5</v>
      </c>
      <c r="O10" s="568">
        <f>'FACTORES DE CONVERSIÓN'!$B$190</f>
        <v>0.05</v>
      </c>
      <c r="P10" s="470">
        <f t="shared" si="5"/>
        <v>2.4250000000000003</v>
      </c>
    </row>
    <row r="11" spans="1:16" ht="15">
      <c r="A11" s="141" t="s">
        <v>54</v>
      </c>
      <c r="B11" s="470">
        <f>+'3C1 INFO BASE'!B15</f>
        <v>0</v>
      </c>
      <c r="C11" s="568">
        <f>+'FACTORES DE CONVERSIÓN'!$B$186</f>
        <v>0.95</v>
      </c>
      <c r="D11" s="470">
        <f t="shared" si="1"/>
        <v>0</v>
      </c>
      <c r="E11" s="470">
        <f>'3C1 INFO BASE'!C15</f>
        <v>1476</v>
      </c>
      <c r="F11" s="568">
        <f>'FACTORES DE CONVERSIÓN'!$B$187</f>
        <v>0.2</v>
      </c>
      <c r="G11" s="470">
        <f t="shared" si="2"/>
        <v>295.2</v>
      </c>
      <c r="H11" s="470">
        <f>'3C1 INFO BASE'!D15</f>
        <v>0</v>
      </c>
      <c r="I11" s="568">
        <f>'FACTORES DE CONVERSIÓN'!$B$188</f>
        <v>0.4</v>
      </c>
      <c r="J11" s="470">
        <f t="shared" si="3"/>
        <v>0</v>
      </c>
      <c r="K11" s="470">
        <f>'3C1 INFO BASE'!E15</f>
        <v>0</v>
      </c>
      <c r="L11" s="568">
        <f>'FACTORES DE CONVERSIÓN'!$B$189</f>
        <v>0.05</v>
      </c>
      <c r="M11" s="470">
        <f t="shared" si="4"/>
        <v>0</v>
      </c>
      <c r="N11" s="470">
        <f>'3C1 INFO BASE'!F15</f>
        <v>307</v>
      </c>
      <c r="O11" s="568">
        <f>'FACTORES DE CONVERSIÓN'!$B$190</f>
        <v>0.05</v>
      </c>
      <c r="P11" s="470">
        <f t="shared" si="5"/>
        <v>15.350000000000001</v>
      </c>
    </row>
    <row r="12" spans="1:16" ht="15">
      <c r="A12" s="141" t="s">
        <v>55</v>
      </c>
      <c r="B12" s="470">
        <f>+'3C1 INFO BASE'!B16</f>
        <v>0</v>
      </c>
      <c r="C12" s="568">
        <f>+'FACTORES DE CONVERSIÓN'!$B$186</f>
        <v>0.95</v>
      </c>
      <c r="D12" s="470">
        <f t="shared" si="1"/>
        <v>0</v>
      </c>
      <c r="E12" s="470">
        <f>'3C1 INFO BASE'!C16</f>
        <v>0</v>
      </c>
      <c r="F12" s="568">
        <f>'FACTORES DE CONVERSIÓN'!$B$187</f>
        <v>0.2</v>
      </c>
      <c r="G12" s="470">
        <f t="shared" si="2"/>
        <v>0</v>
      </c>
      <c r="H12" s="470">
        <f>'3C1 INFO BASE'!D16</f>
        <v>0</v>
      </c>
      <c r="I12" s="568">
        <f>'FACTORES DE CONVERSIÓN'!$B$188</f>
        <v>0.4</v>
      </c>
      <c r="J12" s="470">
        <f t="shared" si="3"/>
        <v>0</v>
      </c>
      <c r="K12" s="470">
        <f>'3C1 INFO BASE'!E16</f>
        <v>0</v>
      </c>
      <c r="L12" s="568">
        <f>'FACTORES DE CONVERSIÓN'!$B$189</f>
        <v>0.05</v>
      </c>
      <c r="M12" s="470">
        <f t="shared" si="4"/>
        <v>0</v>
      </c>
      <c r="N12" s="470">
        <f>'3C1 INFO BASE'!F16</f>
        <v>21</v>
      </c>
      <c r="O12" s="568">
        <f>'FACTORES DE CONVERSIÓN'!$B$190</f>
        <v>0.05</v>
      </c>
      <c r="P12" s="470">
        <f t="shared" si="5"/>
        <v>1.05</v>
      </c>
    </row>
    <row r="13" spans="1:16" ht="15">
      <c r="A13" s="141" t="s">
        <v>56</v>
      </c>
      <c r="B13" s="470">
        <f>+'3C1 INFO BASE'!B17</f>
        <v>0</v>
      </c>
      <c r="C13" s="568">
        <f>+'FACTORES DE CONVERSIÓN'!$B$186</f>
        <v>0.95</v>
      </c>
      <c r="D13" s="470">
        <f t="shared" si="1"/>
        <v>0</v>
      </c>
      <c r="E13" s="470">
        <f>'3C1 INFO BASE'!C17</f>
        <v>9151</v>
      </c>
      <c r="F13" s="568">
        <f>'FACTORES DE CONVERSIÓN'!$B$187</f>
        <v>0.2</v>
      </c>
      <c r="G13" s="470">
        <f t="shared" si="2"/>
        <v>1830.2</v>
      </c>
      <c r="H13" s="470">
        <f>'3C1 INFO BASE'!D17</f>
        <v>65</v>
      </c>
      <c r="I13" s="568">
        <f>'FACTORES DE CONVERSIÓN'!$B$188</f>
        <v>0.4</v>
      </c>
      <c r="J13" s="470">
        <f t="shared" si="3"/>
        <v>26</v>
      </c>
      <c r="K13" s="470">
        <f>'3C1 INFO BASE'!E17</f>
        <v>0</v>
      </c>
      <c r="L13" s="568">
        <f>'FACTORES DE CONVERSIÓN'!$B$189</f>
        <v>0.05</v>
      </c>
      <c r="M13" s="470">
        <f t="shared" si="4"/>
        <v>0</v>
      </c>
      <c r="N13" s="470">
        <f>'3C1 INFO BASE'!F17</f>
        <v>96.63</v>
      </c>
      <c r="O13" s="568">
        <f>'FACTORES DE CONVERSIÓN'!$B$190</f>
        <v>0.05</v>
      </c>
      <c r="P13" s="470">
        <f t="shared" si="5"/>
        <v>4.8315</v>
      </c>
    </row>
    <row r="14" spans="1:16" ht="15">
      <c r="A14" s="141" t="s">
        <v>57</v>
      </c>
      <c r="B14" s="470">
        <f>+'3C1 INFO BASE'!B18</f>
        <v>0</v>
      </c>
      <c r="C14" s="568">
        <f>+'FACTORES DE CONVERSIÓN'!$B$186</f>
        <v>0.95</v>
      </c>
      <c r="D14" s="470">
        <f t="shared" si="1"/>
        <v>0</v>
      </c>
      <c r="E14" s="470">
        <f>'3C1 INFO BASE'!C18</f>
        <v>0</v>
      </c>
      <c r="F14" s="568">
        <f>'FACTORES DE CONVERSIÓN'!$B$187</f>
        <v>0.2</v>
      </c>
      <c r="G14" s="470">
        <f t="shared" si="2"/>
        <v>0</v>
      </c>
      <c r="H14" s="470">
        <f>'3C1 INFO BASE'!D18</f>
        <v>12377</v>
      </c>
      <c r="I14" s="568">
        <f>'FACTORES DE CONVERSIÓN'!$B$188</f>
        <v>0.4</v>
      </c>
      <c r="J14" s="470">
        <f t="shared" si="3"/>
        <v>4950.8</v>
      </c>
      <c r="K14" s="470">
        <f>'3C1 INFO BASE'!E18</f>
        <v>11149.768</v>
      </c>
      <c r="L14" s="568">
        <f>'FACTORES DE CONVERSIÓN'!$B$189</f>
        <v>0.05</v>
      </c>
      <c r="M14" s="470">
        <f t="shared" si="4"/>
        <v>557.4884000000001</v>
      </c>
      <c r="N14" s="470">
        <f>'3C1 INFO BASE'!F18</f>
        <v>668.6600000000001</v>
      </c>
      <c r="O14" s="568">
        <f>'FACTORES DE CONVERSIÓN'!$B$190</f>
        <v>0.05</v>
      </c>
      <c r="P14" s="470">
        <f t="shared" si="5"/>
        <v>33.43300000000001</v>
      </c>
    </row>
    <row r="15" spans="1:16" ht="15">
      <c r="A15" s="141" t="s">
        <v>58</v>
      </c>
      <c r="B15" s="470">
        <f>+'3C1 INFO BASE'!B19</f>
        <v>0</v>
      </c>
      <c r="C15" s="568">
        <f>+'FACTORES DE CONVERSIÓN'!$B$186</f>
        <v>0.95</v>
      </c>
      <c r="D15" s="470">
        <f t="shared" si="1"/>
        <v>0</v>
      </c>
      <c r="E15" s="470">
        <f>'3C1 INFO BASE'!C19</f>
        <v>1214</v>
      </c>
      <c r="F15" s="568">
        <f>'FACTORES DE CONVERSIÓN'!$B$187</f>
        <v>0.2</v>
      </c>
      <c r="G15" s="470">
        <f t="shared" si="2"/>
        <v>242.8</v>
      </c>
      <c r="H15" s="470">
        <f>'3C1 INFO BASE'!D19</f>
        <v>0</v>
      </c>
      <c r="I15" s="568">
        <f>'FACTORES DE CONVERSIÓN'!$B$188</f>
        <v>0.4</v>
      </c>
      <c r="J15" s="470">
        <f t="shared" si="3"/>
        <v>0</v>
      </c>
      <c r="K15" s="470">
        <f>'3C1 INFO BASE'!E19</f>
        <v>0</v>
      </c>
      <c r="L15" s="568">
        <f>'FACTORES DE CONVERSIÓN'!$B$189</f>
        <v>0.05</v>
      </c>
      <c r="M15" s="470">
        <f t="shared" si="4"/>
        <v>0</v>
      </c>
      <c r="N15" s="470">
        <f>'3C1 INFO BASE'!F19</f>
        <v>249</v>
      </c>
      <c r="O15" s="568">
        <f>'FACTORES DE CONVERSIÓN'!$B$190</f>
        <v>0.05</v>
      </c>
      <c r="P15" s="470">
        <f t="shared" si="5"/>
        <v>12.450000000000001</v>
      </c>
    </row>
    <row r="16" spans="1:16" ht="15">
      <c r="A16" s="141" t="s">
        <v>59</v>
      </c>
      <c r="B16" s="470">
        <f>+'3C1 INFO BASE'!B20</f>
        <v>41776</v>
      </c>
      <c r="C16" s="568">
        <f>+'FACTORES DE CONVERSIÓN'!$B$186</f>
        <v>0.95</v>
      </c>
      <c r="D16" s="470">
        <f t="shared" si="1"/>
        <v>39687.2</v>
      </c>
      <c r="E16" s="470">
        <f>'3C1 INFO BASE'!C20</f>
        <v>32857</v>
      </c>
      <c r="F16" s="568">
        <f>'FACTORES DE CONVERSIÓN'!$B$187</f>
        <v>0.2</v>
      </c>
      <c r="G16" s="470">
        <f t="shared" si="2"/>
        <v>6571.400000000001</v>
      </c>
      <c r="H16" s="470">
        <f>'3C1 INFO BASE'!D20</f>
        <v>36</v>
      </c>
      <c r="I16" s="568">
        <f>'FACTORES DE CONVERSIÓN'!$B$188</f>
        <v>0.4</v>
      </c>
      <c r="J16" s="470">
        <f t="shared" si="3"/>
        <v>14.4</v>
      </c>
      <c r="K16" s="470">
        <f>'3C1 INFO BASE'!E20</f>
        <v>2522.05</v>
      </c>
      <c r="L16" s="568">
        <f>'FACTORES DE CONVERSIÓN'!$B$189</f>
        <v>0.05</v>
      </c>
      <c r="M16" s="470">
        <f t="shared" si="4"/>
        <v>126.10250000000002</v>
      </c>
      <c r="N16" s="470">
        <f>'3C1 INFO BASE'!F20</f>
        <v>295.8</v>
      </c>
      <c r="O16" s="568">
        <f>'FACTORES DE CONVERSIÓN'!$B$190</f>
        <v>0.05</v>
      </c>
      <c r="P16" s="470">
        <f t="shared" si="5"/>
        <v>14.790000000000001</v>
      </c>
    </row>
    <row r="17" spans="1:16" ht="15">
      <c r="A17" s="141" t="s">
        <v>60</v>
      </c>
      <c r="B17" s="470">
        <f>+'3C1 INFO BASE'!B21</f>
        <v>25874</v>
      </c>
      <c r="C17" s="568">
        <f>+'FACTORES DE CONVERSIÓN'!$B$186</f>
        <v>0.95</v>
      </c>
      <c r="D17" s="470">
        <f t="shared" si="1"/>
        <v>24580.3</v>
      </c>
      <c r="E17" s="470">
        <f>'3C1 INFO BASE'!C21</f>
        <v>49831</v>
      </c>
      <c r="F17" s="568">
        <f>'FACTORES DE CONVERSIÓN'!$B$187</f>
        <v>0.2</v>
      </c>
      <c r="G17" s="470">
        <f t="shared" si="2"/>
        <v>9966.2</v>
      </c>
      <c r="H17" s="470">
        <f>'3C1 INFO BASE'!D21</f>
        <v>3133</v>
      </c>
      <c r="I17" s="568">
        <f>'FACTORES DE CONVERSIÓN'!$B$188</f>
        <v>0.4</v>
      </c>
      <c r="J17" s="470">
        <f t="shared" si="3"/>
        <v>1253.2</v>
      </c>
      <c r="K17" s="470">
        <f>'3C1 INFO BASE'!E21</f>
        <v>1517</v>
      </c>
      <c r="L17" s="568">
        <f>'FACTORES DE CONVERSIÓN'!$B$189</f>
        <v>0.05</v>
      </c>
      <c r="M17" s="470">
        <f t="shared" si="4"/>
        <v>75.85000000000001</v>
      </c>
      <c r="N17" s="470">
        <f>'3C1 INFO BASE'!F21</f>
        <v>3980</v>
      </c>
      <c r="O17" s="568">
        <f>'FACTORES DE CONVERSIÓN'!$B$190</f>
        <v>0.05</v>
      </c>
      <c r="P17" s="470">
        <f t="shared" si="5"/>
        <v>199</v>
      </c>
    </row>
    <row r="18" spans="1:16" ht="15">
      <c r="A18" s="141" t="s">
        <v>61</v>
      </c>
      <c r="B18" s="470">
        <f>+'3C1 INFO BASE'!B22</f>
        <v>12279</v>
      </c>
      <c r="C18" s="568">
        <f>+'FACTORES DE CONVERSIÓN'!$B$186</f>
        <v>0.95</v>
      </c>
      <c r="D18" s="470">
        <f t="shared" si="1"/>
        <v>11665.05</v>
      </c>
      <c r="E18" s="470">
        <f>'3C1 INFO BASE'!C22</f>
        <v>0</v>
      </c>
      <c r="F18" s="568">
        <f>'FACTORES DE CONVERSIÓN'!$B$187</f>
        <v>0.2</v>
      </c>
      <c r="G18" s="470">
        <f t="shared" si="2"/>
        <v>0</v>
      </c>
      <c r="H18" s="470">
        <f>'3C1 INFO BASE'!D22</f>
        <v>1296</v>
      </c>
      <c r="I18" s="568">
        <f>'FACTORES DE CONVERSIÓN'!$B$188</f>
        <v>0.4</v>
      </c>
      <c r="J18" s="470">
        <f t="shared" si="3"/>
        <v>518.4</v>
      </c>
      <c r="K18" s="470">
        <f>'3C1 INFO BASE'!E22</f>
        <v>4050</v>
      </c>
      <c r="L18" s="568">
        <f>'FACTORES DE CONVERSIÓN'!$B$189</f>
        <v>0.05</v>
      </c>
      <c r="M18" s="470">
        <f t="shared" si="4"/>
        <v>202.5</v>
      </c>
      <c r="N18" s="470">
        <f>'3C1 INFO BASE'!F22</f>
        <v>774</v>
      </c>
      <c r="O18" s="568">
        <f>'FACTORES DE CONVERSIÓN'!$B$190</f>
        <v>0.05</v>
      </c>
      <c r="P18" s="470">
        <f t="shared" si="5"/>
        <v>38.7</v>
      </c>
    </row>
    <row r="19" spans="1:16" ht="15">
      <c r="A19" s="141" t="s">
        <v>62</v>
      </c>
      <c r="B19" s="470">
        <f>+'3C1 INFO BASE'!B23</f>
        <v>0</v>
      </c>
      <c r="C19" s="568">
        <f>+'FACTORES DE CONVERSIÓN'!$B$186</f>
        <v>0.95</v>
      </c>
      <c r="D19" s="470">
        <f t="shared" si="1"/>
        <v>0</v>
      </c>
      <c r="E19" s="470">
        <f>'3C1 INFO BASE'!C23</f>
        <v>33046</v>
      </c>
      <c r="F19" s="568">
        <f>'FACTORES DE CONVERSIÓN'!$B$187</f>
        <v>0.2</v>
      </c>
      <c r="G19" s="470">
        <f t="shared" si="2"/>
        <v>6609.200000000001</v>
      </c>
      <c r="H19" s="470">
        <f>'3C1 INFO BASE'!D23</f>
        <v>0</v>
      </c>
      <c r="I19" s="568">
        <f>'FACTORES DE CONVERSIÓN'!$B$188</f>
        <v>0.4</v>
      </c>
      <c r="J19" s="470">
        <f t="shared" si="3"/>
        <v>0</v>
      </c>
      <c r="K19" s="470">
        <f>'3C1 INFO BASE'!E23</f>
        <v>0</v>
      </c>
      <c r="L19" s="568">
        <f>'FACTORES DE CONVERSIÓN'!$B$189</f>
        <v>0.05</v>
      </c>
      <c r="M19" s="470">
        <f t="shared" si="4"/>
        <v>0</v>
      </c>
      <c r="N19" s="470">
        <f>'3C1 INFO BASE'!F23</f>
        <v>292</v>
      </c>
      <c r="O19" s="568">
        <f>'FACTORES DE CONVERSIÓN'!$B$190</f>
        <v>0.05</v>
      </c>
      <c r="P19" s="470">
        <f t="shared" si="5"/>
        <v>14.600000000000001</v>
      </c>
    </row>
    <row r="20" spans="1:16" ht="15">
      <c r="A20" s="141" t="s">
        <v>63</v>
      </c>
      <c r="B20" s="470">
        <f>+'3C1 INFO BASE'!B24</f>
        <v>0</v>
      </c>
      <c r="C20" s="568">
        <f>+'FACTORES DE CONVERSIÓN'!$B$186</f>
        <v>0.95</v>
      </c>
      <c r="D20" s="470">
        <f t="shared" si="1"/>
        <v>0</v>
      </c>
      <c r="E20" s="470">
        <f>'3C1 INFO BASE'!C24</f>
        <v>2559</v>
      </c>
      <c r="F20" s="568">
        <f>'FACTORES DE CONVERSIÓN'!$B$187</f>
        <v>0.2</v>
      </c>
      <c r="G20" s="470">
        <f t="shared" si="2"/>
        <v>511.8</v>
      </c>
      <c r="H20" s="470">
        <f>'3C1 INFO BASE'!D24</f>
        <v>0</v>
      </c>
      <c r="I20" s="568">
        <f>'FACTORES DE CONVERSIÓN'!$B$188</f>
        <v>0.4</v>
      </c>
      <c r="J20" s="470">
        <f t="shared" si="3"/>
        <v>0</v>
      </c>
      <c r="K20" s="470">
        <f>'3C1 INFO BASE'!E24</f>
        <v>0</v>
      </c>
      <c r="L20" s="568">
        <f>'FACTORES DE CONVERSIÓN'!$B$189</f>
        <v>0.05</v>
      </c>
      <c r="M20" s="470">
        <f t="shared" si="4"/>
        <v>0</v>
      </c>
      <c r="N20" s="470">
        <f>'3C1 INFO BASE'!F24</f>
        <v>34.5</v>
      </c>
      <c r="O20" s="568">
        <f>'FACTORES DE CONVERSIÓN'!$B$190</f>
        <v>0.05</v>
      </c>
      <c r="P20" s="470">
        <f t="shared" si="5"/>
        <v>1.725</v>
      </c>
    </row>
    <row r="21" spans="1:16" ht="15">
      <c r="A21" s="141" t="s">
        <v>64</v>
      </c>
      <c r="B21" s="470">
        <f>+'3C1 INFO BASE'!B25</f>
        <v>0</v>
      </c>
      <c r="C21" s="568">
        <f>+'FACTORES DE CONVERSIÓN'!$B$186</f>
        <v>0.95</v>
      </c>
      <c r="D21" s="470">
        <f t="shared" si="1"/>
        <v>0</v>
      </c>
      <c r="E21" s="470">
        <f>'3C1 INFO BASE'!C25</f>
        <v>0</v>
      </c>
      <c r="F21" s="568">
        <f>'FACTORES DE CONVERSIÓN'!$B$187</f>
        <v>0.2</v>
      </c>
      <c r="G21" s="470">
        <f t="shared" si="2"/>
        <v>0</v>
      </c>
      <c r="H21" s="470">
        <f>'3C1 INFO BASE'!D25</f>
        <v>0</v>
      </c>
      <c r="I21" s="568">
        <f>'FACTORES DE CONVERSIÓN'!$B$188</f>
        <v>0.4</v>
      </c>
      <c r="J21" s="470">
        <f t="shared" si="3"/>
        <v>0</v>
      </c>
      <c r="K21" s="470">
        <f>'3C1 INFO BASE'!E25</f>
        <v>417</v>
      </c>
      <c r="L21" s="568">
        <f>'FACTORES DE CONVERSIÓN'!$B$189</f>
        <v>0.05</v>
      </c>
      <c r="M21" s="470">
        <f t="shared" si="4"/>
        <v>20.85</v>
      </c>
      <c r="N21" s="470">
        <f>'3C1 INFO BASE'!F25</f>
        <v>10</v>
      </c>
      <c r="O21" s="568">
        <f>'FACTORES DE CONVERSIÓN'!$B$190</f>
        <v>0.05</v>
      </c>
      <c r="P21" s="470">
        <f t="shared" si="5"/>
        <v>0.5</v>
      </c>
    </row>
    <row r="22" spans="1:16" ht="15">
      <c r="A22" s="141" t="s">
        <v>65</v>
      </c>
      <c r="B22" s="470">
        <f>+'3C1 INFO BASE'!B26</f>
        <v>0</v>
      </c>
      <c r="C22" s="568">
        <f>+'FACTORES DE CONVERSIÓN'!$B$186</f>
        <v>0.95</v>
      </c>
      <c r="D22" s="470">
        <f t="shared" si="1"/>
        <v>0</v>
      </c>
      <c r="E22" s="470">
        <f>'3C1 INFO BASE'!C26</f>
        <v>2777</v>
      </c>
      <c r="F22" s="568">
        <f>'FACTORES DE CONVERSIÓN'!$B$187</f>
        <v>0.2</v>
      </c>
      <c r="G22" s="470">
        <f t="shared" si="2"/>
        <v>555.4</v>
      </c>
      <c r="H22" s="470">
        <f>'3C1 INFO BASE'!D26</f>
        <v>0</v>
      </c>
      <c r="I22" s="568">
        <f>'FACTORES DE CONVERSIÓN'!$B$188</f>
        <v>0.4</v>
      </c>
      <c r="J22" s="470">
        <f t="shared" si="3"/>
        <v>0</v>
      </c>
      <c r="K22" s="470">
        <f>'3C1 INFO BASE'!E26</f>
        <v>0</v>
      </c>
      <c r="L22" s="568">
        <f>'FACTORES DE CONVERSIÓN'!$B$189</f>
        <v>0.05</v>
      </c>
      <c r="M22" s="470">
        <f t="shared" si="4"/>
        <v>0</v>
      </c>
      <c r="N22" s="470">
        <f>'3C1 INFO BASE'!F26</f>
        <v>6</v>
      </c>
      <c r="O22" s="568">
        <f>'FACTORES DE CONVERSIÓN'!$B$190</f>
        <v>0.05</v>
      </c>
      <c r="P22" s="470">
        <f t="shared" si="5"/>
        <v>0.30000000000000004</v>
      </c>
    </row>
    <row r="23" spans="1:16" ht="15">
      <c r="A23" s="141" t="s">
        <v>66</v>
      </c>
      <c r="B23" s="470">
        <f>+'3C1 INFO BASE'!B27</f>
        <v>0</v>
      </c>
      <c r="C23" s="568">
        <f>+'FACTORES DE CONVERSIÓN'!$B$186</f>
        <v>0.95</v>
      </c>
      <c r="D23" s="470">
        <f t="shared" si="1"/>
        <v>0</v>
      </c>
      <c r="E23" s="470">
        <f>'3C1 INFO BASE'!C27</f>
        <v>67373</v>
      </c>
      <c r="F23" s="568">
        <f>'FACTORES DE CONVERSIÓN'!$B$187</f>
        <v>0.2</v>
      </c>
      <c r="G23" s="470">
        <f t="shared" si="2"/>
        <v>13474.6</v>
      </c>
      <c r="H23" s="470">
        <f>'3C1 INFO BASE'!D27</f>
        <v>373</v>
      </c>
      <c r="I23" s="568">
        <f>'FACTORES DE CONVERSIÓN'!$B$188</f>
        <v>0.4</v>
      </c>
      <c r="J23" s="470">
        <f t="shared" si="3"/>
        <v>149.20000000000002</v>
      </c>
      <c r="K23" s="470">
        <f>'3C1 INFO BASE'!E27</f>
        <v>5809</v>
      </c>
      <c r="L23" s="568">
        <f>'FACTORES DE CONVERSIÓN'!$B$189</f>
        <v>0.05</v>
      </c>
      <c r="M23" s="470">
        <f t="shared" si="4"/>
        <v>290.45</v>
      </c>
      <c r="N23" s="470">
        <f>'3C1 INFO BASE'!F27</f>
        <v>13376</v>
      </c>
      <c r="O23" s="568">
        <f>'FACTORES DE CONVERSIÓN'!$B$190</f>
        <v>0.05</v>
      </c>
      <c r="P23" s="470">
        <f t="shared" si="5"/>
        <v>668.8000000000001</v>
      </c>
    </row>
    <row r="24" spans="1:16" ht="15">
      <c r="A24" s="141" t="s">
        <v>67</v>
      </c>
      <c r="B24" s="470">
        <f>+'3C1 INFO BASE'!B28</f>
        <v>0</v>
      </c>
      <c r="C24" s="568">
        <f>+'FACTORES DE CONVERSIÓN'!$B$186</f>
        <v>0.95</v>
      </c>
      <c r="D24" s="470">
        <f t="shared" si="1"/>
        <v>0</v>
      </c>
      <c r="E24" s="470">
        <f>'3C1 INFO BASE'!C28</f>
        <v>283</v>
      </c>
      <c r="F24" s="568">
        <f>'FACTORES DE CONVERSIÓN'!$B$187</f>
        <v>0.2</v>
      </c>
      <c r="G24" s="470">
        <f t="shared" si="2"/>
        <v>56.6</v>
      </c>
      <c r="H24" s="470">
        <f>'3C1 INFO BASE'!D28</f>
        <v>0</v>
      </c>
      <c r="I24" s="568">
        <f>'FACTORES DE CONVERSIÓN'!$B$188</f>
        <v>0.4</v>
      </c>
      <c r="J24" s="470">
        <f t="shared" si="3"/>
        <v>0</v>
      </c>
      <c r="K24" s="470">
        <f>'3C1 INFO BASE'!E28</f>
        <v>0</v>
      </c>
      <c r="L24" s="568">
        <f>'FACTORES DE CONVERSIÓN'!$B$189</f>
        <v>0.05</v>
      </c>
      <c r="M24" s="470">
        <f t="shared" si="4"/>
        <v>0</v>
      </c>
      <c r="N24" s="470">
        <f>'3C1 INFO BASE'!F28</f>
        <v>0</v>
      </c>
      <c r="O24" s="568">
        <f>'FACTORES DE CONVERSIÓN'!$B$190</f>
        <v>0.05</v>
      </c>
      <c r="P24" s="470">
        <f t="shared" si="5"/>
        <v>0</v>
      </c>
    </row>
    <row r="25" spans="1:16" ht="15">
      <c r="A25" s="141" t="s">
        <v>68</v>
      </c>
      <c r="B25" s="470">
        <f>+'3C1 INFO BASE'!B29</f>
        <v>0</v>
      </c>
      <c r="C25" s="568">
        <f>+'FACTORES DE CONVERSIÓN'!$B$186</f>
        <v>0.95</v>
      </c>
      <c r="D25" s="470">
        <f t="shared" si="1"/>
        <v>0</v>
      </c>
      <c r="E25" s="470">
        <f>'3C1 INFO BASE'!C29</f>
        <v>101255</v>
      </c>
      <c r="F25" s="568">
        <f>'FACTORES DE CONVERSIÓN'!$B$187</f>
        <v>0.2</v>
      </c>
      <c r="G25" s="470">
        <f t="shared" si="2"/>
        <v>20251</v>
      </c>
      <c r="H25" s="470">
        <f>'3C1 INFO BASE'!D29</f>
        <v>105</v>
      </c>
      <c r="I25" s="568">
        <f>'FACTORES DE CONVERSIÓN'!$B$188</f>
        <v>0.4</v>
      </c>
      <c r="J25" s="470">
        <f t="shared" si="3"/>
        <v>42</v>
      </c>
      <c r="K25" s="470">
        <f>'3C1 INFO BASE'!E29</f>
        <v>138.5</v>
      </c>
      <c r="L25" s="568">
        <f>'FACTORES DE CONVERSIÓN'!$B$189</f>
        <v>0.05</v>
      </c>
      <c r="M25" s="470">
        <f t="shared" si="4"/>
        <v>6.925000000000001</v>
      </c>
      <c r="N25" s="470">
        <f>'3C1 INFO BASE'!F29</f>
        <v>90</v>
      </c>
      <c r="O25" s="568">
        <f>'FACTORES DE CONVERSIÓN'!$B$190</f>
        <v>0.05</v>
      </c>
      <c r="P25" s="470">
        <f t="shared" si="5"/>
        <v>4.5</v>
      </c>
    </row>
    <row r="26" spans="1:16" ht="15">
      <c r="A26" s="141" t="s">
        <v>69</v>
      </c>
      <c r="B26" s="470">
        <f>+'3C1 INFO BASE'!B30</f>
        <v>0</v>
      </c>
      <c r="C26" s="568">
        <f>+'FACTORES DE CONVERSIÓN'!$B$186</f>
        <v>0.95</v>
      </c>
      <c r="D26" s="470">
        <f t="shared" si="1"/>
        <v>0</v>
      </c>
      <c r="E26" s="470">
        <f>'3C1 INFO BASE'!C30</f>
        <v>0</v>
      </c>
      <c r="F26" s="568">
        <f>'FACTORES DE CONVERSIÓN'!$B$187</f>
        <v>0.2</v>
      </c>
      <c r="G26" s="470">
        <f t="shared" si="2"/>
        <v>0</v>
      </c>
      <c r="H26" s="470">
        <f>'3C1 INFO BASE'!D30</f>
        <v>0</v>
      </c>
      <c r="I26" s="568">
        <f>'FACTORES DE CONVERSIÓN'!$B$188</f>
        <v>0.4</v>
      </c>
      <c r="J26" s="470">
        <f t="shared" si="3"/>
        <v>0</v>
      </c>
      <c r="K26" s="470">
        <f>'3C1 INFO BASE'!E30</f>
        <v>601</v>
      </c>
      <c r="L26" s="568">
        <f>'FACTORES DE CONVERSIÓN'!$B$189</f>
        <v>0.05</v>
      </c>
      <c r="M26" s="470">
        <f t="shared" si="4"/>
        <v>30.05</v>
      </c>
      <c r="N26" s="470">
        <f>'3C1 INFO BASE'!F30</f>
        <v>0</v>
      </c>
      <c r="O26" s="568">
        <f>'FACTORES DE CONVERSIÓN'!$B$190</f>
        <v>0.05</v>
      </c>
      <c r="P26" s="470">
        <f t="shared" si="5"/>
        <v>0</v>
      </c>
    </row>
    <row r="27" spans="1:16" ht="15">
      <c r="A27" s="141" t="s">
        <v>70</v>
      </c>
      <c r="B27" s="470">
        <f>+'3C1 INFO BASE'!B31</f>
        <v>0</v>
      </c>
      <c r="C27" s="568">
        <f>+'FACTORES DE CONVERSIÓN'!$B$186</f>
        <v>0.95</v>
      </c>
      <c r="D27" s="470">
        <f t="shared" si="1"/>
        <v>0</v>
      </c>
      <c r="E27" s="470">
        <f>'3C1 INFO BASE'!C31</f>
        <v>14654</v>
      </c>
      <c r="F27" s="568">
        <f>'FACTORES DE CONVERSIÓN'!$B$187</f>
        <v>0.2</v>
      </c>
      <c r="G27" s="470">
        <f t="shared" si="2"/>
        <v>2930.8</v>
      </c>
      <c r="H27" s="470">
        <f>'3C1 INFO BASE'!D31</f>
        <v>0</v>
      </c>
      <c r="I27" s="568">
        <f>'FACTORES DE CONVERSIÓN'!$B$188</f>
        <v>0.4</v>
      </c>
      <c r="J27" s="470">
        <f t="shared" si="3"/>
        <v>0</v>
      </c>
      <c r="K27" s="470">
        <f>'3C1 INFO BASE'!E31</f>
        <v>13.5</v>
      </c>
      <c r="L27" s="568">
        <f>'FACTORES DE CONVERSIÓN'!$B$189</f>
        <v>0.05</v>
      </c>
      <c r="M27" s="470">
        <f t="shared" si="4"/>
        <v>0.675</v>
      </c>
      <c r="N27" s="470">
        <f>'3C1 INFO BASE'!F31</f>
        <v>70.83</v>
      </c>
      <c r="O27" s="568">
        <f>'FACTORES DE CONVERSIÓN'!$B$190</f>
        <v>0.05</v>
      </c>
      <c r="P27" s="470">
        <f t="shared" si="5"/>
        <v>3.5415</v>
      </c>
    </row>
    <row r="28" spans="1:16" ht="15">
      <c r="A28" s="141" t="s">
        <v>71</v>
      </c>
      <c r="B28" s="470">
        <f>+'3C1 INFO BASE'!B32</f>
        <v>0</v>
      </c>
      <c r="C28" s="568">
        <f>+'FACTORES DE CONVERSIÓN'!$B$186</f>
        <v>0.95</v>
      </c>
      <c r="D28" s="470">
        <f t="shared" si="1"/>
        <v>0</v>
      </c>
      <c r="E28" s="470">
        <f>'3C1 INFO BASE'!C32</f>
        <v>9821</v>
      </c>
      <c r="F28" s="568">
        <f>'FACTORES DE CONVERSIÓN'!$B$187</f>
        <v>0.2</v>
      </c>
      <c r="G28" s="470">
        <f t="shared" si="2"/>
        <v>1964.2</v>
      </c>
      <c r="H28" s="470">
        <f>'3C1 INFO BASE'!D32</f>
        <v>89</v>
      </c>
      <c r="I28" s="568">
        <f>'FACTORES DE CONVERSIÓN'!$B$188</f>
        <v>0.4</v>
      </c>
      <c r="J28" s="470">
        <f t="shared" si="3"/>
        <v>35.6</v>
      </c>
      <c r="K28" s="470">
        <f>'3C1 INFO BASE'!E32</f>
        <v>0</v>
      </c>
      <c r="L28" s="568">
        <f>'FACTORES DE CONVERSIÓN'!$B$189</f>
        <v>0.05</v>
      </c>
      <c r="M28" s="470">
        <f t="shared" si="4"/>
        <v>0</v>
      </c>
      <c r="N28" s="470">
        <f>'3C1 INFO BASE'!F32</f>
        <v>504.07</v>
      </c>
      <c r="O28" s="568">
        <f>'FACTORES DE CONVERSIÓN'!$B$190</f>
        <v>0.05</v>
      </c>
      <c r="P28" s="470">
        <f t="shared" si="5"/>
        <v>25.203500000000002</v>
      </c>
    </row>
    <row r="29" ht="12.75"/>
    <row r="30" ht="12.75">
      <c r="A30" s="147" t="s">
        <v>1029</v>
      </c>
    </row>
    <row r="31" spans="1:18" ht="66" customHeight="1">
      <c r="A31" s="570" t="s">
        <v>1058</v>
      </c>
      <c r="B31" s="570" t="s">
        <v>1057</v>
      </c>
      <c r="C31" s="570" t="s">
        <v>1043</v>
      </c>
      <c r="D31" s="570" t="s">
        <v>1056</v>
      </c>
      <c r="E31" s="303" t="s">
        <v>1066</v>
      </c>
      <c r="F31" s="303" t="s">
        <v>387</v>
      </c>
      <c r="G31" s="570" t="s">
        <v>1067</v>
      </c>
      <c r="H31" s="570" t="s">
        <v>473</v>
      </c>
      <c r="I31" s="201" t="s">
        <v>1068</v>
      </c>
      <c r="L31" s="508" t="s">
        <v>989</v>
      </c>
      <c r="M31" s="6"/>
      <c r="N31" s="6"/>
      <c r="O31" s="6"/>
      <c r="P31" s="6"/>
      <c r="Q31" s="6"/>
      <c r="R31" s="103"/>
    </row>
    <row r="32" spans="1:18" ht="25.5">
      <c r="A32" s="545" t="s">
        <v>365</v>
      </c>
      <c r="B32" s="576"/>
      <c r="C32" s="576"/>
      <c r="D32" s="577"/>
      <c r="E32" s="576"/>
      <c r="F32" s="576"/>
      <c r="G32" s="577"/>
      <c r="H32" s="577"/>
      <c r="I32" s="545">
        <f>'FACTORES DE CONVERSIÓN'!C202</f>
        <v>6.5</v>
      </c>
      <c r="L32" s="508"/>
      <c r="M32" s="6"/>
      <c r="N32" s="6"/>
      <c r="O32" s="6"/>
      <c r="P32" s="6"/>
      <c r="Q32" s="6"/>
      <c r="R32" s="103"/>
    </row>
    <row r="33" spans="1:18" ht="25.5">
      <c r="A33" s="545" t="s">
        <v>303</v>
      </c>
      <c r="B33" s="576"/>
      <c r="C33" s="576"/>
      <c r="D33" s="577"/>
      <c r="E33" s="576"/>
      <c r="F33" s="576"/>
      <c r="G33" s="577"/>
      <c r="H33" s="577"/>
      <c r="I33" s="545">
        <f>'FACTORES DE CONVERSIÓN'!C201</f>
        <v>5.5</v>
      </c>
      <c r="L33" s="508"/>
      <c r="M33" s="6"/>
      <c r="N33" s="6"/>
      <c r="O33" s="6"/>
      <c r="P33" s="6"/>
      <c r="Q33" s="6"/>
      <c r="R33" s="103"/>
    </row>
    <row r="34" spans="1:18" ht="15" customHeight="1">
      <c r="A34" s="545" t="s">
        <v>310</v>
      </c>
      <c r="B34" s="545">
        <f>'3C1 INFO BASE'!$B$41</f>
        <v>45358</v>
      </c>
      <c r="C34" s="545">
        <f>'3C1 INFO BASE'!D8</f>
        <v>18099</v>
      </c>
      <c r="D34" s="546">
        <f>'FACTORES DE CONVERSIÓN'!$A$206</f>
        <v>0.25</v>
      </c>
      <c r="E34" s="217">
        <f>B34/C34*D34</f>
        <v>0.6265263274214045</v>
      </c>
      <c r="F34" s="545">
        <f>'FACTORES DE CONVERSIÓN'!B268</f>
        <v>0.94</v>
      </c>
      <c r="G34" s="217">
        <f>E34*F34</f>
        <v>0.5889347477761202</v>
      </c>
      <c r="H34" s="546">
        <f>'FACTORES DE CONVERSIÓN'!B188</f>
        <v>0.4</v>
      </c>
      <c r="I34" s="578">
        <f>G34*H34</f>
        <v>0.2355738991104481</v>
      </c>
      <c r="L34" s="6"/>
      <c r="M34" s="6"/>
      <c r="N34" s="6"/>
      <c r="O34" s="6"/>
      <c r="P34" s="6"/>
      <c r="Q34" s="6"/>
      <c r="R34" s="103"/>
    </row>
    <row r="35" spans="1:18" ht="15" customHeight="1">
      <c r="A35" s="545" t="s">
        <v>1032</v>
      </c>
      <c r="B35" s="545">
        <f>'3C1 INFO BASE'!C41</f>
        <v>689957.308</v>
      </c>
      <c r="C35" s="545">
        <f>'3C1 INFO BASE'!E8</f>
        <v>27945.818</v>
      </c>
      <c r="D35" s="546">
        <f>'FACTORES DE CONVERSIÓN'!$A$206</f>
        <v>0.25</v>
      </c>
      <c r="E35" s="217">
        <f>B35/C35*D35</f>
        <v>6.1722769038286875</v>
      </c>
      <c r="F35" s="545">
        <f>'FACTORES DE CONVERSIÓN'!B292</f>
        <v>0.94</v>
      </c>
      <c r="G35" s="217">
        <f>E35*F35</f>
        <v>5.801940289598966</v>
      </c>
      <c r="H35" s="546">
        <f>'FACTORES DE CONVERSIÓN'!B189</f>
        <v>0.05</v>
      </c>
      <c r="I35" s="578">
        <f>G35*H35</f>
        <v>0.29009701447994835</v>
      </c>
      <c r="Q35" s="103"/>
      <c r="R35" s="103"/>
    </row>
    <row r="36" spans="1:17" ht="15" customHeight="1">
      <c r="A36" s="545" t="s">
        <v>1033</v>
      </c>
      <c r="B36" s="545">
        <f>'3C1 INFO BASE'!D41</f>
        <v>373519.86799999996</v>
      </c>
      <c r="C36" s="545">
        <f>'3C1 INFO BASE'!F8</f>
        <v>22091.99</v>
      </c>
      <c r="D36" s="546">
        <f>'FACTORES DE CONVERSIÓN'!$A$206</f>
        <v>0.25</v>
      </c>
      <c r="E36" s="217">
        <f>B36/C36*D36</f>
        <v>4.226869874556343</v>
      </c>
      <c r="F36" s="545">
        <f>'FACTORES DE CONVERSIÓN'!B293</f>
        <v>0.94</v>
      </c>
      <c r="G36" s="217">
        <f>E36*F36</f>
        <v>3.973257682082962</v>
      </c>
      <c r="H36" s="546">
        <f>'FACTORES DE CONVERSIÓN'!B190</f>
        <v>0.05</v>
      </c>
      <c r="I36" s="578">
        <f>G36*H36</f>
        <v>0.19866288410414812</v>
      </c>
      <c r="N36"/>
      <c r="O36"/>
      <c r="P36"/>
      <c r="Q36" s="103"/>
    </row>
    <row r="37" spans="11:13" ht="15">
      <c r="K37"/>
      <c r="L37"/>
      <c r="M37"/>
    </row>
    <row r="38" ht="15" customHeight="1">
      <c r="A38" s="147" t="s">
        <v>1101</v>
      </c>
    </row>
    <row r="39" spans="1:11" ht="25.5">
      <c r="A39" s="138" t="s">
        <v>41</v>
      </c>
      <c r="B39" s="138" t="s">
        <v>1102</v>
      </c>
      <c r="C39" s="138" t="s">
        <v>473</v>
      </c>
      <c r="D39" s="201" t="s">
        <v>628</v>
      </c>
      <c r="F39" s="508" t="s">
        <v>989</v>
      </c>
      <c r="G39" s="6"/>
      <c r="H39" s="6"/>
      <c r="I39" s="6"/>
      <c r="J39" s="6"/>
      <c r="K39" s="6"/>
    </row>
    <row r="40" spans="1:11" ht="12.75">
      <c r="A40" s="473" t="s">
        <v>933</v>
      </c>
      <c r="B40" s="477"/>
      <c r="C40" s="474"/>
      <c r="D40" s="199">
        <f>SUM(D41,D45)</f>
        <v>7609128.185879999</v>
      </c>
      <c r="F40" s="6"/>
      <c r="G40" s="6"/>
      <c r="H40" s="6"/>
      <c r="I40" s="6"/>
      <c r="J40" s="6"/>
      <c r="K40" s="6"/>
    </row>
    <row r="41" spans="1:11" ht="51">
      <c r="A41" s="475" t="s">
        <v>931</v>
      </c>
      <c r="B41" s="472"/>
      <c r="C41" s="471"/>
      <c r="D41" s="472">
        <f>SUM(D42:D44)</f>
        <v>7609128.185879999</v>
      </c>
      <c r="F41" s="6"/>
      <c r="G41" s="6"/>
      <c r="H41" s="6"/>
      <c r="I41" s="6"/>
      <c r="J41" s="6"/>
      <c r="K41" s="6"/>
    </row>
    <row r="42" spans="1:11" ht="12.75">
      <c r="A42" s="476" t="s">
        <v>928</v>
      </c>
      <c r="B42" s="470">
        <f>'3C1 INFO BASE'!B75</f>
        <v>5302557.269999996</v>
      </c>
      <c r="C42" s="202">
        <f>'FACTORES DE CONVERSIÓN'!$B$194</f>
        <v>0.204</v>
      </c>
      <c r="D42" s="200">
        <f aca="true" t="shared" si="6" ref="D42:D48">+B42*C42</f>
        <v>1081721.6830799992</v>
      </c>
      <c r="F42" s="6"/>
      <c r="G42" s="6"/>
      <c r="H42" s="6"/>
      <c r="I42" s="6"/>
      <c r="J42" s="6"/>
      <c r="K42" s="6"/>
    </row>
    <row r="43" spans="1:11" ht="15">
      <c r="A43" s="476" t="s">
        <v>929</v>
      </c>
      <c r="B43" s="470">
        <f>'3C1 INFO BASE'!B76</f>
        <v>29135051.82</v>
      </c>
      <c r="C43" s="202">
        <f>'FACTORES DE CONVERSIÓN'!$B$194</f>
        <v>0.204</v>
      </c>
      <c r="D43" s="200">
        <f t="shared" si="6"/>
        <v>5943550.57128</v>
      </c>
      <c r="F43" s="6"/>
      <c r="G43" s="6"/>
      <c r="H43" s="6"/>
      <c r="I43" s="6"/>
      <c r="J43" s="6"/>
      <c r="K43" s="6"/>
    </row>
    <row r="44" spans="1:11" ht="15">
      <c r="A44" s="476" t="s">
        <v>930</v>
      </c>
      <c r="B44" s="470">
        <f>'3C1 INFO BASE'!B77</f>
        <v>2862038.88</v>
      </c>
      <c r="C44" s="202">
        <f>'FACTORES DE CONVERSIÓN'!$B$194</f>
        <v>0.204</v>
      </c>
      <c r="D44" s="200">
        <f t="shared" si="6"/>
        <v>583855.93152</v>
      </c>
      <c r="F44" s="6"/>
      <c r="G44" s="6"/>
      <c r="H44" s="6"/>
      <c r="I44" s="6"/>
      <c r="J44" s="6"/>
      <c r="K44" s="6"/>
    </row>
    <row r="45" spans="1:4" ht="38.25">
      <c r="A45" s="475" t="s">
        <v>932</v>
      </c>
      <c r="B45" s="472"/>
      <c r="C45" s="471"/>
      <c r="D45" s="472">
        <f>SUM(D46:D48)</f>
        <v>0</v>
      </c>
    </row>
    <row r="46" spans="1:4" ht="15">
      <c r="A46" s="476" t="s">
        <v>928</v>
      </c>
      <c r="B46" s="470">
        <f>'3C1 INFO BASE'!C75</f>
        <v>100315.89000000525</v>
      </c>
      <c r="C46" s="202">
        <v>0</v>
      </c>
      <c r="D46" s="200">
        <f t="shared" si="6"/>
        <v>0</v>
      </c>
    </row>
    <row r="47" spans="1:4" ht="15">
      <c r="A47" s="476" t="s">
        <v>929</v>
      </c>
      <c r="B47" s="470">
        <f>'3C1 INFO BASE'!C76</f>
        <v>24223.859999999404</v>
      </c>
      <c r="C47" s="202">
        <v>0</v>
      </c>
      <c r="D47" s="200">
        <f t="shared" si="6"/>
        <v>0</v>
      </c>
    </row>
    <row r="48" spans="1:4" ht="15">
      <c r="A48" s="476" t="s">
        <v>930</v>
      </c>
      <c r="B48" s="470">
        <f>'3C1 INFO BASE'!C77</f>
        <v>20084.310000000056</v>
      </c>
      <c r="C48" s="202">
        <v>0</v>
      </c>
      <c r="D48" s="200">
        <f t="shared" si="6"/>
        <v>0</v>
      </c>
    </row>
  </sheetData>
  <mergeCells count="6">
    <mergeCell ref="N2:P2"/>
    <mergeCell ref="A2:A3"/>
    <mergeCell ref="B2:D2"/>
    <mergeCell ref="E2:G2"/>
    <mergeCell ref="H2:J2"/>
    <mergeCell ref="K2:M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336699"/>
  </sheetPr>
  <dimension ref="A1:N9"/>
  <sheetViews>
    <sheetView workbookViewId="0" topLeftCell="A1">
      <selection activeCell="G14" sqref="G14"/>
    </sheetView>
  </sheetViews>
  <sheetFormatPr defaultColWidth="10.8515625" defaultRowHeight="15"/>
  <cols>
    <col min="1" max="1" width="25.57421875" style="103" bestFit="1" customWidth="1"/>
    <col min="2" max="7" width="10.8515625" style="103" customWidth="1"/>
  </cols>
  <sheetData>
    <row r="1" ht="12.75">
      <c r="A1" s="147" t="s">
        <v>224</v>
      </c>
    </row>
    <row r="2" spans="1:14" ht="25.5">
      <c r="A2" s="105">
        <v>2016</v>
      </c>
      <c r="B2" s="105" t="s">
        <v>223</v>
      </c>
      <c r="E2" s="508" t="s">
        <v>989</v>
      </c>
      <c r="F2" s="6"/>
      <c r="G2" s="6"/>
      <c r="H2" s="6"/>
      <c r="I2" s="6"/>
      <c r="J2" s="6"/>
      <c r="K2" s="103"/>
      <c r="L2" s="103"/>
      <c r="M2" s="103"/>
      <c r="N2" s="103"/>
    </row>
    <row r="3" spans="1:14" ht="12.75">
      <c r="A3" s="108" t="s">
        <v>227</v>
      </c>
      <c r="B3" s="109" t="str">
        <f>'3C2 INFO BASE'!B8</f>
        <v>NE</v>
      </c>
      <c r="E3" s="6"/>
      <c r="F3" s="6"/>
      <c r="G3" s="6"/>
      <c r="H3" s="6"/>
      <c r="I3" s="6"/>
      <c r="J3" s="6"/>
      <c r="K3" s="103"/>
      <c r="L3" s="103"/>
      <c r="M3" s="103"/>
      <c r="N3" s="103"/>
    </row>
    <row r="4" spans="1:14" ht="12.75">
      <c r="A4" s="108" t="s">
        <v>228</v>
      </c>
      <c r="B4" s="109" t="str">
        <f>'3C2 INFO BASE'!B18</f>
        <v>NE</v>
      </c>
      <c r="E4" s="6"/>
      <c r="F4" s="6"/>
      <c r="G4" s="6"/>
      <c r="H4" s="6"/>
      <c r="I4" s="6"/>
      <c r="J4" s="6"/>
      <c r="K4" s="103"/>
      <c r="L4" s="103"/>
      <c r="M4" s="103"/>
      <c r="N4" s="103"/>
    </row>
    <row r="5" spans="1:14" ht="12.75">
      <c r="A5" s="147" t="s">
        <v>569</v>
      </c>
      <c r="E5" s="6"/>
      <c r="F5" s="6"/>
      <c r="G5" s="6"/>
      <c r="H5" s="6"/>
      <c r="I5" s="6"/>
      <c r="J5" s="6"/>
      <c r="K5" s="103"/>
      <c r="L5" s="103"/>
      <c r="M5" s="103"/>
      <c r="N5" s="103"/>
    </row>
    <row r="6" spans="5:14" ht="15">
      <c r="E6" s="6"/>
      <c r="F6" s="6"/>
      <c r="G6" s="6"/>
      <c r="H6" s="6"/>
      <c r="I6" s="6"/>
      <c r="J6" s="6"/>
      <c r="K6" s="103"/>
      <c r="L6" s="103"/>
      <c r="M6" s="103"/>
      <c r="N6" s="103"/>
    </row>
    <row r="7" spans="5:14" ht="15">
      <c r="E7" s="6"/>
      <c r="F7" s="6"/>
      <c r="G7" s="6"/>
      <c r="H7" s="6"/>
      <c r="I7" s="6"/>
      <c r="J7" s="6"/>
      <c r="K7" s="103"/>
      <c r="L7" s="103"/>
      <c r="M7" s="103"/>
      <c r="N7" s="103"/>
    </row>
    <row r="8" spans="5:14" ht="15">
      <c r="E8" s="6"/>
      <c r="F8" s="6"/>
      <c r="G8" s="6"/>
      <c r="H8" s="6"/>
      <c r="I8" s="6"/>
      <c r="J8" s="6"/>
      <c r="K8" s="103"/>
      <c r="L8" s="103"/>
      <c r="M8" s="103"/>
      <c r="N8" s="103"/>
    </row>
    <row r="9" spans="8:14" ht="15">
      <c r="H9" s="103"/>
      <c r="I9" s="103"/>
      <c r="J9" s="103"/>
      <c r="K9" s="103"/>
      <c r="L9" s="103"/>
      <c r="M9" s="103"/>
      <c r="N9" s="103"/>
    </row>
  </sheetData>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36699"/>
  </sheetPr>
  <dimension ref="A1:M10"/>
  <sheetViews>
    <sheetView workbookViewId="0" topLeftCell="A1"/>
  </sheetViews>
  <sheetFormatPr defaultColWidth="10.8515625" defaultRowHeight="15"/>
  <cols>
    <col min="1" max="4" width="10.8515625" style="103" customWidth="1"/>
  </cols>
  <sheetData>
    <row r="1" spans="1:3" ht="12.75">
      <c r="A1" s="203" t="s">
        <v>232</v>
      </c>
      <c r="B1" s="151"/>
      <c r="C1" s="151"/>
    </row>
    <row r="2" spans="1:13" ht="25.5">
      <c r="A2" s="105">
        <v>2016</v>
      </c>
      <c r="B2" s="105" t="s">
        <v>223</v>
      </c>
      <c r="D2" s="508" t="s">
        <v>989</v>
      </c>
      <c r="E2" s="6"/>
      <c r="F2" s="6"/>
      <c r="G2" s="6"/>
      <c r="H2" s="6"/>
      <c r="I2" s="6"/>
      <c r="J2" s="103"/>
      <c r="K2" s="103"/>
      <c r="L2" s="103"/>
      <c r="M2" s="103"/>
    </row>
    <row r="3" spans="1:13" ht="12.75">
      <c r="A3" s="108" t="s">
        <v>231</v>
      </c>
      <c r="B3" s="109">
        <f>'3C3 INFO BASE'!B8</f>
        <v>358008.424395</v>
      </c>
      <c r="D3" s="6"/>
      <c r="E3" s="6"/>
      <c r="F3" s="6"/>
      <c r="G3" s="6"/>
      <c r="H3" s="6"/>
      <c r="I3" s="6"/>
      <c r="J3" s="103"/>
      <c r="K3" s="103"/>
      <c r="L3" s="103"/>
      <c r="M3" s="103"/>
    </row>
    <row r="4" spans="4:13" ht="12.75">
      <c r="D4" s="6"/>
      <c r="E4" s="6"/>
      <c r="F4" s="6"/>
      <c r="G4" s="6"/>
      <c r="H4" s="6"/>
      <c r="I4" s="6"/>
      <c r="J4" s="103"/>
      <c r="K4" s="103"/>
      <c r="L4" s="103"/>
      <c r="M4" s="103"/>
    </row>
    <row r="5" spans="4:13" ht="15">
      <c r="D5" s="6"/>
      <c r="E5" s="6"/>
      <c r="F5" s="6"/>
      <c r="G5" s="6"/>
      <c r="H5" s="6"/>
      <c r="I5" s="6"/>
      <c r="J5" s="103"/>
      <c r="K5" s="103"/>
      <c r="L5" s="103"/>
      <c r="M5" s="103"/>
    </row>
    <row r="6" spans="4:13" ht="15">
      <c r="D6" s="6"/>
      <c r="E6" s="6"/>
      <c r="F6" s="6"/>
      <c r="G6" s="6"/>
      <c r="H6" s="6"/>
      <c r="I6" s="6"/>
      <c r="J6" s="103"/>
      <c r="K6" s="103"/>
      <c r="L6" s="103"/>
      <c r="M6" s="103"/>
    </row>
    <row r="7" spans="4:13" ht="15">
      <c r="D7" s="6"/>
      <c r="E7" s="6"/>
      <c r="F7" s="6"/>
      <c r="G7" s="6"/>
      <c r="H7" s="6"/>
      <c r="I7" s="6"/>
      <c r="J7" s="103"/>
      <c r="K7" s="103"/>
      <c r="L7" s="103"/>
      <c r="M7" s="103"/>
    </row>
    <row r="8" spans="4:13" ht="15">
      <c r="D8" s="6"/>
      <c r="E8" s="6"/>
      <c r="F8" s="6"/>
      <c r="G8" s="6"/>
      <c r="H8" s="6"/>
      <c r="I8" s="6"/>
      <c r="J8" s="103"/>
      <c r="K8" s="103"/>
      <c r="L8" s="103"/>
      <c r="M8" s="103"/>
    </row>
    <row r="9" spans="5:13" ht="15">
      <c r="E9" s="103"/>
      <c r="F9" s="103"/>
      <c r="G9" s="103"/>
      <c r="H9" s="103"/>
      <c r="I9" s="103"/>
      <c r="J9" s="103"/>
      <c r="K9" s="103"/>
      <c r="L9" s="103"/>
      <c r="M9" s="103"/>
    </row>
    <row r="10" ht="15">
      <c r="D10"/>
    </row>
  </sheetData>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36699"/>
  </sheetPr>
  <dimension ref="A1:BC198"/>
  <sheetViews>
    <sheetView workbookViewId="0" topLeftCell="C163">
      <selection activeCell="M191" sqref="M191"/>
    </sheetView>
  </sheetViews>
  <sheetFormatPr defaultColWidth="10.8515625" defaultRowHeight="15"/>
  <cols>
    <col min="1" max="1" width="27.57421875" style="103" bestFit="1" customWidth="1"/>
    <col min="2" max="2" width="15.8515625" style="103" bestFit="1" customWidth="1"/>
    <col min="3" max="3" width="18.7109375" style="103" bestFit="1" customWidth="1"/>
    <col min="4" max="4" width="17.28125" style="103" bestFit="1" customWidth="1"/>
    <col min="5" max="5" width="13.28125" style="103" bestFit="1" customWidth="1"/>
    <col min="6" max="6" width="13.7109375" style="103" bestFit="1" customWidth="1"/>
    <col min="7" max="7" width="18.140625" style="103" bestFit="1" customWidth="1"/>
    <col min="8" max="8" width="11.57421875" style="103" bestFit="1" customWidth="1"/>
    <col min="9" max="9" width="13.57421875" style="103" bestFit="1" customWidth="1"/>
    <col min="10" max="12" width="11.57421875" style="103" bestFit="1" customWidth="1"/>
    <col min="13" max="15" width="10.8515625" style="103" customWidth="1"/>
    <col min="16" max="16" width="16.28125" style="103" bestFit="1" customWidth="1"/>
    <col min="17" max="18" width="13.7109375" style="103" bestFit="1" customWidth="1"/>
    <col min="19" max="55" width="10.8515625" style="103" customWidth="1"/>
  </cols>
  <sheetData>
    <row r="1" spans="1:2" ht="15">
      <c r="A1" s="203" t="s">
        <v>258</v>
      </c>
      <c r="B1" s="203"/>
    </row>
    <row r="2" spans="1:9" ht="39">
      <c r="A2" s="105" t="s">
        <v>248</v>
      </c>
      <c r="B2" s="105" t="s">
        <v>994</v>
      </c>
      <c r="C2" s="204"/>
      <c r="D2" s="508" t="s">
        <v>989</v>
      </c>
      <c r="E2" s="6"/>
      <c r="F2" s="6"/>
      <c r="G2" s="6"/>
      <c r="H2" s="6"/>
      <c r="I2" s="6"/>
    </row>
    <row r="3" spans="1:9" ht="15">
      <c r="A3" s="108" t="s">
        <v>231</v>
      </c>
      <c r="B3" s="205">
        <f>'3C4_3C5 INFO BASE'!B8*'FACTORES DE CONVERSIÓN'!B222*'FACTORES DE CONVERSIÓN'!$B$14</f>
        <v>164683875.2217</v>
      </c>
      <c r="D3" s="6"/>
      <c r="E3" s="6"/>
      <c r="F3" s="6"/>
      <c r="G3" s="6"/>
      <c r="H3" s="6"/>
      <c r="I3" s="6"/>
    </row>
    <row r="4" spans="1:9" ht="15">
      <c r="A4" s="108" t="s">
        <v>254</v>
      </c>
      <c r="B4" s="205">
        <f>'3C4_3C5 INFO BASE'!B9*'FACTORES DE CONVERSIÓN'!B223*'FACTORES DE CONVERSIÓN'!$B$14</f>
        <v>34020771.75</v>
      </c>
      <c r="D4" s="6"/>
      <c r="E4" s="6"/>
      <c r="F4" s="6"/>
      <c r="G4" s="6"/>
      <c r="H4" s="6"/>
      <c r="I4" s="6"/>
    </row>
    <row r="5" spans="1:9" ht="15">
      <c r="A5" s="108" t="s">
        <v>352</v>
      </c>
      <c r="B5" s="205">
        <f>'3C4_3C5 INFO BASE'!B10*'FACTORES DE CONVERSIÓN'!B224*'FACTORES DE CONVERSIÓN'!$B$14</f>
        <v>47713061.502960004</v>
      </c>
      <c r="D5" s="6"/>
      <c r="E5" s="6"/>
      <c r="F5" s="6"/>
      <c r="G5" s="6"/>
      <c r="H5" s="6"/>
      <c r="I5" s="6"/>
    </row>
    <row r="6" spans="1:2" ht="15">
      <c r="A6" s="108" t="s">
        <v>353</v>
      </c>
      <c r="B6" s="205">
        <f>'3C4_3C5 INFO BASE'!B11*'FACTORES DE CONVERSIÓN'!B225*'FACTORES DE CONVERSIÓN'!$B$14</f>
        <v>40050734.05</v>
      </c>
    </row>
    <row r="7" spans="1:4" ht="15">
      <c r="A7" s="206" t="s">
        <v>4</v>
      </c>
      <c r="B7" s="207">
        <f>SUM(B3:B6)</f>
        <v>286468442.52466</v>
      </c>
      <c r="D7" s="147"/>
    </row>
    <row r="9" spans="1:2" ht="15">
      <c r="A9" s="203" t="s">
        <v>1006</v>
      </c>
      <c r="B9" s="203"/>
    </row>
    <row r="10" spans="1:9" ht="39">
      <c r="A10" s="105" t="s">
        <v>248</v>
      </c>
      <c r="B10" s="105" t="s">
        <v>994</v>
      </c>
      <c r="C10" s="204"/>
      <c r="D10" s="508" t="s">
        <v>989</v>
      </c>
      <c r="E10" s="6"/>
      <c r="F10" s="6"/>
      <c r="G10" s="6"/>
      <c r="H10" s="6"/>
      <c r="I10" s="6"/>
    </row>
    <row r="11" spans="1:4" ht="15">
      <c r="A11" s="206" t="s">
        <v>4</v>
      </c>
      <c r="B11" s="207">
        <f>B7-D15</f>
        <v>204364082.52466</v>
      </c>
      <c r="C11" s="204"/>
      <c r="D11" s="147"/>
    </row>
    <row r="13" ht="15">
      <c r="A13" s="203" t="s">
        <v>663</v>
      </c>
    </row>
    <row r="14" spans="1:11" ht="26.25">
      <c r="A14" s="105" t="s">
        <v>41</v>
      </c>
      <c r="B14" s="133" t="s">
        <v>660</v>
      </c>
      <c r="C14" s="133" t="s">
        <v>661</v>
      </c>
      <c r="D14" s="133" t="s">
        <v>662</v>
      </c>
      <c r="E14" s="147"/>
      <c r="F14" s="508" t="s">
        <v>989</v>
      </c>
      <c r="G14" s="6"/>
      <c r="H14" s="6"/>
      <c r="I14" s="6"/>
      <c r="J14" s="6"/>
      <c r="K14" s="6"/>
    </row>
    <row r="15" spans="1:11" ht="15">
      <c r="A15" s="134" t="s">
        <v>167</v>
      </c>
      <c r="B15" s="134">
        <f>SUM(B16:B39)</f>
        <v>419564</v>
      </c>
      <c r="C15" s="134"/>
      <c r="D15" s="134">
        <f>SUM(D16:D39)</f>
        <v>82104360</v>
      </c>
      <c r="E15" s="147"/>
      <c r="F15" s="6"/>
      <c r="G15" s="6"/>
      <c r="H15" s="6"/>
      <c r="I15" s="6"/>
      <c r="J15" s="6"/>
      <c r="K15" s="6"/>
    </row>
    <row r="16" spans="1:11" ht="15">
      <c r="A16" s="158" t="s">
        <v>49</v>
      </c>
      <c r="B16" s="146">
        <f>'3C4_3C5 INFO BASE'!D21</f>
        <v>41567</v>
      </c>
      <c r="C16" s="146">
        <f>'FACTORES DE CONVERSIÓN'!B229</f>
        <v>150</v>
      </c>
      <c r="D16" s="146">
        <f>B16*C16</f>
        <v>6235050</v>
      </c>
      <c r="F16" s="6"/>
      <c r="G16" s="6"/>
      <c r="H16" s="6"/>
      <c r="I16" s="6"/>
      <c r="J16" s="6"/>
      <c r="K16" s="6"/>
    </row>
    <row r="17" spans="1:11" ht="15">
      <c r="A17" s="158" t="s">
        <v>321</v>
      </c>
      <c r="B17" s="146">
        <f>'3C4_3C5 INFO BASE'!D22</f>
        <v>6795</v>
      </c>
      <c r="C17" s="146">
        <f>'FACTORES DE CONVERSIÓN'!B230</f>
        <v>280</v>
      </c>
      <c r="D17" s="146">
        <f aca="true" t="shared" si="0" ref="D17:D39">B17*C17</f>
        <v>1902600</v>
      </c>
      <c r="F17" s="6"/>
      <c r="G17" s="6"/>
      <c r="H17" s="6"/>
      <c r="I17" s="6"/>
      <c r="J17" s="6"/>
      <c r="K17" s="6"/>
    </row>
    <row r="18" spans="1:4" ht="15">
      <c r="A18" s="158" t="s">
        <v>50</v>
      </c>
      <c r="B18" s="146">
        <f>'3C4_3C5 INFO BASE'!D23</f>
        <v>0</v>
      </c>
      <c r="C18" s="146">
        <f>'FACTORES DE CONVERSIÓN'!B231</f>
        <v>0</v>
      </c>
      <c r="D18" s="146">
        <f t="shared" si="0"/>
        <v>0</v>
      </c>
    </row>
    <row r="19" spans="1:4" ht="15">
      <c r="A19" s="158" t="s">
        <v>51</v>
      </c>
      <c r="B19" s="146">
        <f>'3C4_3C5 INFO BASE'!D24</f>
        <v>19939</v>
      </c>
      <c r="C19" s="146">
        <f>'FACTORES DE CONVERSIÓN'!B232</f>
        <v>280</v>
      </c>
      <c r="D19" s="146">
        <f t="shared" si="0"/>
        <v>5582920</v>
      </c>
    </row>
    <row r="20" spans="1:4" ht="15">
      <c r="A20" s="158" t="s">
        <v>52</v>
      </c>
      <c r="B20" s="146">
        <f>'3C4_3C5 INFO BASE'!D25</f>
        <v>80</v>
      </c>
      <c r="C20" s="146">
        <f>'FACTORES DE CONVERSIÓN'!B233</f>
        <v>0</v>
      </c>
      <c r="D20" s="146">
        <f t="shared" si="0"/>
        <v>0</v>
      </c>
    </row>
    <row r="21" spans="1:4" ht="15">
      <c r="A21" s="158" t="s">
        <v>53</v>
      </c>
      <c r="B21" s="146">
        <f>'3C4_3C5 INFO BASE'!D26</f>
        <v>24886</v>
      </c>
      <c r="C21" s="146">
        <f>'FACTORES DE CONVERSIÓN'!B234</f>
        <v>150</v>
      </c>
      <c r="D21" s="146">
        <f t="shared" si="0"/>
        <v>3732900</v>
      </c>
    </row>
    <row r="22" spans="1:4" ht="15">
      <c r="A22" s="158" t="s">
        <v>54</v>
      </c>
      <c r="B22" s="146">
        <f>'3C4_3C5 INFO BASE'!D27</f>
        <v>1476</v>
      </c>
      <c r="C22" s="146">
        <f>'FACTORES DE CONVERSIÓN'!B235</f>
        <v>0</v>
      </c>
      <c r="D22" s="146">
        <f t="shared" si="0"/>
        <v>0</v>
      </c>
    </row>
    <row r="23" spans="1:4" ht="15">
      <c r="A23" s="158" t="s">
        <v>55</v>
      </c>
      <c r="B23" s="146">
        <f>'3C4_3C5 INFO BASE'!D28</f>
        <v>0</v>
      </c>
      <c r="C23" s="146">
        <f>'FACTORES DE CONVERSIÓN'!B236</f>
        <v>0</v>
      </c>
      <c r="D23" s="146">
        <f t="shared" si="0"/>
        <v>0</v>
      </c>
    </row>
    <row r="24" spans="1:4" ht="15">
      <c r="A24" s="158" t="s">
        <v>56</v>
      </c>
      <c r="B24" s="146">
        <f>'3C4_3C5 INFO BASE'!D29</f>
        <v>9151</v>
      </c>
      <c r="C24" s="146">
        <f>'FACTORES DE CONVERSIÓN'!B237</f>
        <v>120</v>
      </c>
      <c r="D24" s="146">
        <f t="shared" si="0"/>
        <v>1098120</v>
      </c>
    </row>
    <row r="25" spans="1:4" ht="15">
      <c r="A25" s="158" t="s">
        <v>57</v>
      </c>
      <c r="B25" s="146">
        <f>'3C4_3C5 INFO BASE'!D30</f>
        <v>0</v>
      </c>
      <c r="C25" s="146">
        <f>'FACTORES DE CONVERSIÓN'!B238</f>
        <v>0</v>
      </c>
      <c r="D25" s="146">
        <f t="shared" si="0"/>
        <v>0</v>
      </c>
    </row>
    <row r="26" spans="1:4" ht="15">
      <c r="A26" s="158" t="s">
        <v>58</v>
      </c>
      <c r="B26" s="146">
        <f>'3C4_3C5 INFO BASE'!D31</f>
        <v>1214</v>
      </c>
      <c r="C26" s="146">
        <f>'FACTORES DE CONVERSIÓN'!B239</f>
        <v>80</v>
      </c>
      <c r="D26" s="146">
        <f>B26*C26</f>
        <v>97120</v>
      </c>
    </row>
    <row r="27" spans="1:4" ht="15">
      <c r="A27" s="158" t="s">
        <v>59</v>
      </c>
      <c r="B27" s="146">
        <f>'3C4_3C5 INFO BASE'!D32</f>
        <v>32857</v>
      </c>
      <c r="C27" s="146">
        <f>'FACTORES DE CONVERSIÓN'!B240</f>
        <v>280</v>
      </c>
      <c r="D27" s="146">
        <f t="shared" si="0"/>
        <v>9199960</v>
      </c>
    </row>
    <row r="28" spans="1:4" ht="15">
      <c r="A28" s="158" t="s">
        <v>60</v>
      </c>
      <c r="B28" s="146">
        <f>'3C4_3C5 INFO BASE'!D33</f>
        <v>49831</v>
      </c>
      <c r="C28" s="146">
        <f>'FACTORES DE CONVERSIÓN'!B241</f>
        <v>280</v>
      </c>
      <c r="D28" s="146">
        <f t="shared" si="0"/>
        <v>13952680</v>
      </c>
    </row>
    <row r="29" spans="1:4" ht="15">
      <c r="A29" s="159" t="s">
        <v>61</v>
      </c>
      <c r="B29" s="146">
        <f>'3C4_3C5 INFO BASE'!D34</f>
        <v>0</v>
      </c>
      <c r="C29" s="146">
        <f>'FACTORES DE CONVERSIÓN'!B242</f>
        <v>0</v>
      </c>
      <c r="D29" s="146">
        <f t="shared" si="0"/>
        <v>0</v>
      </c>
    </row>
    <row r="30" spans="1:4" ht="15">
      <c r="A30" s="160" t="s">
        <v>62</v>
      </c>
      <c r="B30" s="146">
        <f>'3C4_3C5 INFO BASE'!D35</f>
        <v>33046</v>
      </c>
      <c r="C30" s="146">
        <f>'FACTORES DE CONVERSIÓN'!B243</f>
        <v>32</v>
      </c>
      <c r="D30" s="146">
        <f t="shared" si="0"/>
        <v>1057472</v>
      </c>
    </row>
    <row r="31" spans="1:4" ht="15">
      <c r="A31" s="160" t="s">
        <v>63</v>
      </c>
      <c r="B31" s="146">
        <f>'3C4_3C5 INFO BASE'!D36</f>
        <v>2559</v>
      </c>
      <c r="C31" s="146">
        <f>'FACTORES DE CONVERSIÓN'!B244</f>
        <v>32</v>
      </c>
      <c r="D31" s="146">
        <f t="shared" si="0"/>
        <v>81888</v>
      </c>
    </row>
    <row r="32" spans="1:4" ht="15">
      <c r="A32" s="160" t="s">
        <v>64</v>
      </c>
      <c r="B32" s="146">
        <f>'3C4_3C5 INFO BASE'!D37</f>
        <v>0</v>
      </c>
      <c r="C32" s="146">
        <f>'FACTORES DE CONVERSIÓN'!B245</f>
        <v>0</v>
      </c>
      <c r="D32" s="146">
        <f t="shared" si="0"/>
        <v>0</v>
      </c>
    </row>
    <row r="33" spans="1:4" ht="15">
      <c r="A33" s="160" t="s">
        <v>65</v>
      </c>
      <c r="B33" s="146">
        <f>'3C4_3C5 INFO BASE'!D38</f>
        <v>2777</v>
      </c>
      <c r="C33" s="146">
        <f>'FACTORES DE CONVERSIÓN'!B246</f>
        <v>80</v>
      </c>
      <c r="D33" s="146">
        <f t="shared" si="0"/>
        <v>222160</v>
      </c>
    </row>
    <row r="34" spans="1:4" ht="15">
      <c r="A34" s="160" t="s">
        <v>66</v>
      </c>
      <c r="B34" s="146">
        <f>'3C4_3C5 INFO BASE'!D39</f>
        <v>67373</v>
      </c>
      <c r="C34" s="146">
        <f>'FACTORES DE CONVERSIÓN'!B247</f>
        <v>280</v>
      </c>
      <c r="D34" s="146">
        <f t="shared" si="0"/>
        <v>18864440</v>
      </c>
    </row>
    <row r="35" spans="1:4" ht="15">
      <c r="A35" s="160" t="s">
        <v>67</v>
      </c>
      <c r="B35" s="146">
        <f>'3C4_3C5 INFO BASE'!D40</f>
        <v>283</v>
      </c>
      <c r="C35" s="146">
        <f>'FACTORES DE CONVERSIÓN'!B248</f>
        <v>0</v>
      </c>
      <c r="D35" s="146">
        <f>B35*C35</f>
        <v>0</v>
      </c>
    </row>
    <row r="36" spans="1:4" ht="15">
      <c r="A36" s="160" t="s">
        <v>68</v>
      </c>
      <c r="B36" s="146">
        <f>'3C4_3C5 INFO BASE'!D41</f>
        <v>101255</v>
      </c>
      <c r="C36" s="146">
        <f>'FACTORES DE CONVERSIÓN'!B249</f>
        <v>150</v>
      </c>
      <c r="D36" s="146">
        <f t="shared" si="0"/>
        <v>15188250</v>
      </c>
    </row>
    <row r="37" spans="1:4" ht="15">
      <c r="A37" s="160" t="s">
        <v>69</v>
      </c>
      <c r="B37" s="146">
        <f>'3C4_3C5 INFO BASE'!D42</f>
        <v>0</v>
      </c>
      <c r="C37" s="146">
        <f>'FACTORES DE CONVERSIÓN'!B250</f>
        <v>0</v>
      </c>
      <c r="D37" s="146">
        <f t="shared" si="0"/>
        <v>0</v>
      </c>
    </row>
    <row r="38" spans="1:4" ht="15">
      <c r="A38" s="160" t="s">
        <v>70</v>
      </c>
      <c r="B38" s="146">
        <f>'3C4_3C5 INFO BASE'!D43</f>
        <v>14654</v>
      </c>
      <c r="C38" s="146">
        <f>'FACTORES DE CONVERSIÓN'!B251</f>
        <v>280</v>
      </c>
      <c r="D38" s="146">
        <f t="shared" si="0"/>
        <v>4103120</v>
      </c>
    </row>
    <row r="39" spans="1:4" ht="15">
      <c r="A39" s="160" t="s">
        <v>71</v>
      </c>
      <c r="B39" s="146">
        <f>'3C4_3C5 INFO BASE'!D44</f>
        <v>9821</v>
      </c>
      <c r="C39" s="146">
        <f>'FACTORES DE CONVERSIÓN'!B252</f>
        <v>80</v>
      </c>
      <c r="D39" s="146">
        <f t="shared" si="0"/>
        <v>785680</v>
      </c>
    </row>
    <row r="40" spans="1:4" ht="15">
      <c r="A40" s="208"/>
      <c r="B40" s="168"/>
      <c r="C40" s="168"/>
      <c r="D40" s="168"/>
    </row>
    <row r="41" ht="15">
      <c r="A41" s="147" t="s">
        <v>288</v>
      </c>
    </row>
    <row r="42" spans="1:13" ht="15">
      <c r="A42" s="105" t="s">
        <v>269</v>
      </c>
      <c r="B42" s="105" t="s">
        <v>265</v>
      </c>
      <c r="C42" s="105" t="s">
        <v>266</v>
      </c>
      <c r="D42" s="105" t="s">
        <v>267</v>
      </c>
      <c r="E42" s="105" t="s">
        <v>268</v>
      </c>
      <c r="F42" s="105" t="s">
        <v>264</v>
      </c>
      <c r="H42" s="508" t="s">
        <v>989</v>
      </c>
      <c r="I42" s="6"/>
      <c r="J42" s="6"/>
      <c r="K42" s="6"/>
      <c r="L42" s="6"/>
      <c r="M42" s="6"/>
    </row>
    <row r="43" spans="1:13" ht="15">
      <c r="A43" s="209">
        <v>2016</v>
      </c>
      <c r="B43" s="109">
        <f>F52</f>
        <v>81394641.2949805</v>
      </c>
      <c r="C43" s="210" t="s">
        <v>570</v>
      </c>
      <c r="D43" s="210" t="s">
        <v>570</v>
      </c>
      <c r="E43" s="210" t="s">
        <v>570</v>
      </c>
      <c r="F43" s="109">
        <f>SUM(B43:E43)</f>
        <v>81394641.2949805</v>
      </c>
      <c r="H43" s="6"/>
      <c r="I43" s="6"/>
      <c r="J43" s="6"/>
      <c r="K43" s="6"/>
      <c r="L43" s="6"/>
      <c r="M43" s="6"/>
    </row>
    <row r="44" spans="1:13" ht="15">
      <c r="A44" s="103" t="s">
        <v>261</v>
      </c>
      <c r="H44" s="6"/>
      <c r="I44" s="6"/>
      <c r="J44" s="6"/>
      <c r="K44" s="6"/>
      <c r="L44" s="6"/>
      <c r="M44" s="6"/>
    </row>
    <row r="45" spans="1:13" ht="15">
      <c r="A45" s="103" t="s">
        <v>262</v>
      </c>
      <c r="H45" s="6"/>
      <c r="I45" s="6"/>
      <c r="J45" s="6"/>
      <c r="K45" s="6"/>
      <c r="L45" s="6"/>
      <c r="M45" s="6"/>
    </row>
    <row r="46" ht="15">
      <c r="A46" s="103" t="s">
        <v>259</v>
      </c>
    </row>
    <row r="47" ht="15">
      <c r="A47" s="103" t="s">
        <v>260</v>
      </c>
    </row>
    <row r="48" ht="15">
      <c r="A48" s="103" t="s">
        <v>263</v>
      </c>
    </row>
    <row r="50" spans="1:13" ht="15">
      <c r="A50" s="147" t="s">
        <v>287</v>
      </c>
      <c r="H50" s="508" t="s">
        <v>989</v>
      </c>
      <c r="I50" s="6"/>
      <c r="J50" s="6"/>
      <c r="K50" s="6"/>
      <c r="L50" s="6"/>
      <c r="M50" s="6"/>
    </row>
    <row r="51" spans="1:13" ht="15">
      <c r="A51" s="105" t="s">
        <v>269</v>
      </c>
      <c r="B51" s="105" t="s">
        <v>275</v>
      </c>
      <c r="C51" s="105" t="s">
        <v>276</v>
      </c>
      <c r="D51" s="105" t="s">
        <v>277</v>
      </c>
      <c r="E51" s="105" t="s">
        <v>278</v>
      </c>
      <c r="F51" s="105" t="s">
        <v>265</v>
      </c>
      <c r="H51" s="6"/>
      <c r="I51" s="6"/>
      <c r="J51" s="6"/>
      <c r="K51" s="6"/>
      <c r="L51" s="6"/>
      <c r="M51" s="6"/>
    </row>
    <row r="52" spans="1:13" ht="15">
      <c r="A52" s="209">
        <v>2016</v>
      </c>
      <c r="B52" s="205">
        <f>+'3C6 EMISIONES'!H145</f>
        <v>81394641.2949805</v>
      </c>
      <c r="C52" s="109">
        <v>0</v>
      </c>
      <c r="D52" s="109">
        <v>0</v>
      </c>
      <c r="E52" s="109" t="s">
        <v>570</v>
      </c>
      <c r="F52" s="109">
        <f>B52</f>
        <v>81394641.2949805</v>
      </c>
      <c r="H52" s="6"/>
      <c r="I52" s="6"/>
      <c r="J52" s="6"/>
      <c r="K52" s="6"/>
      <c r="L52" s="6"/>
      <c r="M52" s="6"/>
    </row>
    <row r="53" spans="1:13" ht="15">
      <c r="A53" s="103" t="s">
        <v>270</v>
      </c>
      <c r="H53" s="6"/>
      <c r="I53" s="6"/>
      <c r="J53" s="6"/>
      <c r="K53" s="6"/>
      <c r="L53" s="6"/>
      <c r="M53" s="6"/>
    </row>
    <row r="54" ht="15">
      <c r="A54" s="211" t="s">
        <v>274</v>
      </c>
    </row>
    <row r="55" ht="15">
      <c r="A55" s="103" t="s">
        <v>271</v>
      </c>
    </row>
    <row r="56" ht="15">
      <c r="A56" s="103" t="s">
        <v>272</v>
      </c>
    </row>
    <row r="57" ht="15">
      <c r="A57" s="103" t="s">
        <v>273</v>
      </c>
    </row>
    <row r="60" ht="15">
      <c r="A60" s="147" t="s">
        <v>289</v>
      </c>
    </row>
    <row r="61" spans="1:23" ht="46.5" customHeight="1">
      <c r="A61" s="105" t="s">
        <v>377</v>
      </c>
      <c r="B61" s="105" t="s">
        <v>1062</v>
      </c>
      <c r="C61" s="105" t="s">
        <v>338</v>
      </c>
      <c r="D61" s="105" t="s">
        <v>339</v>
      </c>
      <c r="E61" s="105" t="s">
        <v>340</v>
      </c>
      <c r="F61" s="105" t="s">
        <v>341</v>
      </c>
      <c r="G61" s="105" t="s">
        <v>373</v>
      </c>
      <c r="H61" s="105" t="s">
        <v>374</v>
      </c>
      <c r="I61" s="105" t="s">
        <v>343</v>
      </c>
      <c r="J61" s="105" t="s">
        <v>342</v>
      </c>
      <c r="K61" s="105" t="s">
        <v>344</v>
      </c>
      <c r="L61" s="105" t="s">
        <v>345</v>
      </c>
      <c r="M61" s="105" t="s">
        <v>379</v>
      </c>
      <c r="N61" s="105" t="s">
        <v>346</v>
      </c>
      <c r="O61" s="105" t="s">
        <v>378</v>
      </c>
      <c r="P61" s="105" t="s">
        <v>347</v>
      </c>
      <c r="R61" s="508" t="s">
        <v>989</v>
      </c>
      <c r="S61" s="6"/>
      <c r="T61" s="6"/>
      <c r="U61" s="6"/>
      <c r="V61" s="6"/>
      <c r="W61" s="6"/>
    </row>
    <row r="62" spans="1:55" ht="15">
      <c r="A62" s="213" t="s">
        <v>333</v>
      </c>
      <c r="B62" s="207"/>
      <c r="C62" s="207"/>
      <c r="D62" s="207"/>
      <c r="E62" s="207"/>
      <c r="F62" s="207"/>
      <c r="G62" s="207"/>
      <c r="H62" s="207"/>
      <c r="I62" s="207"/>
      <c r="J62" s="207"/>
      <c r="K62" s="207"/>
      <c r="L62" s="207"/>
      <c r="M62" s="207"/>
      <c r="N62" s="207"/>
      <c r="O62" s="207"/>
      <c r="P62" s="134">
        <f>SUM(P64:P80)</f>
        <v>161390963.91731805</v>
      </c>
      <c r="R62" s="6"/>
      <c r="S62" s="6"/>
      <c r="T62" s="6"/>
      <c r="U62" s="6"/>
      <c r="V62" s="6"/>
      <c r="W62" s="6"/>
      <c r="X62"/>
      <c r="Y62"/>
      <c r="Z62"/>
      <c r="AA62"/>
      <c r="AB62"/>
      <c r="AC62"/>
      <c r="AD62"/>
      <c r="AE62"/>
      <c r="AF62"/>
      <c r="AG62"/>
      <c r="AH62"/>
      <c r="AI62"/>
      <c r="AJ62"/>
      <c r="AK62"/>
      <c r="AL62"/>
      <c r="AM62"/>
      <c r="AN62"/>
      <c r="AO62"/>
      <c r="AP62"/>
      <c r="AQ62"/>
      <c r="AR62"/>
      <c r="AS62"/>
      <c r="AT62"/>
      <c r="AU62"/>
      <c r="AV62"/>
      <c r="AW62"/>
      <c r="AX62"/>
      <c r="AY62"/>
      <c r="AZ62"/>
      <c r="BA62"/>
      <c r="BB62"/>
      <c r="BC62"/>
    </row>
    <row r="63" spans="1:55" ht="15">
      <c r="A63" s="212" t="str">
        <f>A117</f>
        <v>Arroz cáscara</v>
      </c>
      <c r="B63" s="109">
        <f>F117</f>
        <v>6715.344047630398</v>
      </c>
      <c r="C63" s="109">
        <f>B117</f>
        <v>419564</v>
      </c>
      <c r="D63" s="109">
        <f>C63*'FACTORES DE CONVERSIÓN'!B187</f>
        <v>83912.8</v>
      </c>
      <c r="E63" s="109">
        <f>'FACTORES DE CONVERSIÓN'!C213</f>
        <v>0.8</v>
      </c>
      <c r="F63" s="109">
        <f>1/'FACTORES DE CONVERSIÓN'!D299</f>
        <v>2.4798645997861777</v>
      </c>
      <c r="G63" s="109">
        <f>'FACTORES DE CONVERSIÓN'!C262</f>
        <v>0.95</v>
      </c>
      <c r="H63" s="109">
        <f>'FACTORES DE CONVERSIÓN'!D262</f>
        <v>2.46</v>
      </c>
      <c r="I63" s="109">
        <f>(B63/1000)*G63+H63</f>
        <v>8.839576845248878</v>
      </c>
      <c r="J63" s="109">
        <f>I63*1000/B63</f>
        <v>1.3163252370320542</v>
      </c>
      <c r="K63" s="109">
        <f>'FACTORES DE CONVERSIÓN'!E262</f>
        <v>0.007</v>
      </c>
      <c r="L63" s="109">
        <v>0</v>
      </c>
      <c r="M63" s="109">
        <f>'FACTORES DE CONVERSIÓN'!F262</f>
        <v>0.16</v>
      </c>
      <c r="N63" s="109">
        <f>M63*(I63*1000+B63)/B63</f>
        <v>0.37061203792512865</v>
      </c>
      <c r="O63" s="109">
        <f>'FACTORES DE CONVERSIÓN'!G262</f>
        <v>0.009</v>
      </c>
      <c r="P63" s="109">
        <f>B63*F63*((C63-D63*E63)*J63*K63*(1-L63)+C63*N63*O63)</f>
        <v>77385184.84832838</v>
      </c>
      <c r="R63" s="6"/>
      <c r="S63" s="6"/>
      <c r="T63" s="6"/>
      <c r="U63" s="6"/>
      <c r="V63" s="6"/>
      <c r="W63" s="6"/>
      <c r="X63"/>
      <c r="Y63"/>
      <c r="Z63"/>
      <c r="AA63"/>
      <c r="AB63"/>
      <c r="AC63"/>
      <c r="AD63"/>
      <c r="AE63"/>
      <c r="AF63"/>
      <c r="AG63"/>
      <c r="AH63"/>
      <c r="AI63"/>
      <c r="AJ63"/>
      <c r="AK63"/>
      <c r="AL63"/>
      <c r="AM63"/>
      <c r="AN63"/>
      <c r="AO63"/>
      <c r="AP63"/>
      <c r="AQ63"/>
      <c r="AR63"/>
      <c r="AS63"/>
      <c r="AT63"/>
      <c r="AU63"/>
      <c r="AV63"/>
      <c r="AW63"/>
      <c r="AX63"/>
      <c r="AY63"/>
      <c r="AZ63"/>
      <c r="BA63"/>
      <c r="BB63"/>
      <c r="BC63"/>
    </row>
    <row r="64" spans="1:55" ht="15">
      <c r="A64" s="212" t="str">
        <f>A116</f>
        <v>Caña para azúcar</v>
      </c>
      <c r="B64" s="109">
        <f>F116</f>
        <v>100907.36741279633</v>
      </c>
      <c r="C64" s="109">
        <f>B116</f>
        <v>87697</v>
      </c>
      <c r="D64" s="109">
        <f>C64*'FACTORES DE CONVERSIÓN'!B186</f>
        <v>83312.15</v>
      </c>
      <c r="E64" s="109">
        <f>'FACTORES DE CONVERSIÓN'!C214</f>
        <v>0.8</v>
      </c>
      <c r="F64" s="109">
        <f>1/'FACTORES DE CONVERSIÓN'!D298</f>
        <v>0.18181818181818182</v>
      </c>
      <c r="G64" s="109">
        <f>'FACTORES DE CONVERSIÓN'!C261</f>
        <v>0.3</v>
      </c>
      <c r="H64" s="109">
        <f>'FACTORES DE CONVERSIÓN'!D261</f>
        <v>0</v>
      </c>
      <c r="I64" s="109">
        <f aca="true" t="shared" si="1" ref="I64:I96">(B64/1000)*G64+H64</f>
        <v>30.272210223838897</v>
      </c>
      <c r="J64" s="109">
        <f aca="true" t="shared" si="2" ref="J64:J80">I64*1000/B64</f>
        <v>0.3</v>
      </c>
      <c r="K64" s="109">
        <f>'FACTORES DE CONVERSIÓN'!E261</f>
        <v>0.015</v>
      </c>
      <c r="L64" s="109">
        <v>0</v>
      </c>
      <c r="M64" s="109">
        <f>'FACTORES DE CONVERSIÓN'!F261</f>
        <v>0.54</v>
      </c>
      <c r="N64" s="109">
        <f aca="true" t="shared" si="3" ref="N64:N80">M64*(I64*1000+B64)/B64</f>
        <v>0.7020000000000001</v>
      </c>
      <c r="O64" s="109">
        <f>'FACTORES DE CONVERSIÓN'!G261</f>
        <v>0.012</v>
      </c>
      <c r="P64" s="109">
        <f aca="true" t="shared" si="4" ref="P64:P80">B64*F64*((C64-D64*E64)*J64*K64*(1-L64)+C64*N64*O64)</f>
        <v>15291544.435200004</v>
      </c>
      <c r="R64" s="6"/>
      <c r="S64" s="6"/>
      <c r="T64" s="6"/>
      <c r="U64" s="6"/>
      <c r="V64" s="6"/>
      <c r="W64" s="6"/>
      <c r="X64"/>
      <c r="Y64"/>
      <c r="Z64"/>
      <c r="AA64"/>
      <c r="AB64"/>
      <c r="AC64"/>
      <c r="AD64"/>
      <c r="AE64"/>
      <c r="AF64"/>
      <c r="AG64"/>
      <c r="AH64"/>
      <c r="AI64"/>
      <c r="AJ64"/>
      <c r="AK64"/>
      <c r="AL64"/>
      <c r="AM64"/>
      <c r="AN64"/>
      <c r="AO64"/>
      <c r="AP64"/>
      <c r="AQ64"/>
      <c r="AR64"/>
      <c r="AS64"/>
      <c r="AT64"/>
      <c r="AU64"/>
      <c r="AV64"/>
      <c r="AW64"/>
      <c r="AX64"/>
      <c r="AY64"/>
      <c r="AZ64"/>
      <c r="BA64"/>
      <c r="BB64"/>
      <c r="BC64"/>
    </row>
    <row r="65" spans="1:55" ht="15" customHeight="1">
      <c r="A65" s="212" t="str">
        <f aca="true" t="shared" si="5" ref="A65:A72">A118</f>
        <v>Banana / plátano</v>
      </c>
      <c r="B65" s="109">
        <f aca="true" t="shared" si="6" ref="B65:B80">F118</f>
        <v>12135.501870537631</v>
      </c>
      <c r="C65" s="109">
        <f aca="true" t="shared" si="7" ref="C65:C80">B118</f>
        <v>160649</v>
      </c>
      <c r="D65" s="109">
        <v>0</v>
      </c>
      <c r="E65" s="109">
        <f>'FACTORES DE CONVERSIÓN'!$C$215</f>
        <v>0.85</v>
      </c>
      <c r="F65" s="109">
        <f>1/'FACTORES DE CONVERSIÓN'!D300</f>
        <v>0.2857142857142857</v>
      </c>
      <c r="G65" s="109">
        <f>'FACTORES DE CONVERSIÓN'!C263</f>
        <v>1.07</v>
      </c>
      <c r="H65" s="109">
        <f>'FACTORES DE CONVERSIÓN'!D263</f>
        <v>1.54</v>
      </c>
      <c r="I65" s="109">
        <f t="shared" si="1"/>
        <v>14.524987001475267</v>
      </c>
      <c r="J65" s="109">
        <f t="shared" si="2"/>
        <v>1.1969003965743508</v>
      </c>
      <c r="K65" s="109">
        <f>'FACTORES DE CONVERSIÓN'!E263</f>
        <v>0.016</v>
      </c>
      <c r="L65" s="109">
        <v>0</v>
      </c>
      <c r="M65" s="109">
        <f>'FACTORES DE CONVERSIÓN'!F263</f>
        <v>0.2</v>
      </c>
      <c r="N65" s="109">
        <f t="shared" si="3"/>
        <v>0.4393800793148702</v>
      </c>
      <c r="O65" s="109">
        <f>'FACTORES DE CONVERSIÓN'!G263</f>
        <v>0.014</v>
      </c>
      <c r="P65" s="109">
        <f t="shared" si="4"/>
        <v>14093468.755382856</v>
      </c>
      <c r="X65"/>
      <c r="Y65"/>
      <c r="Z65"/>
      <c r="AA65"/>
      <c r="AB65"/>
      <c r="AC65"/>
      <c r="AD65"/>
      <c r="AE65"/>
      <c r="AF65"/>
      <c r="AG65"/>
      <c r="AH65"/>
      <c r="AI65"/>
      <c r="AJ65"/>
      <c r="AK65"/>
      <c r="AL65"/>
      <c r="AM65"/>
      <c r="AN65"/>
      <c r="AO65"/>
      <c r="AP65"/>
      <c r="AQ65"/>
      <c r="AR65"/>
      <c r="AS65"/>
      <c r="AT65"/>
      <c r="AU65"/>
      <c r="AV65"/>
      <c r="AW65"/>
      <c r="AX65"/>
      <c r="AY65"/>
      <c r="AZ65"/>
      <c r="BA65"/>
      <c r="BB65"/>
      <c r="BC65"/>
    </row>
    <row r="66" spans="1:55" ht="15" customHeight="1">
      <c r="A66" s="212" t="str">
        <f t="shared" si="5"/>
        <v>Maíz a. duro</v>
      </c>
      <c r="B66" s="109">
        <f t="shared" si="6"/>
        <v>4006.979213382366</v>
      </c>
      <c r="C66" s="109">
        <f t="shared" si="7"/>
        <v>267576</v>
      </c>
      <c r="D66" s="109">
        <v>0</v>
      </c>
      <c r="E66" s="109">
        <f>'FACTORES DE CONVERSIÓN'!C212</f>
        <v>0.8</v>
      </c>
      <c r="F66" s="109">
        <f>1/'FACTORES DE CONVERSIÓN'!D301</f>
        <v>2.4</v>
      </c>
      <c r="G66" s="109">
        <f>'FACTORES DE CONVERSIÓN'!C264</f>
        <v>1.03</v>
      </c>
      <c r="H66" s="109">
        <f>'FACTORES DE CONVERSIÓN'!D264</f>
        <v>0.61</v>
      </c>
      <c r="I66" s="109">
        <f t="shared" si="1"/>
        <v>4.7371885897838375</v>
      </c>
      <c r="J66" s="109">
        <f t="shared" si="2"/>
        <v>1.182234380942817</v>
      </c>
      <c r="K66" s="109">
        <f>'FACTORES DE CONVERSIÓN'!E264</f>
        <v>0.006</v>
      </c>
      <c r="L66" s="109">
        <v>0</v>
      </c>
      <c r="M66" s="109">
        <f>'FACTORES DE CONVERSIÓN'!F264</f>
        <v>0.22</v>
      </c>
      <c r="N66" s="109">
        <f t="shared" si="3"/>
        <v>0.48009156380741974</v>
      </c>
      <c r="O66" s="109">
        <f>'FACTORES DE CONVERSIÓN'!G264</f>
        <v>0.007</v>
      </c>
      <c r="P66" s="109">
        <f t="shared" si="4"/>
        <v>26900474.852433607</v>
      </c>
      <c r="X66"/>
      <c r="Y66"/>
      <c r="Z66"/>
      <c r="AA66"/>
      <c r="AB66"/>
      <c r="AC66"/>
      <c r="AD66"/>
      <c r="AE66"/>
      <c r="AF66"/>
      <c r="AG66"/>
      <c r="AH66"/>
      <c r="AI66"/>
      <c r="AJ66"/>
      <c r="AK66"/>
      <c r="AL66"/>
      <c r="AM66"/>
      <c r="AN66"/>
      <c r="AO66"/>
      <c r="AP66"/>
      <c r="AQ66"/>
      <c r="AR66"/>
      <c r="AS66"/>
      <c r="AT66"/>
      <c r="AU66"/>
      <c r="AV66"/>
      <c r="AW66"/>
      <c r="AX66"/>
      <c r="AY66"/>
      <c r="AZ66"/>
      <c r="BA66"/>
      <c r="BB66"/>
      <c r="BC66"/>
    </row>
    <row r="67" spans="1:55" ht="15" customHeight="1">
      <c r="A67" s="212" t="str">
        <f t="shared" si="5"/>
        <v>Cebolla de cabeza</v>
      </c>
      <c r="B67" s="109">
        <f t="shared" si="6"/>
        <v>36658.233668619425</v>
      </c>
      <c r="C67" s="109">
        <f t="shared" si="7"/>
        <v>18094</v>
      </c>
      <c r="D67" s="109">
        <v>0</v>
      </c>
      <c r="E67" s="109">
        <f>'FACTORES DE CONVERSIÓN'!$C$215</f>
        <v>0.85</v>
      </c>
      <c r="F67" s="109">
        <f>1/'FACTORES DE CONVERSIÓN'!D302</f>
        <v>3</v>
      </c>
      <c r="G67" s="109">
        <f>'FACTORES DE CONVERSIÓN'!C265</f>
        <v>1.07</v>
      </c>
      <c r="H67" s="109">
        <f>'FACTORES DE CONVERSIÓN'!D265</f>
        <v>1.54</v>
      </c>
      <c r="I67" s="109">
        <f t="shared" si="1"/>
        <v>40.76431002542279</v>
      </c>
      <c r="J67" s="109">
        <f t="shared" si="2"/>
        <v>1.1120096618380795</v>
      </c>
      <c r="K67" s="109">
        <f>'FACTORES DE CONVERSIÓN'!E265</f>
        <v>0.016</v>
      </c>
      <c r="L67" s="109">
        <v>0</v>
      </c>
      <c r="M67" s="109">
        <f>'FACTORES DE CONVERSIÓN'!F265</f>
        <v>0.2</v>
      </c>
      <c r="N67" s="109">
        <f t="shared" si="3"/>
        <v>0.422401932367616</v>
      </c>
      <c r="O67" s="109">
        <f>'FACTORES DE CONVERSIÓN'!G265</f>
        <v>0.014</v>
      </c>
      <c r="P67" s="109">
        <f t="shared" si="4"/>
        <v>47171713.87584</v>
      </c>
      <c r="X67"/>
      <c r="Y67"/>
      <c r="Z67"/>
      <c r="AA67"/>
      <c r="AB67"/>
      <c r="AC67"/>
      <c r="AD67"/>
      <c r="AE67"/>
      <c r="AF67"/>
      <c r="AG67"/>
      <c r="AH67"/>
      <c r="AI67"/>
      <c r="AJ67"/>
      <c r="AK67"/>
      <c r="AL67"/>
      <c r="AM67"/>
      <c r="AN67"/>
      <c r="AO67"/>
      <c r="AP67"/>
      <c r="AQ67"/>
      <c r="AR67"/>
      <c r="AS67"/>
      <c r="AT67"/>
      <c r="AU67"/>
      <c r="AV67"/>
      <c r="AW67"/>
      <c r="AX67"/>
      <c r="AY67"/>
      <c r="AZ67"/>
      <c r="BA67"/>
      <c r="BB67"/>
      <c r="BC67"/>
    </row>
    <row r="68" spans="1:55" ht="15" customHeight="1">
      <c r="A68" s="212" t="str">
        <f t="shared" si="5"/>
        <v>Quinua</v>
      </c>
      <c r="B68" s="109">
        <f t="shared" si="6"/>
        <v>1086.1472346786247</v>
      </c>
      <c r="C68" s="109">
        <f t="shared" si="7"/>
        <v>64224</v>
      </c>
      <c r="D68" s="109">
        <v>0</v>
      </c>
      <c r="E68" s="109">
        <f>'FACTORES DE CONVERSIÓN'!$C$215</f>
        <v>0.85</v>
      </c>
      <c r="F68" s="109">
        <f>1/'FACTORES DE CONVERSIÓN'!D303</f>
        <v>2</v>
      </c>
      <c r="G68" s="109">
        <f>'FACTORES DE CONVERSIÓN'!C266</f>
        <v>1.09</v>
      </c>
      <c r="H68" s="109">
        <f>'FACTORES DE CONVERSIÓN'!D266</f>
        <v>0.88</v>
      </c>
      <c r="I68" s="109">
        <f t="shared" si="1"/>
        <v>2.063900485799701</v>
      </c>
      <c r="J68" s="109">
        <f t="shared" si="2"/>
        <v>1.900203232032699</v>
      </c>
      <c r="K68" s="109">
        <f>'FACTORES DE CONVERSIÓN'!E266</f>
        <v>0.006</v>
      </c>
      <c r="L68" s="109">
        <v>0</v>
      </c>
      <c r="M68" s="109">
        <f>'FACTORES DE CONVERSIÓN'!F266</f>
        <v>0.22</v>
      </c>
      <c r="N68" s="109">
        <f t="shared" si="3"/>
        <v>0.6380447110471937</v>
      </c>
      <c r="O68" s="109">
        <f>'FACTORES DE CONVERSIÓN'!G266</f>
        <v>0.009</v>
      </c>
      <c r="P68" s="109">
        <f t="shared" si="4"/>
        <v>2391765.650208</v>
      </c>
      <c r="X68"/>
      <c r="Y68"/>
      <c r="Z68"/>
      <c r="AA68"/>
      <c r="AB68"/>
      <c r="AC68"/>
      <c r="AD68"/>
      <c r="AE68"/>
      <c r="AF68"/>
      <c r="AG68"/>
      <c r="AH68"/>
      <c r="AI68"/>
      <c r="AJ68"/>
      <c r="AK68"/>
      <c r="AL68"/>
      <c r="AM68"/>
      <c r="AN68"/>
      <c r="AO68"/>
      <c r="AP68"/>
      <c r="AQ68"/>
      <c r="AR68"/>
      <c r="AS68"/>
      <c r="AT68"/>
      <c r="AU68"/>
      <c r="AV68"/>
      <c r="AW68"/>
      <c r="AX68"/>
      <c r="AY68"/>
      <c r="AZ68"/>
      <c r="BA68"/>
      <c r="BB68"/>
      <c r="BC68"/>
    </row>
    <row r="69" spans="1:55" ht="15" customHeight="1">
      <c r="A69" s="212" t="str">
        <f t="shared" si="5"/>
        <v>Alcachofa</v>
      </c>
      <c r="B69" s="109">
        <f t="shared" si="6"/>
        <v>16785.317577548005</v>
      </c>
      <c r="C69" s="109">
        <f t="shared" si="7"/>
        <v>6093</v>
      </c>
      <c r="D69" s="109">
        <v>0</v>
      </c>
      <c r="E69" s="109">
        <f>'FACTORES DE CONVERSIÓN'!$C$215</f>
        <v>0.85</v>
      </c>
      <c r="F69" s="109">
        <f>1/'FACTORES DE CONVERSIÓN'!D304</f>
        <v>1.6</v>
      </c>
      <c r="G69" s="109">
        <f>'FACTORES DE CONVERSIÓN'!C267</f>
        <v>1.07</v>
      </c>
      <c r="H69" s="109">
        <f>'FACTORES DE CONVERSIÓN'!D267</f>
        <v>1.54</v>
      </c>
      <c r="I69" s="109">
        <f t="shared" si="1"/>
        <v>19.500289807976365</v>
      </c>
      <c r="J69" s="109">
        <f t="shared" si="2"/>
        <v>1.1617468491665537</v>
      </c>
      <c r="K69" s="109">
        <f>'FACTORES DE CONVERSIÓN'!E267</f>
        <v>0.016</v>
      </c>
      <c r="L69" s="109">
        <v>0</v>
      </c>
      <c r="M69" s="109">
        <f>'FACTORES DE CONVERSIÓN'!F267</f>
        <v>0.2</v>
      </c>
      <c r="N69" s="109">
        <f t="shared" si="3"/>
        <v>0.43234936983331085</v>
      </c>
      <c r="O69" s="109">
        <f>'FACTORES DE CONVERSIÓN'!G267</f>
        <v>0.014</v>
      </c>
      <c r="P69" s="109">
        <f t="shared" si="4"/>
        <v>4032145.9664640003</v>
      </c>
      <c r="X69"/>
      <c r="Y69"/>
      <c r="Z69"/>
      <c r="AA69"/>
      <c r="AB69"/>
      <c r="AC69"/>
      <c r="AD69"/>
      <c r="AE69"/>
      <c r="AF69"/>
      <c r="AG69"/>
      <c r="AH69"/>
      <c r="AI69"/>
      <c r="AJ69"/>
      <c r="AK69"/>
      <c r="AL69"/>
      <c r="AM69"/>
      <c r="AN69"/>
      <c r="AO69"/>
      <c r="AP69"/>
      <c r="AQ69"/>
      <c r="AR69"/>
      <c r="AS69"/>
      <c r="AT69"/>
      <c r="AU69"/>
      <c r="AV69"/>
      <c r="AW69"/>
      <c r="AX69"/>
      <c r="AY69"/>
      <c r="AZ69"/>
      <c r="BA69"/>
      <c r="BB69"/>
      <c r="BC69"/>
    </row>
    <row r="70" spans="1:55" ht="15">
      <c r="A70" s="212" t="str">
        <f t="shared" si="5"/>
        <v>Algodón</v>
      </c>
      <c r="B70" s="109">
        <f t="shared" si="6"/>
        <v>2355.7389911044806</v>
      </c>
      <c r="C70" s="109">
        <f t="shared" si="7"/>
        <v>18099</v>
      </c>
      <c r="D70" s="109">
        <f>C70*'FACTORES DE CONVERSIÓN'!B188</f>
        <v>7239.6</v>
      </c>
      <c r="E70" s="109">
        <f>'FACTORES DE CONVERSIÓN'!$C$215</f>
        <v>0.85</v>
      </c>
      <c r="F70" s="109">
        <f>1/'FACTORES DE CONVERSIÓN'!D305</f>
        <v>2.28125</v>
      </c>
      <c r="G70" s="109">
        <f>'FACTORES DE CONVERSIÓN'!C268</f>
        <v>1.07</v>
      </c>
      <c r="H70" s="109">
        <f>'FACTORES DE CONVERSIÓN'!D268</f>
        <v>1.54</v>
      </c>
      <c r="I70" s="109">
        <f t="shared" si="1"/>
        <v>4.0606407204817945</v>
      </c>
      <c r="J70" s="109">
        <f t="shared" si="2"/>
        <v>1.7237226771790946</v>
      </c>
      <c r="K70" s="109">
        <f>'FACTORES DE CONVERSIÓN'!E268</f>
        <v>0.016</v>
      </c>
      <c r="L70" s="109">
        <v>0</v>
      </c>
      <c r="M70" s="109">
        <f>'FACTORES DE CONVERSIÓN'!F268</f>
        <v>0.2</v>
      </c>
      <c r="N70" s="109">
        <f t="shared" si="3"/>
        <v>0.5447445354358189</v>
      </c>
      <c r="O70" s="109">
        <f>'FACTORES DE CONVERSIÓN'!G268</f>
        <v>0.014</v>
      </c>
      <c r="P70" s="109">
        <f t="shared" si="4"/>
        <v>2512240.027131</v>
      </c>
      <c r="X70"/>
      <c r="Y70"/>
      <c r="Z70"/>
      <c r="AA70"/>
      <c r="AB70"/>
      <c r="AC70"/>
      <c r="AD70"/>
      <c r="AE70"/>
      <c r="AF70"/>
      <c r="AG70"/>
      <c r="AH70"/>
      <c r="AI70"/>
      <c r="AJ70"/>
      <c r="AK70"/>
      <c r="AL70"/>
      <c r="AM70"/>
      <c r="AN70"/>
      <c r="AO70"/>
      <c r="AP70"/>
      <c r="AQ70"/>
      <c r="AR70"/>
      <c r="AS70"/>
      <c r="AT70"/>
      <c r="AU70"/>
      <c r="AV70"/>
      <c r="AW70"/>
      <c r="AX70"/>
      <c r="AY70"/>
      <c r="AZ70"/>
      <c r="BA70"/>
      <c r="BB70"/>
      <c r="BC70"/>
    </row>
    <row r="71" spans="1:55" ht="15">
      <c r="A71" s="212" t="str">
        <f t="shared" si="5"/>
        <v>Piña</v>
      </c>
      <c r="B71" s="109">
        <f t="shared" si="6"/>
        <v>29132.610857296422</v>
      </c>
      <c r="C71" s="109">
        <f t="shared" si="7"/>
        <v>14884</v>
      </c>
      <c r="D71" s="109">
        <v>0</v>
      </c>
      <c r="E71" s="109">
        <f>'FACTORES DE CONVERSIÓN'!$C$215</f>
        <v>0.85</v>
      </c>
      <c r="F71" s="109">
        <f>1/'FACTORES DE CONVERSIÓN'!D306</f>
        <v>1</v>
      </c>
      <c r="G71" s="109">
        <f>'FACTORES DE CONVERSIÓN'!C269</f>
        <v>1.07</v>
      </c>
      <c r="H71" s="109">
        <f>'FACTORES DE CONVERSIÓN'!D269</f>
        <v>1.54</v>
      </c>
      <c r="I71" s="109">
        <f t="shared" si="1"/>
        <v>32.711893617307176</v>
      </c>
      <c r="J71" s="109">
        <f t="shared" si="2"/>
        <v>1.1228617228144624</v>
      </c>
      <c r="K71" s="109">
        <f>'FACTORES DE CONVERSIÓN'!E269</f>
        <v>0.016</v>
      </c>
      <c r="L71" s="109">
        <v>0</v>
      </c>
      <c r="M71" s="109">
        <f>'FACTORES DE CONVERSIÓN'!F269</f>
        <v>0.2</v>
      </c>
      <c r="N71" s="109">
        <f t="shared" si="3"/>
        <v>0.4245723445628925</v>
      </c>
      <c r="O71" s="109">
        <f>'FACTORES DE CONVERSIÓN'!G269</f>
        <v>0.014</v>
      </c>
      <c r="P71" s="109">
        <f t="shared" si="4"/>
        <v>10367523.28648</v>
      </c>
      <c r="X71"/>
      <c r="Y71"/>
      <c r="Z71"/>
      <c r="AA71"/>
      <c r="AB71"/>
      <c r="AC71"/>
      <c r="AD71"/>
      <c r="AE71"/>
      <c r="AF71"/>
      <c r="AG71"/>
      <c r="AH71"/>
      <c r="AI71"/>
      <c r="AJ71"/>
      <c r="AK71"/>
      <c r="AL71"/>
      <c r="AM71"/>
      <c r="AN71"/>
      <c r="AO71"/>
      <c r="AP71"/>
      <c r="AQ71"/>
      <c r="AR71"/>
      <c r="AS71"/>
      <c r="AT71"/>
      <c r="AU71"/>
      <c r="AV71"/>
      <c r="AW71"/>
      <c r="AX71"/>
      <c r="AY71"/>
      <c r="AZ71"/>
      <c r="BA71"/>
      <c r="BB71"/>
      <c r="BC71"/>
    </row>
    <row r="72" spans="1:55" ht="15">
      <c r="A72" s="212" t="str">
        <f t="shared" si="5"/>
        <v>Maíz choclo</v>
      </c>
      <c r="B72" s="109">
        <f t="shared" si="6"/>
        <v>7814.420191917827</v>
      </c>
      <c r="C72" s="109">
        <f t="shared" si="7"/>
        <v>44394</v>
      </c>
      <c r="D72" s="109">
        <v>0</v>
      </c>
      <c r="E72" s="109">
        <f>'FACTORES DE CONVERSIÓN'!C212</f>
        <v>0.8</v>
      </c>
      <c r="F72" s="109">
        <f>1/'FACTORES DE CONVERSIÓN'!D307</f>
        <v>2</v>
      </c>
      <c r="G72" s="109">
        <f>'FACTORES DE CONVERSIÓN'!C270</f>
        <v>1.03</v>
      </c>
      <c r="H72" s="109">
        <f>'FACTORES DE CONVERSIÓN'!D270</f>
        <v>0.61</v>
      </c>
      <c r="I72" s="109">
        <f t="shared" si="1"/>
        <v>8.658852797675362</v>
      </c>
      <c r="J72" s="109">
        <f t="shared" si="2"/>
        <v>1.1080608138567851</v>
      </c>
      <c r="K72" s="109">
        <f>'FACTORES DE CONVERSIÓN'!E270</f>
        <v>0.006</v>
      </c>
      <c r="L72" s="109">
        <v>0</v>
      </c>
      <c r="M72" s="109">
        <f>'FACTORES DE CONVERSIÓN'!F270</f>
        <v>0.22</v>
      </c>
      <c r="N72" s="109">
        <f t="shared" si="3"/>
        <v>0.4637733790484927</v>
      </c>
      <c r="O72" s="109">
        <f>'FACTORES DE CONVERSIÓN'!G270</f>
        <v>0.007</v>
      </c>
      <c r="P72" s="109">
        <f t="shared" si="4"/>
        <v>6865261.934988</v>
      </c>
      <c r="X72"/>
      <c r="Y72"/>
      <c r="Z72"/>
      <c r="AA72"/>
      <c r="AB72"/>
      <c r="AC72"/>
      <c r="AD72"/>
      <c r="AE72"/>
      <c r="AF72"/>
      <c r="AG72"/>
      <c r="AH72"/>
      <c r="AI72"/>
      <c r="AJ72"/>
      <c r="AK72"/>
      <c r="AL72"/>
      <c r="AM72"/>
      <c r="AN72"/>
      <c r="AO72"/>
      <c r="AP72"/>
      <c r="AQ72"/>
      <c r="AR72"/>
      <c r="AS72"/>
      <c r="AT72"/>
      <c r="AU72"/>
      <c r="AV72"/>
      <c r="AW72"/>
      <c r="AX72"/>
      <c r="AY72"/>
      <c r="AZ72"/>
      <c r="BA72"/>
      <c r="BB72"/>
      <c r="BC72"/>
    </row>
    <row r="73" spans="1:55" ht="15">
      <c r="A73" s="212" t="str">
        <f aca="true" t="shared" si="8" ref="A73:A80">A126</f>
        <v>Espárrago</v>
      </c>
      <c r="B73" s="109">
        <f t="shared" si="6"/>
        <v>11124.181186848937</v>
      </c>
      <c r="C73" s="109">
        <f t="shared" si="7"/>
        <v>31967</v>
      </c>
      <c r="D73" s="109">
        <v>0</v>
      </c>
      <c r="E73" s="109">
        <f>'FACTORES DE CONVERSIÓN'!$C$215</f>
        <v>0.85</v>
      </c>
      <c r="F73" s="109">
        <f>1/'FACTORES DE CONVERSIÓN'!D308</f>
        <v>0.1111111111111111</v>
      </c>
      <c r="G73" s="109">
        <f>'FACTORES DE CONVERSIÓN'!C271</f>
        <v>1.07</v>
      </c>
      <c r="H73" s="109">
        <f>'FACTORES DE CONVERSIÓN'!D271</f>
        <v>1.54</v>
      </c>
      <c r="I73" s="109">
        <f t="shared" si="1"/>
        <v>13.442873869928363</v>
      </c>
      <c r="J73" s="109">
        <f t="shared" si="2"/>
        <v>1.2084371554304236</v>
      </c>
      <c r="K73" s="109">
        <f>'FACTORES DE CONVERSIÓN'!E271</f>
        <v>0.016</v>
      </c>
      <c r="L73" s="109">
        <v>0</v>
      </c>
      <c r="M73" s="109">
        <f>'FACTORES DE CONVERSIÓN'!F271</f>
        <v>0.2</v>
      </c>
      <c r="N73" s="109">
        <f t="shared" si="3"/>
        <v>0.4416874310860847</v>
      </c>
      <c r="O73" s="109">
        <f>'FACTORES DE CONVERSIÓN'!G271</f>
        <v>0.014</v>
      </c>
      <c r="P73" s="109">
        <f t="shared" si="4"/>
        <v>1008287.9690222221</v>
      </c>
      <c r="X73"/>
      <c r="Y73"/>
      <c r="Z73"/>
      <c r="AA73"/>
      <c r="AB73"/>
      <c r="AC73"/>
      <c r="AD73"/>
      <c r="AE73"/>
      <c r="AF73"/>
      <c r="AG73"/>
      <c r="AH73"/>
      <c r="AI73"/>
      <c r="AJ73"/>
      <c r="AK73"/>
      <c r="AL73"/>
      <c r="AM73"/>
      <c r="AN73"/>
      <c r="AO73"/>
      <c r="AP73"/>
      <c r="AQ73"/>
      <c r="AR73"/>
      <c r="AS73"/>
      <c r="AT73"/>
      <c r="AU73"/>
      <c r="AV73"/>
      <c r="AW73"/>
      <c r="AX73"/>
      <c r="AY73"/>
      <c r="AZ73"/>
      <c r="BA73"/>
      <c r="BB73"/>
      <c r="BC73"/>
    </row>
    <row r="74" spans="1:55" ht="15">
      <c r="A74" s="212" t="str">
        <f t="shared" si="8"/>
        <v>Maíz amiláceo</v>
      </c>
      <c r="B74" s="109">
        <f t="shared" si="6"/>
        <v>1223.2479018001945</v>
      </c>
      <c r="C74" s="109">
        <f t="shared" si="7"/>
        <v>197312</v>
      </c>
      <c r="D74" s="109">
        <v>0</v>
      </c>
      <c r="E74" s="109">
        <f>'FACTORES DE CONVERSIÓN'!C212</f>
        <v>0.8</v>
      </c>
      <c r="F74" s="109">
        <f>1/'FACTORES DE CONVERSIÓN'!D309</f>
        <v>1.5</v>
      </c>
      <c r="G74" s="109">
        <f>'FACTORES DE CONVERSIÓN'!C272</f>
        <v>1.03</v>
      </c>
      <c r="H74" s="109">
        <f>'FACTORES DE CONVERSIÓN'!D272</f>
        <v>0.61</v>
      </c>
      <c r="I74" s="109">
        <f t="shared" si="1"/>
        <v>1.8699453388542002</v>
      </c>
      <c r="J74" s="109">
        <f t="shared" si="2"/>
        <v>1.5286724269890775</v>
      </c>
      <c r="K74" s="109">
        <f>'FACTORES DE CONVERSIÓN'!E272</f>
        <v>0.006</v>
      </c>
      <c r="L74" s="109">
        <v>0</v>
      </c>
      <c r="M74" s="109">
        <f>'FACTORES DE CONVERSIÓN'!F272</f>
        <v>0.22</v>
      </c>
      <c r="N74" s="109">
        <f t="shared" si="3"/>
        <v>0.556307933937597</v>
      </c>
      <c r="O74" s="109">
        <f>'FACTORES DE CONVERSIÓN'!G272</f>
        <v>0.007</v>
      </c>
      <c r="P74" s="109">
        <f t="shared" si="4"/>
        <v>4730512.666556998</v>
      </c>
      <c r="X74"/>
      <c r="Y74"/>
      <c r="Z74"/>
      <c r="AA74"/>
      <c r="AB74"/>
      <c r="AC74"/>
      <c r="AD74"/>
      <c r="AE74"/>
      <c r="AF74"/>
      <c r="AG74"/>
      <c r="AH74"/>
      <c r="AI74"/>
      <c r="AJ74"/>
      <c r="AK74"/>
      <c r="AL74"/>
      <c r="AM74"/>
      <c r="AN74"/>
      <c r="AO74"/>
      <c r="AP74"/>
      <c r="AQ74"/>
      <c r="AR74"/>
      <c r="AS74"/>
      <c r="AT74"/>
      <c r="AU74"/>
      <c r="AV74"/>
      <c r="AW74"/>
      <c r="AX74"/>
      <c r="AY74"/>
      <c r="AZ74"/>
      <c r="BA74"/>
      <c r="BB74"/>
      <c r="BC74"/>
    </row>
    <row r="75" spans="1:55" ht="15">
      <c r="A75" s="212" t="str">
        <f t="shared" si="8"/>
        <v>Tomate</v>
      </c>
      <c r="B75" s="109">
        <f t="shared" si="6"/>
        <v>36066.8863261944</v>
      </c>
      <c r="C75" s="109">
        <f t="shared" si="7"/>
        <v>6070</v>
      </c>
      <c r="D75" s="109">
        <v>0</v>
      </c>
      <c r="E75" s="109">
        <f>'FACTORES DE CONVERSIÓN'!$C$215</f>
        <v>0.85</v>
      </c>
      <c r="F75" s="109">
        <f>1/'FACTORES DE CONVERSIÓN'!D310</f>
        <v>2.56140350877193</v>
      </c>
      <c r="G75" s="109">
        <f>'FACTORES DE CONVERSIÓN'!C273</f>
        <v>1.07</v>
      </c>
      <c r="H75" s="109">
        <f>'FACTORES DE CONVERSIÓN'!D273</f>
        <v>1.54</v>
      </c>
      <c r="I75" s="109">
        <f t="shared" si="1"/>
        <v>40.13156836902801</v>
      </c>
      <c r="J75" s="109">
        <f t="shared" si="2"/>
        <v>1.1126984460502638</v>
      </c>
      <c r="K75" s="109">
        <f>'FACTORES DE CONVERSIÓN'!E273</f>
        <v>0.016</v>
      </c>
      <c r="L75" s="109">
        <v>0</v>
      </c>
      <c r="M75" s="109">
        <f>'FACTORES DE CONVERSIÓN'!F273</f>
        <v>0.2</v>
      </c>
      <c r="N75" s="109">
        <f t="shared" si="3"/>
        <v>0.42253968921005275</v>
      </c>
      <c r="O75" s="109">
        <f>'FACTORES DE CONVERSIÓN'!G273</f>
        <v>0.014</v>
      </c>
      <c r="P75" s="109">
        <f t="shared" si="4"/>
        <v>13300463.876771934</v>
      </c>
      <c r="X75"/>
      <c r="Y75"/>
      <c r="Z75"/>
      <c r="AA75"/>
      <c r="AB75"/>
      <c r="AC75"/>
      <c r="AD75"/>
      <c r="AE75"/>
      <c r="AF75"/>
      <c r="AG75"/>
      <c r="AH75"/>
      <c r="AI75"/>
      <c r="AJ75"/>
      <c r="AK75"/>
      <c r="AL75"/>
      <c r="AM75"/>
      <c r="AN75"/>
      <c r="AO75"/>
      <c r="AP75"/>
      <c r="AQ75"/>
      <c r="AR75"/>
      <c r="AS75"/>
      <c r="AT75"/>
      <c r="AU75"/>
      <c r="AV75"/>
      <c r="AW75"/>
      <c r="AX75"/>
      <c r="AY75"/>
      <c r="AZ75"/>
      <c r="BA75"/>
      <c r="BB75"/>
      <c r="BC75"/>
    </row>
    <row r="76" spans="1:55" ht="15">
      <c r="A76" s="212" t="str">
        <f t="shared" si="8"/>
        <v>Trigo</v>
      </c>
      <c r="B76" s="109">
        <f t="shared" si="6"/>
        <v>1337.372306966504</v>
      </c>
      <c r="C76" s="109">
        <f t="shared" si="7"/>
        <v>127180</v>
      </c>
      <c r="D76" s="109">
        <v>0</v>
      </c>
      <c r="E76" s="109">
        <f>'FACTORES DE CONVERSIÓN'!C211</f>
        <v>0.9</v>
      </c>
      <c r="F76" s="109">
        <f>1/'FACTORES DE CONVERSIÓN'!D311</f>
        <v>2.1470588235294117</v>
      </c>
      <c r="G76" s="109">
        <f>'FACTORES DE CONVERSIÓN'!C274</f>
        <v>1.51</v>
      </c>
      <c r="H76" s="109">
        <f>'FACTORES DE CONVERSIÓN'!D274</f>
        <v>0.52</v>
      </c>
      <c r="I76" s="109">
        <f t="shared" si="1"/>
        <v>2.539432183519421</v>
      </c>
      <c r="J76" s="109">
        <f t="shared" si="2"/>
        <v>1.8988221681361792</v>
      </c>
      <c r="K76" s="109">
        <f>'FACTORES DE CONVERSIÓN'!E274</f>
        <v>0.006</v>
      </c>
      <c r="L76" s="109">
        <v>0</v>
      </c>
      <c r="M76" s="109">
        <f>'FACTORES DE CONVERSIÓN'!F274</f>
        <v>0.24</v>
      </c>
      <c r="N76" s="109">
        <f t="shared" si="3"/>
        <v>0.695717320352683</v>
      </c>
      <c r="O76" s="109">
        <f>'FACTORES DE CONVERSIÓN'!G274</f>
        <v>0.009</v>
      </c>
      <c r="P76" s="109">
        <f t="shared" si="4"/>
        <v>6447150.060622588</v>
      </c>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row>
    <row r="77" spans="1:55" ht="15">
      <c r="A77" s="212" t="str">
        <f t="shared" si="8"/>
        <v>Cebada grano</v>
      </c>
      <c r="B77" s="109">
        <f t="shared" si="6"/>
        <v>1340.7729198128848</v>
      </c>
      <c r="C77" s="109">
        <f t="shared" si="7"/>
        <v>135745</v>
      </c>
      <c r="D77" s="109">
        <v>0</v>
      </c>
      <c r="E77" s="109">
        <f>'FACTORES DE CONVERSIÓN'!$C$215</f>
        <v>0.85</v>
      </c>
      <c r="F77" s="109">
        <f>1/'FACTORES DE CONVERSIÓN'!D312</f>
        <v>2.5172413793103448</v>
      </c>
      <c r="G77" s="109">
        <f>'FACTORES DE CONVERSIÓN'!C275</f>
        <v>0.98</v>
      </c>
      <c r="H77" s="109">
        <f>'FACTORES DE CONVERSIÓN'!D275</f>
        <v>0.59</v>
      </c>
      <c r="I77" s="109">
        <f t="shared" si="1"/>
        <v>1.9039574614166273</v>
      </c>
      <c r="J77" s="109">
        <f t="shared" si="2"/>
        <v>1.4200446871214696</v>
      </c>
      <c r="K77" s="109">
        <f>'FACTORES DE CONVERSIÓN'!E275</f>
        <v>0.007</v>
      </c>
      <c r="L77" s="109">
        <v>0</v>
      </c>
      <c r="M77" s="109">
        <f>'FACTORES DE CONVERSIÓN'!F275</f>
        <v>0.022</v>
      </c>
      <c r="N77" s="109">
        <f t="shared" si="3"/>
        <v>0.05324098311667234</v>
      </c>
      <c r="O77" s="109">
        <f>'FACTORES DE CONVERSIÓN'!G275</f>
        <v>0.014</v>
      </c>
      <c r="P77" s="109">
        <f t="shared" si="4"/>
        <v>4895604.951475532</v>
      </c>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row>
    <row r="78" spans="1:55" ht="15">
      <c r="A78" s="212" t="str">
        <f t="shared" si="8"/>
        <v>Palma aceitera</v>
      </c>
      <c r="B78" s="109">
        <f t="shared" si="6"/>
        <v>13556.697416612804</v>
      </c>
      <c r="C78" s="109">
        <f t="shared" si="7"/>
        <v>51057</v>
      </c>
      <c r="D78" s="109">
        <v>0</v>
      </c>
      <c r="E78" s="109">
        <f>'FACTORES DE CONVERSIÓN'!$C$215</f>
        <v>0.85</v>
      </c>
      <c r="F78" s="109">
        <f>1/'FACTORES DE CONVERSIÓN'!D313</f>
        <v>0.04</v>
      </c>
      <c r="G78" s="109">
        <f>'FACTORES DE CONVERSIÓN'!C276</f>
        <v>1.07</v>
      </c>
      <c r="H78" s="109">
        <f>'FACTORES DE CONVERSIÓN'!D276</f>
        <v>1.54</v>
      </c>
      <c r="I78" s="109">
        <f t="shared" si="1"/>
        <v>16.045666235775702</v>
      </c>
      <c r="J78" s="109">
        <f t="shared" si="2"/>
        <v>1.1835969884606878</v>
      </c>
      <c r="K78" s="109">
        <f>'FACTORES DE CONVERSIÓN'!E276</f>
        <v>0.016</v>
      </c>
      <c r="L78" s="109">
        <v>0</v>
      </c>
      <c r="M78" s="109">
        <f>'FACTORES DE CONVERSIÓN'!F276</f>
        <v>0.2</v>
      </c>
      <c r="N78" s="109">
        <f t="shared" si="3"/>
        <v>0.43671939769213763</v>
      </c>
      <c r="O78" s="109">
        <f>'FACTORES DE CONVERSIÓN'!G276</f>
        <v>0.014</v>
      </c>
      <c r="P78" s="109">
        <f t="shared" si="4"/>
        <v>693593.574512</v>
      </c>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row>
    <row r="79" spans="1:55" ht="15">
      <c r="A79" s="212" t="str">
        <f t="shared" si="8"/>
        <v>Café pergamino</v>
      </c>
      <c r="B79" s="109">
        <f t="shared" si="6"/>
        <v>679.9811445075565</v>
      </c>
      <c r="C79" s="109">
        <f t="shared" si="7"/>
        <v>383973</v>
      </c>
      <c r="D79" s="109">
        <v>0</v>
      </c>
      <c r="E79" s="109">
        <f>'FACTORES DE CONVERSIÓN'!$C$215</f>
        <v>0.85</v>
      </c>
      <c r="F79" s="109">
        <f>1/'FACTORES DE CONVERSIÓN'!D314</f>
        <v>0.03333333333333333</v>
      </c>
      <c r="G79" s="109">
        <f>'FACTORES DE CONVERSIÓN'!C277</f>
        <v>1.07</v>
      </c>
      <c r="H79" s="109">
        <f>'FACTORES DE CONVERSIÓN'!D277</f>
        <v>1.54</v>
      </c>
      <c r="I79" s="109">
        <f t="shared" si="1"/>
        <v>2.2675798246230854</v>
      </c>
      <c r="J79" s="109">
        <f t="shared" si="2"/>
        <v>3.33476868136582</v>
      </c>
      <c r="K79" s="109">
        <f>'FACTORES DE CONVERSIÓN'!E277</f>
        <v>0.016</v>
      </c>
      <c r="L79" s="109">
        <v>0</v>
      </c>
      <c r="M79" s="109">
        <f>'FACTORES DE CONVERSIÓN'!F277</f>
        <v>0.2</v>
      </c>
      <c r="N79" s="109">
        <f t="shared" si="3"/>
        <v>0.8669537362731641</v>
      </c>
      <c r="O79" s="109">
        <f>'FACTORES DE CONVERSIÓN'!G277</f>
        <v>0.014</v>
      </c>
      <c r="P79" s="109">
        <f t="shared" si="4"/>
        <v>570000.8522133334</v>
      </c>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row>
    <row r="80" spans="1:55" ht="15">
      <c r="A80" s="212" t="str">
        <f t="shared" si="8"/>
        <v>Cacao</v>
      </c>
      <c r="B80" s="109">
        <f t="shared" si="6"/>
        <v>807.7972957907979</v>
      </c>
      <c r="C80" s="109">
        <f t="shared" si="7"/>
        <v>125582</v>
      </c>
      <c r="D80" s="109">
        <v>0</v>
      </c>
      <c r="E80" s="109">
        <f>'FACTORES DE CONVERSIÓN'!$C$215</f>
        <v>0.85</v>
      </c>
      <c r="F80" s="109">
        <f>1/'FACTORES DE CONVERSIÓN'!D315</f>
        <v>0.02</v>
      </c>
      <c r="G80" s="109">
        <f>'FACTORES DE CONVERSIÓN'!C278</f>
        <v>1.07</v>
      </c>
      <c r="H80" s="109">
        <f>'FACTORES DE CONVERSIÓN'!D278</f>
        <v>1.54</v>
      </c>
      <c r="I80" s="109">
        <f t="shared" si="1"/>
        <v>2.404343106496154</v>
      </c>
      <c r="J80" s="109">
        <f t="shared" si="2"/>
        <v>2.9764188603062958</v>
      </c>
      <c r="K80" s="109">
        <f>'FACTORES DE CONVERSIÓN'!E278</f>
        <v>0.016</v>
      </c>
      <c r="L80" s="109">
        <v>0</v>
      </c>
      <c r="M80" s="109">
        <f>'FACTORES DE CONVERSIÓN'!F278</f>
        <v>0.2</v>
      </c>
      <c r="N80" s="109">
        <f t="shared" si="3"/>
        <v>0.7952837720612592</v>
      </c>
      <c r="O80" s="109">
        <f>'FACTORES DE CONVERSIÓN'!G278</f>
        <v>0.014</v>
      </c>
      <c r="P80" s="109">
        <f t="shared" si="4"/>
        <v>119211.18201600005</v>
      </c>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row>
    <row r="81" spans="1:55" ht="26.25">
      <c r="A81" s="213" t="s">
        <v>334</v>
      </c>
      <c r="B81" s="207"/>
      <c r="C81" s="207"/>
      <c r="D81" s="207"/>
      <c r="E81" s="207"/>
      <c r="F81" s="207"/>
      <c r="G81" s="207"/>
      <c r="H81" s="207"/>
      <c r="I81" s="207"/>
      <c r="J81" s="207"/>
      <c r="K81" s="207"/>
      <c r="L81" s="207"/>
      <c r="M81" s="207"/>
      <c r="N81" s="207"/>
      <c r="O81" s="207"/>
      <c r="P81" s="134">
        <f>SUM(P82:P90)</f>
        <v>14165075.61221946</v>
      </c>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row>
    <row r="82" spans="1:55" ht="15">
      <c r="A82" s="212" t="str">
        <f>A135</f>
        <v>Arveja gr. Verde</v>
      </c>
      <c r="B82" s="109">
        <f aca="true" t="shared" si="9" ref="B82:B90">F135</f>
        <v>375.7625629732948</v>
      </c>
      <c r="C82" s="109">
        <f aca="true" t="shared" si="10" ref="C82:C90">B135</f>
        <v>120125.325</v>
      </c>
      <c r="D82" s="109">
        <v>0</v>
      </c>
      <c r="E82" s="109">
        <f>'FACTORES DE CONVERSIÓN'!$C$215</f>
        <v>0.85</v>
      </c>
      <c r="F82" s="109">
        <f>1/'FACTORES DE CONVERSIÓN'!D316</f>
        <v>2.181818181818182</v>
      </c>
      <c r="G82" s="109">
        <f>'FACTORES DE CONVERSIÓN'!C279</f>
        <v>0.36</v>
      </c>
      <c r="H82" s="109">
        <f>'FACTORES DE CONVERSIÓN'!D279</f>
        <v>0.68</v>
      </c>
      <c r="I82" s="109">
        <f t="shared" si="1"/>
        <v>0.8152745226703861</v>
      </c>
      <c r="J82" s="109">
        <f aca="true" t="shared" si="11" ref="J82:J90">I82*1000/B82</f>
        <v>2.1696534008586883</v>
      </c>
      <c r="K82" s="109">
        <f>'FACTORES DE CONVERSIÓN'!E279</f>
        <v>0.01</v>
      </c>
      <c r="L82" s="109">
        <v>0</v>
      </c>
      <c r="M82" s="109">
        <f>'FACTORES DE CONVERSIÓN'!F279</f>
        <v>0.19</v>
      </c>
      <c r="N82" s="109">
        <f aca="true" t="shared" si="12" ref="N82:N90">M82*(I82*1000+B82)/B82</f>
        <v>0.6022341461631509</v>
      </c>
      <c r="O82" s="109">
        <f>'FACTORES DE CONVERSIÓN'!G279</f>
        <v>0.01</v>
      </c>
      <c r="P82" s="109">
        <f>B82*F82*((C82-D82*E82)*J82*K82*(1-L82)+C82*N82*O82)</f>
        <v>2729871.7795636365</v>
      </c>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row>
    <row r="83" spans="1:55" ht="15">
      <c r="A83" s="212" t="str">
        <f aca="true" t="shared" si="13" ref="A83:A90">A136</f>
        <v>Arveja grano seco</v>
      </c>
      <c r="B83" s="109">
        <f t="shared" si="9"/>
        <v>2155.6325319401817</v>
      </c>
      <c r="C83" s="109">
        <f t="shared" si="10"/>
        <v>50153.91</v>
      </c>
      <c r="D83" s="109">
        <v>0</v>
      </c>
      <c r="E83" s="109">
        <f>'FACTORES DE CONVERSIÓN'!$C$215</f>
        <v>0.85</v>
      </c>
      <c r="F83" s="109">
        <f>1/'FACTORES DE CONVERSIÓN'!D317</f>
        <v>2.181818181818182</v>
      </c>
      <c r="G83" s="109">
        <f>'FACTORES DE CONVERSIÓN'!C280</f>
        <v>0.36</v>
      </c>
      <c r="H83" s="109">
        <f>'FACTORES DE CONVERSIÓN'!D280</f>
        <v>0.68</v>
      </c>
      <c r="I83" s="109">
        <f t="shared" si="1"/>
        <v>1.4560277114984657</v>
      </c>
      <c r="J83" s="109">
        <f t="shared" si="11"/>
        <v>0.6754526524926605</v>
      </c>
      <c r="K83" s="109">
        <f>'FACTORES DE CONVERSIÓN'!E280</f>
        <v>0.01</v>
      </c>
      <c r="L83" s="109">
        <v>0</v>
      </c>
      <c r="M83" s="109">
        <f>'FACTORES DE CONVERSIÓN'!F280</f>
        <v>0.19</v>
      </c>
      <c r="N83" s="109">
        <f t="shared" si="12"/>
        <v>0.3183360039736055</v>
      </c>
      <c r="O83" s="109">
        <f>'FACTORES DE CONVERSIÓN'!G280</f>
        <v>0.01</v>
      </c>
      <c r="P83" s="109">
        <f aca="true" t="shared" si="14" ref="P83:P90">B83*F83*((C83-D83*E83)*J83*K83*(1-L83)+C83*N83*O83)</f>
        <v>2344186.2661527274</v>
      </c>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row>
    <row r="84" spans="1:55" ht="15">
      <c r="A84" s="212" t="str">
        <f t="shared" si="13"/>
        <v>Frijol grano seco</v>
      </c>
      <c r="B84" s="109">
        <f t="shared" si="9"/>
        <v>900.0250016217117</v>
      </c>
      <c r="C84" s="109">
        <f t="shared" si="10"/>
        <v>80886.753</v>
      </c>
      <c r="D84" s="109">
        <v>0</v>
      </c>
      <c r="E84" s="109">
        <f>'FACTORES DE CONVERSIÓN'!$C$215</f>
        <v>0.85</v>
      </c>
      <c r="F84" s="109">
        <f>1/'FACTORES DE CONVERSIÓN'!D318</f>
        <v>1.7142857142857142</v>
      </c>
      <c r="G84" s="109">
        <f>'FACTORES DE CONVERSIÓN'!C281</f>
        <v>0.36</v>
      </c>
      <c r="H84" s="109">
        <f>'FACTORES DE CONVERSIÓN'!D281</f>
        <v>0.68</v>
      </c>
      <c r="I84" s="109">
        <f t="shared" si="1"/>
        <v>1.0040090005838163</v>
      </c>
      <c r="J84" s="109">
        <f t="shared" si="11"/>
        <v>1.1155345671228476</v>
      </c>
      <c r="K84" s="109">
        <f>'FACTORES DE CONVERSIÓN'!E281</f>
        <v>0.01</v>
      </c>
      <c r="L84" s="109">
        <v>0</v>
      </c>
      <c r="M84" s="109">
        <f>'FACTORES DE CONVERSIÓN'!F281</f>
        <v>0.19</v>
      </c>
      <c r="N84" s="109">
        <f t="shared" si="12"/>
        <v>0.401951567753341</v>
      </c>
      <c r="O84" s="109">
        <f>'FACTORES DE CONVERSIÓN'!G281</f>
        <v>0.01</v>
      </c>
      <c r="P84" s="109">
        <f t="shared" si="14"/>
        <v>1893825.2977302857</v>
      </c>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row>
    <row r="85" spans="1:55" ht="15">
      <c r="A85" s="212" t="str">
        <f t="shared" si="13"/>
        <v>Haba grano seco</v>
      </c>
      <c r="B85" s="109">
        <f t="shared" si="9"/>
        <v>899.9926541938318</v>
      </c>
      <c r="C85" s="109">
        <f t="shared" si="10"/>
        <v>71918.587</v>
      </c>
      <c r="D85" s="109">
        <v>0</v>
      </c>
      <c r="E85" s="109">
        <f>'FACTORES DE CONVERSIÓN'!$C$215</f>
        <v>0.85</v>
      </c>
      <c r="F85" s="109">
        <f>1/'FACTORES DE CONVERSIÓN'!D319</f>
        <v>2.181818181818182</v>
      </c>
      <c r="G85" s="109">
        <f>'FACTORES DE CONVERSIÓN'!C282</f>
        <v>0.36</v>
      </c>
      <c r="H85" s="109">
        <f>'FACTORES DE CONVERSIÓN'!D282</f>
        <v>0.68</v>
      </c>
      <c r="I85" s="109">
        <f t="shared" si="1"/>
        <v>1.0039973555097794</v>
      </c>
      <c r="J85" s="109">
        <f t="shared" si="11"/>
        <v>1.1155617224555125</v>
      </c>
      <c r="K85" s="109">
        <f>'FACTORES DE CONVERSIÓN'!E282</f>
        <v>0.01</v>
      </c>
      <c r="L85" s="109">
        <v>0</v>
      </c>
      <c r="M85" s="109">
        <f>'FACTORES DE CONVERSIÓN'!F282</f>
        <v>0.19</v>
      </c>
      <c r="N85" s="109">
        <f t="shared" si="12"/>
        <v>0.40195672726654735</v>
      </c>
      <c r="O85" s="109">
        <f>'FACTORES DE CONVERSIÓN'!G282</f>
        <v>0.01</v>
      </c>
      <c r="P85" s="109">
        <f t="shared" si="14"/>
        <v>2143051.694845091</v>
      </c>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row>
    <row r="86" spans="1:55" ht="15">
      <c r="A86" s="212" t="str">
        <f t="shared" si="13"/>
        <v>Pallar grano seco</v>
      </c>
      <c r="B86" s="109">
        <f t="shared" si="9"/>
        <v>899.9438007459341</v>
      </c>
      <c r="C86" s="109">
        <f t="shared" si="10"/>
        <v>13099.818</v>
      </c>
      <c r="D86" s="109">
        <v>0</v>
      </c>
      <c r="E86" s="109">
        <f>'FACTORES DE CONVERSIÓN'!$C$215</f>
        <v>0.85</v>
      </c>
      <c r="F86" s="109">
        <f>1/'FACTORES DE CONVERSIÓN'!D320</f>
        <v>2.607142857142857</v>
      </c>
      <c r="G86" s="109">
        <f>'FACTORES DE CONVERSIÓN'!C283</f>
        <v>0.36</v>
      </c>
      <c r="H86" s="109">
        <f>'FACTORES DE CONVERSIÓN'!D283</f>
        <v>0.68</v>
      </c>
      <c r="I86" s="109">
        <f t="shared" si="1"/>
        <v>1.0039797682685363</v>
      </c>
      <c r="J86" s="109">
        <f t="shared" si="11"/>
        <v>1.1156027381225029</v>
      </c>
      <c r="K86" s="109">
        <f>'FACTORES DE CONVERSIÓN'!E283</f>
        <v>0.01</v>
      </c>
      <c r="L86" s="109">
        <v>0</v>
      </c>
      <c r="M86" s="109">
        <f>'FACTORES DE CONVERSIÓN'!F283</f>
        <v>0.19</v>
      </c>
      <c r="N86" s="109">
        <f t="shared" si="12"/>
        <v>0.4019645202432756</v>
      </c>
      <c r="O86" s="109">
        <f>'FACTORES DE CONVERSIÓN'!G283</f>
        <v>0.01</v>
      </c>
      <c r="P86" s="109">
        <f t="shared" si="14"/>
        <v>466437.4671745714</v>
      </c>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row>
    <row r="87" spans="1:55" ht="15">
      <c r="A87" s="212" t="str">
        <f t="shared" si="13"/>
        <v>frijol castilla /caupi</v>
      </c>
      <c r="B87" s="109">
        <f t="shared" si="9"/>
        <v>899.9878018182234</v>
      </c>
      <c r="C87" s="109">
        <f t="shared" si="10"/>
        <v>24200.327999999998</v>
      </c>
      <c r="D87" s="109">
        <v>0</v>
      </c>
      <c r="E87" s="109">
        <f>'FACTORES DE CONVERSIÓN'!$C$215</f>
        <v>0.85</v>
      </c>
      <c r="F87" s="109">
        <f>1/'FACTORES DE CONVERSIÓN'!D321</f>
        <v>4.055555555555555</v>
      </c>
      <c r="G87" s="109">
        <f>'FACTORES DE CONVERSIÓN'!C284</f>
        <v>0.36</v>
      </c>
      <c r="H87" s="109">
        <f>'FACTORES DE CONVERSIÓN'!D284</f>
        <v>0.68</v>
      </c>
      <c r="I87" s="109">
        <f t="shared" si="1"/>
        <v>1.0039956086545605</v>
      </c>
      <c r="J87" s="109">
        <f t="shared" si="11"/>
        <v>1.1155657961432508</v>
      </c>
      <c r="K87" s="109">
        <f>'FACTORES DE CONVERSIÓN'!E284</f>
        <v>0.01</v>
      </c>
      <c r="L87" s="109">
        <v>0</v>
      </c>
      <c r="M87" s="109">
        <f>'FACTORES DE CONVERSIÓN'!F284</f>
        <v>0.19</v>
      </c>
      <c r="N87" s="109">
        <f t="shared" si="12"/>
        <v>0.40195750126721763</v>
      </c>
      <c r="O87" s="109">
        <f>'FACTORES DE CONVERSIÓN'!G284</f>
        <v>0.01</v>
      </c>
      <c r="P87" s="109">
        <f t="shared" si="14"/>
        <v>1340428.3286026667</v>
      </c>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row>
    <row r="88" spans="1:55" ht="15">
      <c r="A88" s="212" t="str">
        <f t="shared" si="13"/>
        <v>tarwi</v>
      </c>
      <c r="B88" s="109">
        <f t="shared" si="9"/>
        <v>899.9858765323606</v>
      </c>
      <c r="C88" s="109">
        <f t="shared" si="10"/>
        <v>14019.22</v>
      </c>
      <c r="D88" s="109">
        <v>0</v>
      </c>
      <c r="E88" s="109">
        <f>'FACTORES DE CONVERSIÓN'!$C$215</f>
        <v>0.85</v>
      </c>
      <c r="F88" s="109">
        <f>1/'FACTORES DE CONVERSIÓN'!D322</f>
        <v>1.4117647058823528</v>
      </c>
      <c r="G88" s="109">
        <f>'FACTORES DE CONVERSIÓN'!C285</f>
        <v>0.36</v>
      </c>
      <c r="H88" s="109">
        <f>'FACTORES DE CONVERSIÓN'!D285</f>
        <v>0.68</v>
      </c>
      <c r="I88" s="109">
        <f t="shared" si="1"/>
        <v>1.0039949155516499</v>
      </c>
      <c r="J88" s="109">
        <f t="shared" si="11"/>
        <v>1.1155674124798884</v>
      </c>
      <c r="K88" s="109">
        <f>'FACTORES DE CONVERSIÓN'!E285</f>
        <v>0.01</v>
      </c>
      <c r="L88" s="109">
        <v>0</v>
      </c>
      <c r="M88" s="109">
        <f>'FACTORES DE CONVERSIÓN'!F285</f>
        <v>0.19</v>
      </c>
      <c r="N88" s="109">
        <f t="shared" si="12"/>
        <v>0.40195780837117884</v>
      </c>
      <c r="O88" s="109">
        <f>'FACTORES DE CONVERSIÓN'!G285</f>
        <v>0.01</v>
      </c>
      <c r="P88" s="109">
        <f t="shared" si="14"/>
        <v>270307.3053741177</v>
      </c>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row>
    <row r="89" spans="1:55" ht="15">
      <c r="A89" s="212" t="str">
        <f t="shared" si="13"/>
        <v>Haba grano verde</v>
      </c>
      <c r="B89" s="109">
        <f t="shared" si="9"/>
        <v>900.0066862994989</v>
      </c>
      <c r="C89" s="109">
        <f t="shared" si="10"/>
        <v>64340.522</v>
      </c>
      <c r="D89" s="109">
        <v>0</v>
      </c>
      <c r="E89" s="109">
        <f>'FACTORES DE CONVERSIÓN'!$C$215</f>
        <v>0.85</v>
      </c>
      <c r="F89" s="109">
        <f>1/'FACTORES DE CONVERSIÓN'!D323</f>
        <v>3.3181818181818183</v>
      </c>
      <c r="G89" s="109">
        <f>'FACTORES DE CONVERSIÓN'!C286</f>
        <v>0.36</v>
      </c>
      <c r="H89" s="109">
        <f>'FACTORES DE CONVERSIÓN'!D286</f>
        <v>0.68</v>
      </c>
      <c r="I89" s="109">
        <f t="shared" si="1"/>
        <v>1.0040024070678197</v>
      </c>
      <c r="J89" s="109">
        <f t="shared" si="11"/>
        <v>1.1155499424075541</v>
      </c>
      <c r="K89" s="109">
        <f>'FACTORES DE CONVERSIÓN'!E286</f>
        <v>0.01</v>
      </c>
      <c r="L89" s="109">
        <v>0</v>
      </c>
      <c r="M89" s="109">
        <f>'FACTORES DE CONVERSIÓN'!F286</f>
        <v>0.19</v>
      </c>
      <c r="N89" s="109">
        <f t="shared" si="12"/>
        <v>0.4019544890574353</v>
      </c>
      <c r="O89" s="109">
        <f>'FACTORES DE CONVERSIÓN'!G286</f>
        <v>0.01</v>
      </c>
      <c r="P89" s="109">
        <f t="shared" si="14"/>
        <v>2915818.339752364</v>
      </c>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row>
    <row r="90" spans="1:55" ht="15">
      <c r="A90" s="212" t="str">
        <f t="shared" si="13"/>
        <v>Soya</v>
      </c>
      <c r="B90" s="109">
        <f t="shared" si="9"/>
        <v>910.517641224603</v>
      </c>
      <c r="C90" s="109">
        <f t="shared" si="10"/>
        <v>1371.22</v>
      </c>
      <c r="D90" s="109">
        <v>0</v>
      </c>
      <c r="E90" s="109">
        <f>'FACTORES DE CONVERSIÓN'!$C$215</f>
        <v>0.85</v>
      </c>
      <c r="F90" s="109">
        <f>1/'FACTORES DE CONVERSIÓN'!D324</f>
        <v>2</v>
      </c>
      <c r="G90" s="109">
        <f>'FACTORES DE CONVERSIÓN'!C287</f>
        <v>0.93</v>
      </c>
      <c r="H90" s="109">
        <f>'FACTORES DE CONVERSIÓN'!D287</f>
        <v>1.35</v>
      </c>
      <c r="I90" s="109">
        <f t="shared" si="1"/>
        <v>2.196781406338881</v>
      </c>
      <c r="J90" s="109">
        <f t="shared" si="11"/>
        <v>2.41267308493256</v>
      </c>
      <c r="K90" s="109">
        <f>'FACTORES DE CONVERSIÓN'!E287</f>
        <v>0.008</v>
      </c>
      <c r="L90" s="109">
        <v>0</v>
      </c>
      <c r="M90" s="109">
        <f>'FACTORES DE CONVERSIÓN'!F287</f>
        <v>0.19</v>
      </c>
      <c r="N90" s="109">
        <f t="shared" si="12"/>
        <v>0.6484078861371865</v>
      </c>
      <c r="O90" s="109">
        <f>'FACTORES DE CONVERSIÓN'!G287</f>
        <v>0.008</v>
      </c>
      <c r="P90" s="109">
        <f t="shared" si="14"/>
        <v>61149.13302400001</v>
      </c>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row>
    <row r="91" spans="1:55" ht="15">
      <c r="A91" s="213" t="s">
        <v>335</v>
      </c>
      <c r="B91" s="207"/>
      <c r="C91" s="207"/>
      <c r="D91" s="207"/>
      <c r="E91" s="207"/>
      <c r="F91" s="207"/>
      <c r="G91" s="207"/>
      <c r="H91" s="207"/>
      <c r="I91" s="207"/>
      <c r="J91" s="207"/>
      <c r="K91" s="207"/>
      <c r="L91" s="207"/>
      <c r="M91" s="207"/>
      <c r="N91" s="207"/>
      <c r="O91" s="207"/>
      <c r="P91" s="134">
        <f>SUM(P92:P94)</f>
        <v>47226002.8752797</v>
      </c>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row>
    <row r="92" spans="1:55" ht="15">
      <c r="A92" s="212" t="str">
        <f>A145</f>
        <v>Papa</v>
      </c>
      <c r="B92" s="109">
        <f>F145</f>
        <v>3196.4467217467713</v>
      </c>
      <c r="C92" s="109">
        <f>B145</f>
        <v>310699</v>
      </c>
      <c r="D92" s="109">
        <v>0</v>
      </c>
      <c r="E92" s="109">
        <f>'FACTORES DE CONVERSIÓN'!$C$215</f>
        <v>0.85</v>
      </c>
      <c r="F92" s="109">
        <f>1/'FACTORES DE CONVERSIÓN'!D325</f>
        <v>2.4333333333333336</v>
      </c>
      <c r="G92" s="109">
        <f>'FACTORES DE CONVERSIÓN'!C288</f>
        <v>0.1</v>
      </c>
      <c r="H92" s="109">
        <f>'FACTORES DE CONVERSIÓN'!D288</f>
        <v>1.06</v>
      </c>
      <c r="I92" s="109">
        <f t="shared" si="1"/>
        <v>1.3796446721746771</v>
      </c>
      <c r="J92" s="109">
        <f>I92*1000/B92</f>
        <v>0.4316182287001295</v>
      </c>
      <c r="K92" s="109">
        <f>'FACTORES DE CONVERSIÓN'!E288</f>
        <v>0.019</v>
      </c>
      <c r="L92" s="109">
        <v>0</v>
      </c>
      <c r="M92" s="109">
        <f>'FACTORES DE CONVERSIÓN'!F288</f>
        <v>0.2</v>
      </c>
      <c r="N92" s="109">
        <f>M92*(I92*1000+B92)/B92</f>
        <v>0.28632364574002594</v>
      </c>
      <c r="O92" s="109">
        <f>'FACTORES DE CONVERSIÓN'!G288</f>
        <v>0.014</v>
      </c>
      <c r="P92" s="109">
        <f>B92*F92*((C92-D92*E92)*J92*K92*(1-L92)+C92*N92*O92)</f>
        <v>29505222.33426667</v>
      </c>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row>
    <row r="93" spans="1:55" ht="15">
      <c r="A93" s="212" t="str">
        <f>A146</f>
        <v>Yuca</v>
      </c>
      <c r="B93" s="109">
        <f>F146</f>
        <v>2621.4581924951317</v>
      </c>
      <c r="C93" s="109">
        <f>B146</f>
        <v>99109</v>
      </c>
      <c r="D93" s="109">
        <v>0</v>
      </c>
      <c r="E93" s="109">
        <f>'FACTORES DE CONVERSIÓN'!$C$215</f>
        <v>0.85</v>
      </c>
      <c r="F93" s="109">
        <f>1/'FACTORES DE CONVERSIÓN'!D326</f>
        <v>1.7142857142857142</v>
      </c>
      <c r="G93" s="109">
        <f>'FACTORES DE CONVERSIÓN'!C289</f>
        <v>0.1</v>
      </c>
      <c r="H93" s="109">
        <f>'FACTORES DE CONVERSIÓN'!D289</f>
        <v>1.06</v>
      </c>
      <c r="I93" s="109">
        <f t="shared" si="1"/>
        <v>1.3221458192495132</v>
      </c>
      <c r="J93" s="109">
        <f>I93*1000/B93</f>
        <v>0.504355103977867</v>
      </c>
      <c r="K93" s="109">
        <f>'FACTORES DE CONVERSIÓN'!E289</f>
        <v>0.019</v>
      </c>
      <c r="L93" s="109">
        <v>0</v>
      </c>
      <c r="M93" s="109">
        <f>'FACTORES DE CONVERSIÓN'!F289</f>
        <v>0.2</v>
      </c>
      <c r="N93" s="109">
        <f>M93*(I93*1000+B93)/B93</f>
        <v>0.30087102079557343</v>
      </c>
      <c r="O93" s="109">
        <f>'FACTORES DE CONVERSIÓN'!G289</f>
        <v>0.014</v>
      </c>
      <c r="P93" s="109">
        <f>B93*F93*((C93-D93*E93)*J93*K93*(1-L93)+C93*N93*O93)</f>
        <v>6144111.548571429</v>
      </c>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row>
    <row r="94" spans="1:55" ht="15">
      <c r="A94" s="212" t="str">
        <f>A147</f>
        <v>Camote</v>
      </c>
      <c r="B94" s="109">
        <f>F147</f>
        <v>59327.4</v>
      </c>
      <c r="C94" s="109">
        <f>B147</f>
        <v>15142</v>
      </c>
      <c r="D94" s="109">
        <v>0</v>
      </c>
      <c r="E94" s="109">
        <f>'FACTORES DE CONVERSIÓN'!$C$215</f>
        <v>0.85</v>
      </c>
      <c r="F94" s="109">
        <f>1/'FACTORES DE CONVERSIÓN'!D327</f>
        <v>2.4</v>
      </c>
      <c r="G94" s="109">
        <f>'FACTORES DE CONVERSIÓN'!C290</f>
        <v>0.1</v>
      </c>
      <c r="H94" s="109">
        <f>'FACTORES DE CONVERSIÓN'!D290</f>
        <v>1.06</v>
      </c>
      <c r="I94" s="109">
        <f t="shared" si="1"/>
        <v>6.992740000000001</v>
      </c>
      <c r="J94" s="109">
        <f>I94*1000/B94</f>
        <v>0.11786695523484936</v>
      </c>
      <c r="K94" s="109">
        <f>'FACTORES DE CONVERSIÓN'!E290</f>
        <v>0.019</v>
      </c>
      <c r="L94" s="109">
        <v>0</v>
      </c>
      <c r="M94" s="109">
        <f>'FACTORES DE CONVERSIÓN'!F290</f>
        <v>0.2</v>
      </c>
      <c r="N94" s="109">
        <f>M94*(I94*1000+B94)/B94</f>
        <v>0.22357339104696985</v>
      </c>
      <c r="O94" s="109">
        <f>'FACTORES DE CONVERSIÓN'!G290</f>
        <v>0.014</v>
      </c>
      <c r="P94" s="109">
        <f>B94*F94*((C94-D94*E94)*J94*K94*(1-L94)+C94*N94*O94)</f>
        <v>11576668.992441602</v>
      </c>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row>
    <row r="95" spans="1:55" ht="15">
      <c r="A95" s="213" t="s">
        <v>336</v>
      </c>
      <c r="B95" s="207"/>
      <c r="C95" s="207"/>
      <c r="D95" s="207"/>
      <c r="E95" s="207"/>
      <c r="F95" s="207"/>
      <c r="G95" s="207"/>
      <c r="H95" s="207"/>
      <c r="I95" s="207"/>
      <c r="J95" s="207"/>
      <c r="K95" s="207"/>
      <c r="L95" s="207"/>
      <c r="M95" s="207"/>
      <c r="N95" s="207"/>
      <c r="O95" s="207"/>
      <c r="P95" s="134">
        <f>SUM(P96)</f>
        <v>87707932.8732</v>
      </c>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row>
    <row r="96" spans="1:55" ht="15">
      <c r="A96" s="212" t="str">
        <f>A149</f>
        <v>Alfalfa</v>
      </c>
      <c r="B96" s="109">
        <f>F149</f>
        <v>900.0002247052068</v>
      </c>
      <c r="C96" s="109">
        <f>B149</f>
        <v>6636695.343</v>
      </c>
      <c r="D96" s="109">
        <v>0</v>
      </c>
      <c r="E96" s="109">
        <f>'FACTORES DE CONVERSIÓN'!$C$215</f>
        <v>0.85</v>
      </c>
      <c r="F96" s="109">
        <f>1/'FACTORES DE CONVERSIÓN'!D328</f>
        <v>0.16666666666666666</v>
      </c>
      <c r="G96" s="109">
        <f>'FACTORES DE CONVERSIÓN'!C291</f>
        <v>0.29</v>
      </c>
      <c r="H96" s="109">
        <f>'FACTORES DE CONVERSIÓN'!D291</f>
        <v>0</v>
      </c>
      <c r="I96" s="109">
        <f t="shared" si="1"/>
        <v>0.26100006516450996</v>
      </c>
      <c r="J96" s="109">
        <f>I96*1000/B96</f>
        <v>0.29</v>
      </c>
      <c r="K96" s="109">
        <f>'FACTORES DE CONVERSIÓN'!E291</f>
        <v>0.27</v>
      </c>
      <c r="L96" s="109">
        <v>0</v>
      </c>
      <c r="M96" s="109">
        <f>'FACTORES DE CONVERSIÓN'!F291</f>
        <v>0.4</v>
      </c>
      <c r="N96" s="109">
        <f>M96*(I96*1000+B96)/B96</f>
        <v>0.516</v>
      </c>
      <c r="O96" s="109">
        <f>'FACTORES DE CONVERSIÓN'!G291</f>
        <v>0.019</v>
      </c>
      <c r="P96" s="109">
        <f>B96*F96*((C96-D96*E96)*J96*K96*(1-L96)+C96*N96*O96)</f>
        <v>87707932.8732</v>
      </c>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row>
    <row r="97" spans="1:55" ht="15">
      <c r="A97" s="214"/>
      <c r="B97" s="168"/>
      <c r="C97" s="168"/>
      <c r="D97" s="168"/>
      <c r="E97" s="168"/>
      <c r="F97" s="168"/>
      <c r="G97" s="168"/>
      <c r="H97" s="168"/>
      <c r="I97" s="168"/>
      <c r="J97" s="168"/>
      <c r="K97" s="168"/>
      <c r="L97" s="168"/>
      <c r="M97" s="168"/>
      <c r="N97" s="168"/>
      <c r="O97" s="215" t="s">
        <v>167</v>
      </c>
      <c r="P97" s="207">
        <f>SUM(P62,P81,P91,P95)</f>
        <v>310489975.27801716</v>
      </c>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row>
    <row r="98" ht="12.75"/>
    <row r="99" spans="1:55" ht="15">
      <c r="A99" s="211" t="s">
        <v>290</v>
      </c>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row>
    <row r="100" spans="1:55" ht="15">
      <c r="A100" s="103" t="s">
        <v>1063</v>
      </c>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row>
    <row r="101" spans="1:55" ht="15">
      <c r="A101" s="103" t="s">
        <v>297</v>
      </c>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row>
    <row r="102" spans="1:55" ht="15">
      <c r="A102" s="103" t="s">
        <v>291</v>
      </c>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row>
    <row r="103" spans="1:55" ht="15">
      <c r="A103" s="103" t="s">
        <v>292</v>
      </c>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row>
    <row r="104" spans="1:55" ht="15">
      <c r="A104" s="211" t="s">
        <v>370</v>
      </c>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row>
    <row r="105" spans="1:55" ht="15">
      <c r="A105" s="211" t="s">
        <v>293</v>
      </c>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row>
    <row r="106" spans="1:55" ht="15">
      <c r="A106" s="211" t="s">
        <v>294</v>
      </c>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row>
    <row r="107" spans="1:55" ht="15">
      <c r="A107" s="211" t="s">
        <v>295</v>
      </c>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row>
    <row r="108" spans="1:55" ht="15">
      <c r="A108" s="211" t="s">
        <v>296</v>
      </c>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row>
    <row r="109" spans="1:55" ht="15">
      <c r="A109" s="211" t="s">
        <v>298</v>
      </c>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row>
    <row r="110" spans="1:55" ht="15">
      <c r="A110" s="211" t="s">
        <v>299</v>
      </c>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row>
    <row r="111" spans="1:55" ht="15">
      <c r="A111" s="211" t="s">
        <v>300</v>
      </c>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row>
    <row r="113" spans="1:55" ht="15">
      <c r="A113" s="147" t="s">
        <v>371</v>
      </c>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row>
    <row r="114" spans="1:55" ht="26.25">
      <c r="A114" s="105" t="s">
        <v>377</v>
      </c>
      <c r="B114" s="134" t="s">
        <v>388</v>
      </c>
      <c r="C114" s="134" t="s">
        <v>627</v>
      </c>
      <c r="D114" s="134" t="s">
        <v>630</v>
      </c>
      <c r="E114" s="134" t="s">
        <v>387</v>
      </c>
      <c r="F114" s="134" t="s">
        <v>1062</v>
      </c>
      <c r="H114" s="508" t="s">
        <v>989</v>
      </c>
      <c r="I114" s="6"/>
      <c r="J114" s="6"/>
      <c r="K114" s="6"/>
      <c r="L114" s="6"/>
      <c r="M114" s="6"/>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row>
    <row r="115" spans="1:55" ht="15">
      <c r="A115" s="213" t="s">
        <v>333</v>
      </c>
      <c r="B115" s="134">
        <f>SUM(B116:B133)</f>
        <v>2160160</v>
      </c>
      <c r="C115" s="134">
        <f>SUM(C116:C133)</f>
        <v>20510014</v>
      </c>
      <c r="D115" s="134">
        <f>SUM(D116:D133)</f>
        <v>308373.1046621617</v>
      </c>
      <c r="E115" s="134"/>
      <c r="F115" s="134">
        <f>SUM(F116:F133)</f>
        <v>283734.5975640456</v>
      </c>
      <c r="H115" s="6"/>
      <c r="I115" s="6"/>
      <c r="J115" s="6"/>
      <c r="K115" s="6"/>
      <c r="L115" s="6"/>
      <c r="M115" s="6"/>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row>
    <row r="116" spans="1:55" ht="15">
      <c r="A116" s="216" t="s">
        <v>1059</v>
      </c>
      <c r="B116" s="217">
        <f>'3C4_3C5 INFO BASE'!B20</f>
        <v>87697</v>
      </c>
      <c r="C116" s="217">
        <f>'3C4_3C5 INFO BASE'!B54</f>
        <v>9832526</v>
      </c>
      <c r="D116" s="217">
        <f>+C116/B116*'FACTORES DE CONVERSIÓN'!$B$14</f>
        <v>112119.29712532925</v>
      </c>
      <c r="E116" s="217">
        <f>'FACTORES DE CONVERSIÓN'!B261</f>
        <v>0.9</v>
      </c>
      <c r="F116" s="217">
        <f>D116*E116</f>
        <v>100907.36741279633</v>
      </c>
      <c r="H116" s="6"/>
      <c r="I116" s="6"/>
      <c r="J116" s="6"/>
      <c r="K116" s="6"/>
      <c r="L116" s="6"/>
      <c r="M116" s="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row>
    <row r="117" spans="1:55" ht="15">
      <c r="A117" s="216" t="s">
        <v>303</v>
      </c>
      <c r="B117" s="217">
        <f>'3C4_3C5 INFO BASE'!D20</f>
        <v>419564</v>
      </c>
      <c r="C117" s="217">
        <f>'3C4_3C5 INFO BASE'!D54</f>
        <v>3165749</v>
      </c>
      <c r="D117" s="217">
        <f>+C117/B117*'FACTORES DE CONVERSIÓN'!$B$14</f>
        <v>7545.330390595952</v>
      </c>
      <c r="E117" s="217">
        <f>'FACTORES DE CONVERSIÓN'!B262</f>
        <v>0.89</v>
      </c>
      <c r="F117" s="217">
        <f aca="true" t="shared" si="15" ref="F117:F146">D117*E117</f>
        <v>6715.344047630398</v>
      </c>
      <c r="H117" s="6"/>
      <c r="I117" s="6"/>
      <c r="J117" s="6"/>
      <c r="K117" s="6"/>
      <c r="L117" s="6"/>
      <c r="M117" s="6"/>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row>
    <row r="118" spans="1:55" ht="15">
      <c r="A118" s="216" t="s">
        <v>332</v>
      </c>
      <c r="B118" s="217">
        <f>'3C4_3C5 INFO BASE'!E20</f>
        <v>160649</v>
      </c>
      <c r="C118" s="217">
        <f>'3C4_3C5 INFO BASE'!E54</f>
        <v>2073996</v>
      </c>
      <c r="D118" s="217">
        <f>+C118/B118*'FACTORES DE CONVERSIÓN'!$B$14</f>
        <v>12910.108372912375</v>
      </c>
      <c r="E118" s="217">
        <f>'FACTORES DE CONVERSIÓN'!B263</f>
        <v>0.94</v>
      </c>
      <c r="F118" s="217">
        <f t="shared" si="15"/>
        <v>12135.501870537631</v>
      </c>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row>
    <row r="119" spans="1:55" ht="15">
      <c r="A119" s="216" t="s">
        <v>304</v>
      </c>
      <c r="B119" s="217">
        <f>'3C4_3C5 INFO BASE'!F20</f>
        <v>267576</v>
      </c>
      <c r="C119" s="217">
        <f>'3C4_3C5 INFO BASE'!F54</f>
        <v>1232381</v>
      </c>
      <c r="D119" s="217">
        <f>+C119/B119*'FACTORES DE CONVERSIÓN'!$B$14</f>
        <v>4605.723233772835</v>
      </c>
      <c r="E119" s="217">
        <f>'FACTORES DE CONVERSIÓN'!B264</f>
        <v>0.87</v>
      </c>
      <c r="F119" s="217">
        <f t="shared" si="15"/>
        <v>4006.979213382366</v>
      </c>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row>
    <row r="120" spans="1:55" ht="15">
      <c r="A120" s="216" t="s">
        <v>306</v>
      </c>
      <c r="B120" s="217">
        <f>'3C4_3C5 INFO BASE'!H20</f>
        <v>18094</v>
      </c>
      <c r="C120" s="217">
        <f>'3C4_3C5 INFO BASE'!H54</f>
        <v>705632</v>
      </c>
      <c r="D120" s="217">
        <f>+C120/B120*'FACTORES DE CONVERSIÓN'!$B$14</f>
        <v>38998.12092406322</v>
      </c>
      <c r="E120" s="217">
        <f>'FACTORES DE CONVERSIÓN'!B265</f>
        <v>0.94</v>
      </c>
      <c r="F120" s="217">
        <f t="shared" si="15"/>
        <v>36658.233668619425</v>
      </c>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row>
    <row r="121" spans="1:55" ht="15">
      <c r="A121" s="216" t="s">
        <v>308</v>
      </c>
      <c r="B121" s="217">
        <f>'3C4_3C5 INFO BASE'!J20</f>
        <v>64224</v>
      </c>
      <c r="C121" s="217">
        <f>'3C4_3C5 INFO BASE'!J54</f>
        <v>79269</v>
      </c>
      <c r="D121" s="217">
        <f>+C121/B121*'FACTORES DE CONVERSIÓN'!$B$14</f>
        <v>1234.25822122571</v>
      </c>
      <c r="E121" s="217">
        <f>'FACTORES DE CONVERSIÓN'!B266</f>
        <v>0.88</v>
      </c>
      <c r="F121" s="217">
        <f t="shared" si="15"/>
        <v>1086.1472346786247</v>
      </c>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row>
    <row r="122" spans="1:55" ht="15">
      <c r="A122" s="216" t="s">
        <v>309</v>
      </c>
      <c r="B122" s="217">
        <f>'3C4_3C5 INFO BASE'!K20</f>
        <v>6093</v>
      </c>
      <c r="C122" s="217">
        <f>'3C4_3C5 INFO BASE'!K54</f>
        <v>108801</v>
      </c>
      <c r="D122" s="217">
        <f>+C122/B122*'FACTORES DE CONVERSIÓN'!$B$14</f>
        <v>17856.72082717873</v>
      </c>
      <c r="E122" s="217">
        <f>'FACTORES DE CONVERSIÓN'!B267</f>
        <v>0.94</v>
      </c>
      <c r="F122" s="217">
        <f t="shared" si="15"/>
        <v>16785.317577548005</v>
      </c>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row>
    <row r="123" spans="1:55" ht="15">
      <c r="A123" s="216" t="s">
        <v>310</v>
      </c>
      <c r="B123" s="217">
        <f>'3C4_3C5 INFO BASE'!L20</f>
        <v>18099</v>
      </c>
      <c r="C123" s="217">
        <f>'3C4_3C5 INFO BASE'!L54</f>
        <v>45358</v>
      </c>
      <c r="D123" s="217">
        <f>+C123/B123*'FACTORES DE CONVERSIÓN'!$B$14</f>
        <v>2506.105309685618</v>
      </c>
      <c r="E123" s="217">
        <f>'FACTORES DE CONVERSIÓN'!B268</f>
        <v>0.94</v>
      </c>
      <c r="F123" s="217">
        <f t="shared" si="15"/>
        <v>2355.7389911044806</v>
      </c>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row>
    <row r="124" spans="1:55" ht="15">
      <c r="A124" s="216" t="s">
        <v>311</v>
      </c>
      <c r="B124" s="217">
        <f>'3C4_3C5 INFO BASE'!M20</f>
        <v>14884</v>
      </c>
      <c r="C124" s="217">
        <f>'3C4_3C5 INFO BASE'!M54</f>
        <v>461287</v>
      </c>
      <c r="D124" s="217">
        <f>+C124/B124*'FACTORES DE CONVERSIÓN'!$B$14</f>
        <v>30992.139209889814</v>
      </c>
      <c r="E124" s="217">
        <f>'FACTORES DE CONVERSIÓN'!B269</f>
        <v>0.94</v>
      </c>
      <c r="F124" s="217">
        <f t="shared" si="15"/>
        <v>29132.610857296422</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row>
    <row r="125" spans="1:55" ht="15">
      <c r="A125" s="216" t="s">
        <v>312</v>
      </c>
      <c r="B125" s="217">
        <f>'3C4_3C5 INFO BASE'!N20</f>
        <v>44394</v>
      </c>
      <c r="C125" s="217">
        <f>'3C4_3C5 INFO BASE'!N54</f>
        <v>398751</v>
      </c>
      <c r="D125" s="217">
        <f>+C125/B125*'FACTORES DE CONVERSIÓN'!$B$14</f>
        <v>8982.092174618192</v>
      </c>
      <c r="E125" s="217">
        <f>'FACTORES DE CONVERSIÓN'!B270</f>
        <v>0.87</v>
      </c>
      <c r="F125" s="217">
        <f t="shared" si="15"/>
        <v>7814.420191917827</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row>
    <row r="126" spans="1:55" ht="15">
      <c r="A126" s="216" t="s">
        <v>313</v>
      </c>
      <c r="B126" s="217">
        <f>'3C4_3C5 INFO BASE'!O20</f>
        <v>31967</v>
      </c>
      <c r="C126" s="217">
        <f>'3C4_3C5 INFO BASE'!O54</f>
        <v>378305</v>
      </c>
      <c r="D126" s="217">
        <f>+C126/B126*'FACTORES DE CONVERSIÓN'!$B$14</f>
        <v>11834.235305158443</v>
      </c>
      <c r="E126" s="217">
        <f>'FACTORES DE CONVERSIÓN'!B271</f>
        <v>0.94</v>
      </c>
      <c r="F126" s="217">
        <f t="shared" si="15"/>
        <v>11124.181186848937</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row>
    <row r="127" spans="1:55" ht="15">
      <c r="A127" s="216" t="s">
        <v>314</v>
      </c>
      <c r="B127" s="217">
        <f>'3C4_3C5 INFO BASE'!P20</f>
        <v>197312</v>
      </c>
      <c r="C127" s="217">
        <f>'3C4_3C5 INFO BASE'!P54</f>
        <v>277427</v>
      </c>
      <c r="D127" s="217">
        <f>+C127/B127*'FACTORES DE CONVERSIÓN'!$B$14</f>
        <v>1406.0320710347064</v>
      </c>
      <c r="E127" s="217">
        <f>'FACTORES DE CONVERSIÓN'!B272</f>
        <v>0.87</v>
      </c>
      <c r="F127" s="217">
        <f t="shared" si="15"/>
        <v>1223.2479018001945</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row>
    <row r="128" spans="1:55" ht="15">
      <c r="A128" s="216" t="s">
        <v>315</v>
      </c>
      <c r="B128" s="217">
        <f>'3C4_3C5 INFO BASE'!Q20</f>
        <v>6070</v>
      </c>
      <c r="C128" s="217">
        <f>'3C4_3C5 INFO BASE'!Q54</f>
        <v>232900</v>
      </c>
      <c r="D128" s="217">
        <f>+C128/B128*'FACTORES DE CONVERSIÓN'!$B$14</f>
        <v>38369.02800658979</v>
      </c>
      <c r="E128" s="217">
        <f>'FACTORES DE CONVERSIÓN'!B273</f>
        <v>0.94</v>
      </c>
      <c r="F128" s="217">
        <f t="shared" si="15"/>
        <v>36066.8863261944</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row>
    <row r="129" spans="1:55" ht="15">
      <c r="A129" s="216" t="s">
        <v>316</v>
      </c>
      <c r="B129" s="217">
        <f>'3C4_3C5 INFO BASE'!R20</f>
        <v>127180</v>
      </c>
      <c r="C129" s="217">
        <f>'3C4_3C5 INFO BASE'!R54</f>
        <v>191109</v>
      </c>
      <c r="D129" s="217">
        <f>+C129/B129*'FACTORES DE CONVERSIÓN'!$B$14</f>
        <v>1502.6655134455102</v>
      </c>
      <c r="E129" s="217">
        <f>'FACTORES DE CONVERSIÓN'!B274</f>
        <v>0.89</v>
      </c>
      <c r="F129" s="217">
        <f t="shared" si="15"/>
        <v>1337.372306966504</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row>
    <row r="130" spans="1:55" ht="15">
      <c r="A130" s="216" t="s">
        <v>317</v>
      </c>
      <c r="B130" s="217">
        <f>'3C4_3C5 INFO BASE'!S20</f>
        <v>135745</v>
      </c>
      <c r="C130" s="217">
        <f>'3C4_3C5 INFO BASE'!S54</f>
        <v>204498</v>
      </c>
      <c r="D130" s="217">
        <f>+C130/B130*'FACTORES DE CONVERSIÓN'!$B$14</f>
        <v>1506.4864267560502</v>
      </c>
      <c r="E130" s="217">
        <f>'FACTORES DE CONVERSIÓN'!B275</f>
        <v>0.89</v>
      </c>
      <c r="F130" s="217">
        <f t="shared" si="15"/>
        <v>1340.7729198128848</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row>
    <row r="131" spans="1:55" ht="15">
      <c r="A131" s="216" t="s">
        <v>318</v>
      </c>
      <c r="B131" s="217">
        <f>'3C4_3C5 INFO BASE'!T20</f>
        <v>51057</v>
      </c>
      <c r="C131" s="217">
        <f>'3C4_3C5 INFO BASE'!T54</f>
        <v>736345</v>
      </c>
      <c r="D131" s="217">
        <f>+C131/B131*'FACTORES DE CONVERSIÓN'!$B$14</f>
        <v>14422.018528311495</v>
      </c>
      <c r="E131" s="217">
        <f>'FACTORES DE CONVERSIÓN'!B276</f>
        <v>0.94</v>
      </c>
      <c r="F131" s="217">
        <f t="shared" si="15"/>
        <v>13556.697416612804</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row>
    <row r="132" spans="1:55" ht="15">
      <c r="A132" s="216" t="s">
        <v>319</v>
      </c>
      <c r="B132" s="217">
        <f>'3C4_3C5 INFO BASE'!U20</f>
        <v>383973</v>
      </c>
      <c r="C132" s="217">
        <f>'3C4_3C5 INFO BASE'!U54</f>
        <v>277760</v>
      </c>
      <c r="D132" s="217">
        <f>+C132/B132*'FACTORES DE CONVERSIÓN'!$B$14</f>
        <v>723.3841962846345</v>
      </c>
      <c r="E132" s="217">
        <f>'FACTORES DE CONVERSIÓN'!B277</f>
        <v>0.94</v>
      </c>
      <c r="F132" s="217">
        <f t="shared" si="15"/>
        <v>679.9811445075565</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row>
    <row r="133" spans="1:55" ht="15">
      <c r="A133" s="216" t="s">
        <v>320</v>
      </c>
      <c r="B133" s="217">
        <f>'3C4_3C5 INFO BASE'!V20</f>
        <v>125582</v>
      </c>
      <c r="C133" s="217">
        <f>'3C4_3C5 INFO BASE'!V54</f>
        <v>107920</v>
      </c>
      <c r="D133" s="217">
        <f>+C133/B133*'FACTORES DE CONVERSIÓN'!$B$14</f>
        <v>859.3588253093595</v>
      </c>
      <c r="E133" s="217">
        <f>'FACTORES DE CONVERSIÓN'!B278</f>
        <v>0.94</v>
      </c>
      <c r="F133" s="217">
        <f t="shared" si="15"/>
        <v>807.7972957907979</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row>
    <row r="134" spans="1:55" ht="26.25">
      <c r="A134" s="213" t="s">
        <v>334</v>
      </c>
      <c r="B134" s="134">
        <f>SUM(B135:B143)</f>
        <v>440115.68299999984</v>
      </c>
      <c r="C134" s="134">
        <f>SUM(C135:C143)</f>
        <v>440118</v>
      </c>
      <c r="D134" s="134">
        <f>SUM(D135:D143)</f>
        <v>9813.165409982816</v>
      </c>
      <c r="E134" s="134">
        <f>SUM(E135:E143)</f>
        <v>8.110000000000001</v>
      </c>
      <c r="F134" s="134">
        <f>SUM(F135:F143)</f>
        <v>8841.854557349641</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row>
    <row r="135" spans="1:55" ht="15">
      <c r="A135" s="216" t="s">
        <v>323</v>
      </c>
      <c r="B135" s="217">
        <f>'3C4_3C5 INFO BASE'!X20</f>
        <v>120125.325</v>
      </c>
      <c r="C135" s="217">
        <f>'3C4_3C5 INFO BASE'!X54</f>
        <v>50154</v>
      </c>
      <c r="D135" s="217">
        <f>+C135/B135*'FACTORES DE CONVERSIÓN'!$B$14</f>
        <v>417.5139588592164</v>
      </c>
      <c r="E135" s="217">
        <f>'FACTORES DE CONVERSIÓN'!B279</f>
        <v>0.9</v>
      </c>
      <c r="F135" s="217">
        <f t="shared" si="15"/>
        <v>375.7625629732948</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row>
    <row r="136" spans="1:55" ht="15">
      <c r="A136" s="216" t="s">
        <v>324</v>
      </c>
      <c r="B136" s="217">
        <f>'3C4_3C5 INFO BASE'!Y20</f>
        <v>50153.91</v>
      </c>
      <c r="C136" s="217">
        <f>'3C4_3C5 INFO BASE'!Y54</f>
        <v>120126</v>
      </c>
      <c r="D136" s="217">
        <f>+C136/B136*'FACTORES DE CONVERSIÓN'!$B$14</f>
        <v>2395.1472577113127</v>
      </c>
      <c r="E136" s="217">
        <f>'FACTORES DE CONVERSIÓN'!B280</f>
        <v>0.9</v>
      </c>
      <c r="F136" s="217">
        <f t="shared" si="15"/>
        <v>2155.6325319401817</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row>
    <row r="137" spans="1:55" ht="15">
      <c r="A137" s="216" t="s">
        <v>325</v>
      </c>
      <c r="B137" s="217">
        <f>'3C4_3C5 INFO BASE'!Z20</f>
        <v>80886.753</v>
      </c>
      <c r="C137" s="217">
        <f>'3C4_3C5 INFO BASE'!Z54</f>
        <v>80889</v>
      </c>
      <c r="D137" s="217">
        <f>+C137/B137*'FACTORES DE CONVERSIÓN'!$B$14</f>
        <v>1000.0277795796796</v>
      </c>
      <c r="E137" s="217">
        <f>'FACTORES DE CONVERSIÓN'!B281</f>
        <v>0.9</v>
      </c>
      <c r="F137" s="217">
        <f t="shared" si="15"/>
        <v>900.0250016217117</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row>
    <row r="138" spans="1:55" ht="15">
      <c r="A138" s="216" t="s">
        <v>326</v>
      </c>
      <c r="B138" s="217">
        <f>'3C4_3C5 INFO BASE'!AA20</f>
        <v>71918.587</v>
      </c>
      <c r="C138" s="217">
        <f>'3C4_3C5 INFO BASE'!AA54</f>
        <v>71918</v>
      </c>
      <c r="D138" s="217">
        <f>+C138/B138*'FACTORES DE CONVERSIÓN'!$B$14</f>
        <v>999.9918379931464</v>
      </c>
      <c r="E138" s="217">
        <f>'FACTORES DE CONVERSIÓN'!B282</f>
        <v>0.9</v>
      </c>
      <c r="F138" s="217">
        <f t="shared" si="15"/>
        <v>899.9926541938318</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row>
    <row r="139" spans="1:55" ht="15">
      <c r="A139" s="216" t="s">
        <v>327</v>
      </c>
      <c r="B139" s="217">
        <f>'3C4_3C5 INFO BASE'!AB20</f>
        <v>13099.818</v>
      </c>
      <c r="C139" s="217">
        <f>'3C4_3C5 INFO BASE'!AB54</f>
        <v>13099</v>
      </c>
      <c r="D139" s="217">
        <f>+C139/B139*'FACTORES DE CONVERSIÓN'!$B$14</f>
        <v>999.9375563843712</v>
      </c>
      <c r="E139" s="217">
        <f>'FACTORES DE CONVERSIÓN'!B283</f>
        <v>0.9</v>
      </c>
      <c r="F139" s="217">
        <f t="shared" si="15"/>
        <v>899.9438007459341</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row>
    <row r="140" spans="1:6" ht="15">
      <c r="A140" s="216" t="s">
        <v>328</v>
      </c>
      <c r="B140" s="217">
        <f>'3C4_3C5 INFO BASE'!AC20</f>
        <v>24200.327999999998</v>
      </c>
      <c r="C140" s="217">
        <f>'3C4_3C5 INFO BASE'!AC54</f>
        <v>24200</v>
      </c>
      <c r="D140" s="217">
        <f>+C140/B140*'FACTORES DE CONVERSIÓN'!$B$14</f>
        <v>999.9864464646926</v>
      </c>
      <c r="E140" s="217">
        <f>'FACTORES DE CONVERSIÓN'!B284</f>
        <v>0.9</v>
      </c>
      <c r="F140" s="217">
        <f t="shared" si="15"/>
        <v>899.9878018182234</v>
      </c>
    </row>
    <row r="141" spans="1:6" ht="15">
      <c r="A141" s="216" t="s">
        <v>329</v>
      </c>
      <c r="B141" s="217">
        <f>'3C4_3C5 INFO BASE'!AD20</f>
        <v>14019.22</v>
      </c>
      <c r="C141" s="217">
        <f>'3C4_3C5 INFO BASE'!AD54</f>
        <v>14019</v>
      </c>
      <c r="D141" s="217">
        <f>+C141/B141*'FACTORES DE CONVERSIÓN'!$B$14</f>
        <v>999.9843072581784</v>
      </c>
      <c r="E141" s="217">
        <f>'FACTORES DE CONVERSIÓN'!B285</f>
        <v>0.9</v>
      </c>
      <c r="F141" s="217">
        <f t="shared" si="15"/>
        <v>899.9858765323606</v>
      </c>
    </row>
    <row r="142" spans="1:6" ht="15">
      <c r="A142" s="216" t="s">
        <v>330</v>
      </c>
      <c r="B142" s="217">
        <f>'3C4_3C5 INFO BASE'!AE20</f>
        <v>64340.522</v>
      </c>
      <c r="C142" s="217">
        <f>'3C4_3C5 INFO BASE'!AE54</f>
        <v>64341</v>
      </c>
      <c r="D142" s="217">
        <f>+C142/B142*'FACTORES DE CONVERSIÓN'!$B$14</f>
        <v>1000.0074292216655</v>
      </c>
      <c r="E142" s="217">
        <f>'FACTORES DE CONVERSIÓN'!B286</f>
        <v>0.9</v>
      </c>
      <c r="F142" s="217">
        <f t="shared" si="15"/>
        <v>900.0066862994989</v>
      </c>
    </row>
    <row r="143" spans="1:6" ht="15">
      <c r="A143" s="216" t="s">
        <v>331</v>
      </c>
      <c r="B143" s="217">
        <f>'3C4_3C5 INFO BASE'!AF20</f>
        <v>1371.22</v>
      </c>
      <c r="C143" s="217">
        <f>'3C4_3C5 INFO BASE'!AF54</f>
        <v>1372</v>
      </c>
      <c r="D143" s="217">
        <f>+C143/B143*'FACTORES DE CONVERSIÓN'!$B$14</f>
        <v>1000.5688365105527</v>
      </c>
      <c r="E143" s="217">
        <f>'FACTORES DE CONVERSIÓN'!B287</f>
        <v>0.91</v>
      </c>
      <c r="F143" s="217">
        <f t="shared" si="15"/>
        <v>910.517641224603</v>
      </c>
    </row>
    <row r="144" spans="1:6" ht="15">
      <c r="A144" s="213" t="s">
        <v>335</v>
      </c>
      <c r="B144" s="134">
        <f>SUM(B145:B147)</f>
        <v>424950</v>
      </c>
      <c r="C144" s="134">
        <f>SUM(C145:C147)</f>
        <v>5964865</v>
      </c>
      <c r="D144" s="134">
        <f>SUM(D145:D147)</f>
        <v>44254.426643367304</v>
      </c>
      <c r="E144" s="134">
        <f>SUM(E145:E147)</f>
        <v>0.66</v>
      </c>
      <c r="F144" s="134">
        <f>SUM(F145:F147)</f>
        <v>65145.304914241904</v>
      </c>
    </row>
    <row r="145" spans="1:6" ht="15">
      <c r="A145" s="216" t="s">
        <v>302</v>
      </c>
      <c r="B145" s="217">
        <f>'3C4_3C5 INFO BASE'!C20</f>
        <v>310699</v>
      </c>
      <c r="C145" s="217">
        <f>'3C4_3C5 INFO BASE'!C54</f>
        <v>4514240</v>
      </c>
      <c r="D145" s="217">
        <f>+C145/B145*'FACTORES DE CONVERSIÓN'!$B$14</f>
        <v>14529.303280667142</v>
      </c>
      <c r="E145" s="217">
        <f>'FACTORES DE CONVERSIÓN'!B288</f>
        <v>0.22</v>
      </c>
      <c r="F145" s="217">
        <f t="shared" si="15"/>
        <v>3196.4467217467713</v>
      </c>
    </row>
    <row r="146" spans="1:6" ht="15">
      <c r="A146" s="216" t="s">
        <v>305</v>
      </c>
      <c r="B146" s="217">
        <f>'3C4_3C5 INFO BASE'!G20</f>
        <v>99109</v>
      </c>
      <c r="C146" s="217">
        <f>'3C4_3C5 INFO BASE'!G54</f>
        <v>1180955</v>
      </c>
      <c r="D146" s="217">
        <f>+C146/B146*'FACTORES DE CONVERSIÓN'!$B$14</f>
        <v>11915.719056796053</v>
      </c>
      <c r="E146" s="217">
        <f>'FACTORES DE CONVERSIÓN'!B289</f>
        <v>0.22</v>
      </c>
      <c r="F146" s="217">
        <f t="shared" si="15"/>
        <v>2621.4581924951317</v>
      </c>
    </row>
    <row r="147" spans="1:6" ht="15">
      <c r="A147" s="549" t="s">
        <v>307</v>
      </c>
      <c r="B147" s="549">
        <f>'3C4_3C5 INFO BASE'!I20</f>
        <v>15142</v>
      </c>
      <c r="C147" s="549">
        <f>'3C4_3C5 INFO BASE'!I54</f>
        <v>269670</v>
      </c>
      <c r="D147" s="217">
        <f>+C147/B147*'FACTORES DE CONVERSIÓN'!$B$14</f>
        <v>17809.404305904107</v>
      </c>
      <c r="E147" s="549">
        <f>'FACTORES DE CONVERSIÓN'!B290</f>
        <v>0.22</v>
      </c>
      <c r="F147" s="549">
        <f>C147*E147</f>
        <v>59327.4</v>
      </c>
    </row>
    <row r="148" spans="1:6" ht="15">
      <c r="A148" s="213" t="s">
        <v>336</v>
      </c>
      <c r="B148" s="134">
        <f>SUM(B149)</f>
        <v>6636695.343</v>
      </c>
      <c r="C148" s="134">
        <f>SUM(C149)</f>
        <v>6636697</v>
      </c>
      <c r="D148" s="134"/>
      <c r="E148" s="134"/>
      <c r="F148" s="134">
        <f>SUM(F149)</f>
        <v>900.0002247052068</v>
      </c>
    </row>
    <row r="149" spans="1:6" ht="15">
      <c r="A149" s="216" t="s">
        <v>322</v>
      </c>
      <c r="B149" s="217">
        <f>'3C4_3C5 INFO BASE'!W20</f>
        <v>6636695.343</v>
      </c>
      <c r="C149" s="217">
        <f>'3C4_3C5 INFO BASE'!W54</f>
        <v>6636697</v>
      </c>
      <c r="D149" s="217">
        <f>+C149/B149*'FACTORES DE CONVERSIÓN'!$B$14</f>
        <v>1000.000249672452</v>
      </c>
      <c r="E149" s="217">
        <f>'FACTORES DE CONVERSIÓN'!B291</f>
        <v>0.9</v>
      </c>
      <c r="F149" s="217">
        <f>D149*E149</f>
        <v>900.0002247052068</v>
      </c>
    </row>
    <row r="150" spans="1:6" ht="15">
      <c r="A150" s="218"/>
      <c r="B150" s="219"/>
      <c r="C150" s="219"/>
      <c r="E150" s="215" t="s">
        <v>167</v>
      </c>
      <c r="F150" s="134">
        <f>SUM(F115,F134,F144,F148)</f>
        <v>358621.7572603423</v>
      </c>
    </row>
    <row r="151" ht="15">
      <c r="A151" s="103" t="s">
        <v>1064</v>
      </c>
    </row>
    <row r="152" ht="15">
      <c r="A152" s="103" t="s">
        <v>1065</v>
      </c>
    </row>
    <row r="153" ht="15">
      <c r="A153" s="103" t="s">
        <v>389</v>
      </c>
    </row>
    <row r="154" ht="15">
      <c r="A154" s="218"/>
    </row>
    <row r="155" spans="1:55" s="2" customFormat="1" ht="15">
      <c r="A155" s="147" t="s">
        <v>397</v>
      </c>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row>
    <row r="156" spans="1:11" ht="26.25">
      <c r="A156" s="105" t="s">
        <v>395</v>
      </c>
      <c r="B156" s="134" t="s">
        <v>1014</v>
      </c>
      <c r="C156" s="134" t="s">
        <v>1005</v>
      </c>
      <c r="D156" s="134" t="s">
        <v>380</v>
      </c>
      <c r="F156" s="508" t="s">
        <v>989</v>
      </c>
      <c r="G156" s="6"/>
      <c r="H156" s="211"/>
      <c r="I156" s="211"/>
      <c r="J156" s="211"/>
      <c r="K156" s="211"/>
    </row>
    <row r="157" spans="1:11" ht="39">
      <c r="A157" s="216" t="s">
        <v>400</v>
      </c>
      <c r="B157" s="217">
        <f>'3C4_3C5 INFO BASE'!B186</f>
        <v>0</v>
      </c>
      <c r="C157" s="217">
        <f>1/10</f>
        <v>0.1</v>
      </c>
      <c r="D157" s="217">
        <f>B157*C157*1000</f>
        <v>0</v>
      </c>
      <c r="F157" s="6"/>
      <c r="G157" s="6"/>
      <c r="H157" s="6"/>
      <c r="I157" s="6"/>
      <c r="J157" s="6"/>
      <c r="K157" s="6"/>
    </row>
    <row r="158" spans="1:4" ht="26.25">
      <c r="A158" s="216" t="s">
        <v>403</v>
      </c>
      <c r="B158" s="217">
        <f>'3C4_3C5 INFO BASE'!B187</f>
        <v>-34.461720445778724</v>
      </c>
      <c r="C158" s="217">
        <f>1/15</f>
        <v>0.06666666666666667</v>
      </c>
      <c r="D158" s="217">
        <f aca="true" t="shared" si="16" ref="D158:D164">B158*C158*1000</f>
        <v>-2297.4480297185814</v>
      </c>
    </row>
    <row r="159" spans="1:4" ht="39">
      <c r="A159" s="216" t="s">
        <v>401</v>
      </c>
      <c r="B159" s="217">
        <f>'3C4_3C5 INFO BASE'!B188</f>
        <v>0</v>
      </c>
      <c r="C159" s="217">
        <f>1/10</f>
        <v>0.1</v>
      </c>
      <c r="D159" s="217">
        <f t="shared" si="16"/>
        <v>0</v>
      </c>
    </row>
    <row r="160" spans="1:4" ht="26.25">
      <c r="A160" s="216" t="s">
        <v>404</v>
      </c>
      <c r="B160" s="217">
        <f>'3C4_3C5 INFO BASE'!B189</f>
        <v>1456.686693602079</v>
      </c>
      <c r="C160" s="217">
        <f>1/15</f>
        <v>0.06666666666666667</v>
      </c>
      <c r="D160" s="217">
        <f t="shared" si="16"/>
        <v>97112.4462401386</v>
      </c>
    </row>
    <row r="161" spans="1:4" ht="26.25">
      <c r="A161" s="216" t="s">
        <v>402</v>
      </c>
      <c r="B161" s="217">
        <f>'3C4_3C5 INFO BASE'!B190</f>
        <v>0</v>
      </c>
      <c r="C161" s="217">
        <f>1/10</f>
        <v>0.1</v>
      </c>
      <c r="D161" s="217">
        <f t="shared" si="16"/>
        <v>0</v>
      </c>
    </row>
    <row r="162" spans="1:4" ht="26.25">
      <c r="A162" s="216" t="s">
        <v>405</v>
      </c>
      <c r="B162" s="217">
        <f>'3C4_3C5 INFO BASE'!B191</f>
        <v>1034.8657259345423</v>
      </c>
      <c r="C162" s="217">
        <f>1/15</f>
        <v>0.06666666666666667</v>
      </c>
      <c r="D162" s="217">
        <f t="shared" si="16"/>
        <v>68991.04839563616</v>
      </c>
    </row>
    <row r="163" spans="1:6" ht="15">
      <c r="A163" s="216" t="s">
        <v>398</v>
      </c>
      <c r="B163" s="217">
        <f>'3C4_3C5 INFO BASE'!B192</f>
        <v>-34.889194292994276</v>
      </c>
      <c r="C163" s="217">
        <f>1/10</f>
        <v>0.1</v>
      </c>
      <c r="D163" s="217">
        <f t="shared" si="16"/>
        <v>-3488.9194292994275</v>
      </c>
      <c r="F163" s="147"/>
    </row>
    <row r="164" spans="1:4" ht="15">
      <c r="A164" s="216" t="s">
        <v>399</v>
      </c>
      <c r="B164" s="217">
        <f>'3C4_3C5 INFO BASE'!B193</f>
        <v>-87.34459291861907</v>
      </c>
      <c r="C164" s="217">
        <f>1/10</f>
        <v>0.1</v>
      </c>
      <c r="D164" s="217">
        <f t="shared" si="16"/>
        <v>-8734.459291861907</v>
      </c>
    </row>
    <row r="165" spans="1:4" ht="15">
      <c r="A165" s="509" t="s">
        <v>167</v>
      </c>
      <c r="C165" s="215" t="s">
        <v>167</v>
      </c>
      <c r="D165" s="220">
        <f>SUM(D157:D164)</f>
        <v>151582.66788489482</v>
      </c>
    </row>
    <row r="166" spans="1:55" ht="15">
      <c r="A166" s="211" t="s">
        <v>396</v>
      </c>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row>
    <row r="167" ht="15">
      <c r="A167" s="211" t="s">
        <v>1012</v>
      </c>
    </row>
    <row r="168" ht="15">
      <c r="A168" s="211" t="s">
        <v>496</v>
      </c>
    </row>
    <row r="169" ht="15">
      <c r="A169" s="211" t="s">
        <v>394</v>
      </c>
    </row>
    <row r="171" ht="15">
      <c r="A171" s="147" t="s">
        <v>666</v>
      </c>
    </row>
    <row r="172" spans="1:11" ht="38.25">
      <c r="A172" s="134" t="s">
        <v>409</v>
      </c>
      <c r="B172" s="134" t="s">
        <v>408</v>
      </c>
      <c r="C172" s="134" t="s">
        <v>407</v>
      </c>
      <c r="D172" s="134" t="s">
        <v>381</v>
      </c>
      <c r="F172" s="508" t="s">
        <v>989</v>
      </c>
      <c r="G172" s="6"/>
      <c r="H172" s="6"/>
      <c r="I172" s="6"/>
      <c r="J172" s="6"/>
      <c r="K172" s="6"/>
    </row>
    <row r="173" spans="1:11" ht="12.75">
      <c r="A173" s="216" t="s">
        <v>26</v>
      </c>
      <c r="B173" s="217" t="s">
        <v>570</v>
      </c>
      <c r="C173" s="217" t="s">
        <v>570</v>
      </c>
      <c r="D173" s="217">
        <v>0</v>
      </c>
      <c r="F173" s="6"/>
      <c r="G173" s="6"/>
      <c r="H173" s="6"/>
      <c r="I173" s="6"/>
      <c r="J173" s="6"/>
      <c r="K173" s="6"/>
    </row>
    <row r="174" spans="1:11" ht="12.75">
      <c r="A174" s="216" t="s">
        <v>27</v>
      </c>
      <c r="B174" s="217" t="s">
        <v>570</v>
      </c>
      <c r="C174" s="217" t="s">
        <v>570</v>
      </c>
      <c r="D174" s="217">
        <v>0</v>
      </c>
      <c r="F174" s="6"/>
      <c r="G174" s="6"/>
      <c r="H174" s="6"/>
      <c r="I174" s="6"/>
      <c r="J174" s="6"/>
      <c r="K174" s="6"/>
    </row>
    <row r="175" spans="1:11" ht="12.75">
      <c r="A175" s="216" t="s">
        <v>28</v>
      </c>
      <c r="B175" s="217" t="s">
        <v>570</v>
      </c>
      <c r="C175" s="217" t="s">
        <v>570</v>
      </c>
      <c r="D175" s="217">
        <v>0</v>
      </c>
      <c r="F175" s="6"/>
      <c r="G175" s="6"/>
      <c r="H175" s="6"/>
      <c r="I175" s="6"/>
      <c r="J175" s="6"/>
      <c r="K175" s="6"/>
    </row>
    <row r="176" spans="1:4" ht="12.75">
      <c r="A176" s="216" t="s">
        <v>29</v>
      </c>
      <c r="B176" s="217" t="s">
        <v>570</v>
      </c>
      <c r="C176" s="217" t="s">
        <v>570</v>
      </c>
      <c r="D176" s="217">
        <v>0</v>
      </c>
    </row>
    <row r="177" spans="1:4" ht="12.75">
      <c r="A177" s="216" t="s">
        <v>30</v>
      </c>
      <c r="B177" s="217" t="s">
        <v>570</v>
      </c>
      <c r="C177" s="217" t="s">
        <v>570</v>
      </c>
      <c r="D177" s="217">
        <v>0</v>
      </c>
    </row>
    <row r="178" spans="1:55" ht="15">
      <c r="A178" s="211" t="s">
        <v>406</v>
      </c>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row>
    <row r="179" spans="1:55" ht="15">
      <c r="A179" s="211" t="s">
        <v>979</v>
      </c>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row>
    <row r="180" ht="12.75"/>
    <row r="181" spans="1:55" ht="15">
      <c r="A181" s="147" t="s">
        <v>413</v>
      </c>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row>
    <row r="182" spans="1:55" ht="15">
      <c r="A182" s="194" t="s">
        <v>169</v>
      </c>
      <c r="B182" s="194" t="s">
        <v>280</v>
      </c>
      <c r="C182" s="194" t="s">
        <v>281</v>
      </c>
      <c r="D182" s="194" t="s">
        <v>414</v>
      </c>
      <c r="E182" s="194" t="s">
        <v>382</v>
      </c>
      <c r="F182"/>
      <c r="G182" s="508" t="s">
        <v>989</v>
      </c>
      <c r="H182" s="6"/>
      <c r="I182" s="6"/>
      <c r="J182" s="6"/>
      <c r="K182" s="6"/>
      <c r="L182" s="6"/>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row>
    <row r="183" spans="1:55" ht="15">
      <c r="A183" s="212" t="s">
        <v>161</v>
      </c>
      <c r="B183" s="221">
        <f>'3A1_3A2_3C6 INFO PROC'!B87</f>
        <v>895718</v>
      </c>
      <c r="C183" s="222">
        <f>'FACTORES DE CONVERSIÓN'!D152</f>
        <v>91.104</v>
      </c>
      <c r="D183" s="221">
        <f>'FACTORES DE CONVERSIÓN'!B167</f>
        <v>0.79</v>
      </c>
      <c r="E183" s="223">
        <f>(B183*C183)*D183</f>
        <v>64466759.210880004</v>
      </c>
      <c r="F183"/>
      <c r="G183" s="6"/>
      <c r="H183" s="6"/>
      <c r="I183" s="6"/>
      <c r="J183" s="6"/>
      <c r="K183" s="6"/>
      <c r="L183" s="6"/>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row>
    <row r="184" spans="1:55" ht="15">
      <c r="A184" s="212" t="s">
        <v>162</v>
      </c>
      <c r="B184" s="221">
        <f>'3A1_3A2_3C6 INFO PROC'!B88</f>
        <v>4639737</v>
      </c>
      <c r="C184" s="222">
        <f>'FACTORES DE CONVERSIÓN'!D153</f>
        <v>40.23534443303631</v>
      </c>
      <c r="D184" s="221">
        <f>'FACTORES DE CONVERSIÓN'!B168</f>
        <v>0.91</v>
      </c>
      <c r="E184" s="223">
        <f aca="true" t="shared" si="17" ref="E184:E193">(B184*C184)*D184</f>
        <v>169880088.80906937</v>
      </c>
      <c r="F184"/>
      <c r="G184" s="6"/>
      <c r="H184" s="6"/>
      <c r="I184" s="6"/>
      <c r="J184" s="6"/>
      <c r="K184" s="6"/>
      <c r="L184" s="6"/>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row>
    <row r="185" spans="1:55" ht="15">
      <c r="A185" s="212" t="s">
        <v>46</v>
      </c>
      <c r="B185" s="221">
        <f>'3A1_3A2_3C6 INFO PROC'!B89</f>
        <v>11450659</v>
      </c>
      <c r="C185" s="222">
        <f>'FACTORES DE CONVERSIÓN'!D154</f>
        <v>10.936750499999999</v>
      </c>
      <c r="D185" s="221">
        <f>'FACTORES DE CONVERSIÓN'!B169</f>
        <v>1</v>
      </c>
      <c r="E185" s="223">
        <f t="shared" si="17"/>
        <v>125233000.54357949</v>
      </c>
      <c r="F185"/>
      <c r="G185" s="6"/>
      <c r="H185" s="6"/>
      <c r="I185" s="6"/>
      <c r="J185" s="6"/>
      <c r="K185" s="6"/>
      <c r="L185" s="6"/>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row>
    <row r="186" spans="1:55" ht="15">
      <c r="A186" s="212" t="s">
        <v>45</v>
      </c>
      <c r="B186" s="221">
        <f>'3A1_3A2_3C6 INFO PROC'!B90</f>
        <v>1879713</v>
      </c>
      <c r="C186" s="222">
        <f>'FACTORES DE CONVERSIÓN'!D155</f>
        <v>15.0015</v>
      </c>
      <c r="D186" s="221">
        <f>'FACTORES DE CONVERSIÓN'!B170</f>
        <v>1</v>
      </c>
      <c r="E186" s="223">
        <f t="shared" si="17"/>
        <v>28198514.5695</v>
      </c>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row>
    <row r="187" spans="1:55" ht="15">
      <c r="A187" s="212" t="s">
        <v>72</v>
      </c>
      <c r="B187" s="221">
        <f>'3A1_3A2_3C6 INFO PROC'!B91</f>
        <v>526290.5573110435</v>
      </c>
      <c r="C187" s="222">
        <f>'FACTORES DE CONVERSIÓN'!D156</f>
        <v>39.96020000000001</v>
      </c>
      <c r="D187" s="221">
        <f>'FACTORES DE CONVERSIÓN'!B171</f>
        <v>1</v>
      </c>
      <c r="E187" s="223">
        <f t="shared" si="17"/>
        <v>21030675.928260766</v>
      </c>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row>
    <row r="188" spans="1:55" ht="15">
      <c r="A188" s="212" t="s">
        <v>150</v>
      </c>
      <c r="B188" s="221">
        <f>'3A1_3A2_3C6 INFO PROC'!B92</f>
        <v>590007.7086570447</v>
      </c>
      <c r="C188" s="222">
        <f>'FACTORES DE CONVERSIÓN'!D157</f>
        <v>21.827</v>
      </c>
      <c r="D188" s="221">
        <f>'FACTORES DE CONVERSIÓN'!B172</f>
        <v>1</v>
      </c>
      <c r="E188" s="223">
        <f t="shared" si="17"/>
        <v>12878098.256857315</v>
      </c>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row>
    <row r="189" spans="1:55" ht="15">
      <c r="A189" s="212" t="s">
        <v>47</v>
      </c>
      <c r="B189" s="221">
        <f>'3A1_3A2_3C6 INFO PROC'!B93</f>
        <v>904700.4246575341</v>
      </c>
      <c r="C189" s="222">
        <f>'FACTORES DE CONVERSIÓN'!D158</f>
        <v>16.7608</v>
      </c>
      <c r="D189" s="221">
        <f>'FACTORES DE CONVERSIÓN'!B173</f>
        <v>0.67</v>
      </c>
      <c r="E189" s="223">
        <f t="shared" si="17"/>
        <v>10159546.927992</v>
      </c>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row>
    <row r="190" spans="1:55" ht="15">
      <c r="A190" s="212" t="s">
        <v>43</v>
      </c>
      <c r="B190" s="221">
        <f>'3A1_3A2_3C6 INFO PROC'!B94</f>
        <v>4319229</v>
      </c>
      <c r="C190" s="222">
        <f>'FACTORES DE CONVERSIÓN'!D161</f>
        <v>37.772644711902664</v>
      </c>
      <c r="D190" s="221">
        <f>'FACTORES DE CONVERSIÓN'!B174</f>
        <v>0.89</v>
      </c>
      <c r="E190" s="223">
        <f t="shared" si="17"/>
        <v>145202345.1772485</v>
      </c>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row>
    <row r="191" spans="1:55" ht="15">
      <c r="A191" s="212" t="s">
        <v>44</v>
      </c>
      <c r="B191" s="221">
        <f>'3A1_3A2_3C6 INFO PROC'!B95</f>
        <v>1105017</v>
      </c>
      <c r="C191" s="222">
        <f>'FACTORES DE CONVERSIÓN'!D160</f>
        <v>118.83139020167621</v>
      </c>
      <c r="D191" s="221">
        <f>'FACTORES DE CONVERSIÓN'!B175</f>
        <v>0.89</v>
      </c>
      <c r="E191" s="223">
        <f t="shared" si="17"/>
        <v>116866528.61277223</v>
      </c>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row>
    <row r="192" spans="1:55" ht="15">
      <c r="A192" s="212" t="s">
        <v>42</v>
      </c>
      <c r="B192" s="221">
        <f>'3A1_3A2_3C6 INFO PROC'!B96</f>
        <v>49559797.50249963</v>
      </c>
      <c r="C192" s="223">
        <f>'FACTORES DE CONVERSIÓN'!D159</f>
        <v>1.1729782989690722</v>
      </c>
      <c r="D192" s="221">
        <f>'FACTORES DE CONVERSIÓN'!B176</f>
        <v>0</v>
      </c>
      <c r="E192" s="223">
        <f t="shared" si="17"/>
        <v>0</v>
      </c>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row>
    <row r="193" spans="1:55" ht="15">
      <c r="A193" s="212" t="s">
        <v>74</v>
      </c>
      <c r="B193" s="221">
        <f>'3A1_3A2_3C6 INFO PROC'!B97</f>
        <v>3584640.1025886</v>
      </c>
      <c r="C193" s="222">
        <f>'FACTORES DE CONVERSIÓN'!D162</f>
        <v>1.0886404297524397</v>
      </c>
      <c r="D193" s="221">
        <f>'FACTORES DE CONVERSIÓN'!B177</f>
        <v>0</v>
      </c>
      <c r="E193" s="223">
        <f t="shared" si="17"/>
        <v>0</v>
      </c>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row>
    <row r="194" spans="1:55" ht="15">
      <c r="A194" s="176"/>
      <c r="B194" s="513"/>
      <c r="C194" s="514"/>
      <c r="D194" s="515" t="s">
        <v>167</v>
      </c>
      <c r="E194" s="516">
        <f>SUM(E183:E193)</f>
        <v>693915558.0361596</v>
      </c>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row>
    <row r="195" spans="1:55" ht="15">
      <c r="A195" s="103" t="s">
        <v>410</v>
      </c>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row>
    <row r="196" spans="1:55" ht="15">
      <c r="A196" s="103" t="s">
        <v>411</v>
      </c>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row>
    <row r="197" spans="1:55" ht="15">
      <c r="A197" s="103" t="s">
        <v>412</v>
      </c>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row>
    <row r="198" spans="1:55" ht="15">
      <c r="A198" s="103" t="s">
        <v>415</v>
      </c>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row>
  </sheetData>
  <printOptions/>
  <pageMargins left="0.7" right="0.7" top="0.75" bottom="0.75" header="0.3" footer="0.3"/>
  <pageSetup horizontalDpi="300" verticalDpi="300" orientation="portrait" r:id="rId4"/>
  <drawing r:id="rId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336699"/>
  </sheetPr>
  <dimension ref="A1:M56"/>
  <sheetViews>
    <sheetView workbookViewId="0" topLeftCell="A28">
      <selection activeCell="I43" sqref="I43"/>
    </sheetView>
  </sheetViews>
  <sheetFormatPr defaultColWidth="10.8515625" defaultRowHeight="15"/>
  <cols>
    <col min="1" max="1" width="21.7109375" style="224" customWidth="1"/>
    <col min="2" max="2" width="35.57421875" style="224" customWidth="1"/>
    <col min="3" max="6" width="15.7109375" style="224" customWidth="1"/>
    <col min="7" max="7" width="18.8515625" style="224" bestFit="1" customWidth="1"/>
    <col min="8" max="8" width="8.421875" style="224" customWidth="1"/>
    <col min="9" max="11" width="11.421875" style="224" customWidth="1"/>
    <col min="12" max="253" width="11.421875" style="6" customWidth="1"/>
    <col min="254" max="254" width="3.28125" style="6" customWidth="1"/>
    <col min="255" max="255" width="19.00390625" style="6" customWidth="1"/>
    <col min="256" max="256" width="22.00390625" style="6" customWidth="1"/>
    <col min="257" max="257" width="19.8515625" style="6" customWidth="1"/>
    <col min="258" max="258" width="15.7109375" style="6" customWidth="1"/>
    <col min="259" max="259" width="24.140625" style="6" customWidth="1"/>
    <col min="260" max="260" width="8.421875" style="6" customWidth="1"/>
    <col min="261" max="509" width="11.421875" style="6" customWidth="1"/>
    <col min="510" max="510" width="3.28125" style="6" customWidth="1"/>
    <col min="511" max="511" width="19.00390625" style="6" customWidth="1"/>
    <col min="512" max="512" width="22.00390625" style="6" customWidth="1"/>
    <col min="513" max="513" width="19.8515625" style="6" customWidth="1"/>
    <col min="514" max="514" width="15.7109375" style="6" customWidth="1"/>
    <col min="515" max="515" width="24.140625" style="6" customWidth="1"/>
    <col min="516" max="516" width="8.421875" style="6" customWidth="1"/>
    <col min="517" max="765" width="11.421875" style="6" customWidth="1"/>
    <col min="766" max="766" width="3.28125" style="6" customWidth="1"/>
    <col min="767" max="767" width="19.00390625" style="6" customWidth="1"/>
    <col min="768" max="768" width="22.00390625" style="6" customWidth="1"/>
    <col min="769" max="769" width="19.8515625" style="6" customWidth="1"/>
    <col min="770" max="770" width="15.7109375" style="6" customWidth="1"/>
    <col min="771" max="771" width="24.140625" style="6" customWidth="1"/>
    <col min="772" max="772" width="8.421875" style="6" customWidth="1"/>
    <col min="773" max="1021" width="11.421875" style="6" customWidth="1"/>
    <col min="1022" max="1022" width="3.28125" style="6" customWidth="1"/>
    <col min="1023" max="1023" width="19.00390625" style="6" customWidth="1"/>
    <col min="1024" max="1024" width="22.00390625" style="6" customWidth="1"/>
    <col min="1025" max="1025" width="19.8515625" style="6" customWidth="1"/>
    <col min="1026" max="1026" width="15.7109375" style="6" customWidth="1"/>
    <col min="1027" max="1027" width="24.140625" style="6" customWidth="1"/>
    <col min="1028" max="1028" width="8.421875" style="6" customWidth="1"/>
    <col min="1029" max="1277" width="11.421875" style="6" customWidth="1"/>
    <col min="1278" max="1278" width="3.28125" style="6" customWidth="1"/>
    <col min="1279" max="1279" width="19.00390625" style="6" customWidth="1"/>
    <col min="1280" max="1280" width="22.00390625" style="6" customWidth="1"/>
    <col min="1281" max="1281" width="19.8515625" style="6" customWidth="1"/>
    <col min="1282" max="1282" width="15.7109375" style="6" customWidth="1"/>
    <col min="1283" max="1283" width="24.140625" style="6" customWidth="1"/>
    <col min="1284" max="1284" width="8.421875" style="6" customWidth="1"/>
    <col min="1285" max="1533" width="11.421875" style="6" customWidth="1"/>
    <col min="1534" max="1534" width="3.28125" style="6" customWidth="1"/>
    <col min="1535" max="1535" width="19.00390625" style="6" customWidth="1"/>
    <col min="1536" max="1536" width="22.00390625" style="6" customWidth="1"/>
    <col min="1537" max="1537" width="19.8515625" style="6" customWidth="1"/>
    <col min="1538" max="1538" width="15.7109375" style="6" customWidth="1"/>
    <col min="1539" max="1539" width="24.140625" style="6" customWidth="1"/>
    <col min="1540" max="1540" width="8.421875" style="6" customWidth="1"/>
    <col min="1541" max="1789" width="11.421875" style="6" customWidth="1"/>
    <col min="1790" max="1790" width="3.28125" style="6" customWidth="1"/>
    <col min="1791" max="1791" width="19.00390625" style="6" customWidth="1"/>
    <col min="1792" max="1792" width="22.00390625" style="6" customWidth="1"/>
    <col min="1793" max="1793" width="19.8515625" style="6" customWidth="1"/>
    <col min="1794" max="1794" width="15.7109375" style="6" customWidth="1"/>
    <col min="1795" max="1795" width="24.140625" style="6" customWidth="1"/>
    <col min="1796" max="1796" width="8.421875" style="6" customWidth="1"/>
    <col min="1797" max="2045" width="11.421875" style="6" customWidth="1"/>
    <col min="2046" max="2046" width="3.28125" style="6" customWidth="1"/>
    <col min="2047" max="2047" width="19.00390625" style="6" customWidth="1"/>
    <col min="2048" max="2048" width="22.00390625" style="6" customWidth="1"/>
    <col min="2049" max="2049" width="19.8515625" style="6" customWidth="1"/>
    <col min="2050" max="2050" width="15.7109375" style="6" customWidth="1"/>
    <col min="2051" max="2051" width="24.140625" style="6" customWidth="1"/>
    <col min="2052" max="2052" width="8.421875" style="6" customWidth="1"/>
    <col min="2053" max="2301" width="11.421875" style="6" customWidth="1"/>
    <col min="2302" max="2302" width="3.28125" style="6" customWidth="1"/>
    <col min="2303" max="2303" width="19.00390625" style="6" customWidth="1"/>
    <col min="2304" max="2304" width="22.00390625" style="6" customWidth="1"/>
    <col min="2305" max="2305" width="19.8515625" style="6" customWidth="1"/>
    <col min="2306" max="2306" width="15.7109375" style="6" customWidth="1"/>
    <col min="2307" max="2307" width="24.140625" style="6" customWidth="1"/>
    <col min="2308" max="2308" width="8.421875" style="6" customWidth="1"/>
    <col min="2309" max="2557" width="11.421875" style="6" customWidth="1"/>
    <col min="2558" max="2558" width="3.28125" style="6" customWidth="1"/>
    <col min="2559" max="2559" width="19.00390625" style="6" customWidth="1"/>
    <col min="2560" max="2560" width="22.00390625" style="6" customWidth="1"/>
    <col min="2561" max="2561" width="19.8515625" style="6" customWidth="1"/>
    <col min="2562" max="2562" width="15.7109375" style="6" customWidth="1"/>
    <col min="2563" max="2563" width="24.140625" style="6" customWidth="1"/>
    <col min="2564" max="2564" width="8.421875" style="6" customWidth="1"/>
    <col min="2565" max="2813" width="11.421875" style="6" customWidth="1"/>
    <col min="2814" max="2814" width="3.28125" style="6" customWidth="1"/>
    <col min="2815" max="2815" width="19.00390625" style="6" customWidth="1"/>
    <col min="2816" max="2816" width="22.00390625" style="6" customWidth="1"/>
    <col min="2817" max="2817" width="19.8515625" style="6" customWidth="1"/>
    <col min="2818" max="2818" width="15.7109375" style="6" customWidth="1"/>
    <col min="2819" max="2819" width="24.140625" style="6" customWidth="1"/>
    <col min="2820" max="2820" width="8.421875" style="6" customWidth="1"/>
    <col min="2821" max="3069" width="11.421875" style="6" customWidth="1"/>
    <col min="3070" max="3070" width="3.28125" style="6" customWidth="1"/>
    <col min="3071" max="3071" width="19.00390625" style="6" customWidth="1"/>
    <col min="3072" max="3072" width="22.00390625" style="6" customWidth="1"/>
    <col min="3073" max="3073" width="19.8515625" style="6" customWidth="1"/>
    <col min="3074" max="3074" width="15.7109375" style="6" customWidth="1"/>
    <col min="3075" max="3075" width="24.140625" style="6" customWidth="1"/>
    <col min="3076" max="3076" width="8.421875" style="6" customWidth="1"/>
    <col min="3077" max="3325" width="11.421875" style="6" customWidth="1"/>
    <col min="3326" max="3326" width="3.28125" style="6" customWidth="1"/>
    <col min="3327" max="3327" width="19.00390625" style="6" customWidth="1"/>
    <col min="3328" max="3328" width="22.00390625" style="6" customWidth="1"/>
    <col min="3329" max="3329" width="19.8515625" style="6" customWidth="1"/>
    <col min="3330" max="3330" width="15.7109375" style="6" customWidth="1"/>
    <col min="3331" max="3331" width="24.140625" style="6" customWidth="1"/>
    <col min="3332" max="3332" width="8.421875" style="6" customWidth="1"/>
    <col min="3333" max="3581" width="11.421875" style="6" customWidth="1"/>
    <col min="3582" max="3582" width="3.28125" style="6" customWidth="1"/>
    <col min="3583" max="3583" width="19.00390625" style="6" customWidth="1"/>
    <col min="3584" max="3584" width="22.00390625" style="6" customWidth="1"/>
    <col min="3585" max="3585" width="19.8515625" style="6" customWidth="1"/>
    <col min="3586" max="3586" width="15.7109375" style="6" customWidth="1"/>
    <col min="3587" max="3587" width="24.140625" style="6" customWidth="1"/>
    <col min="3588" max="3588" width="8.421875" style="6" customWidth="1"/>
    <col min="3589" max="3837" width="11.421875" style="6" customWidth="1"/>
    <col min="3838" max="3838" width="3.28125" style="6" customWidth="1"/>
    <col min="3839" max="3839" width="19.00390625" style="6" customWidth="1"/>
    <col min="3840" max="3840" width="22.00390625" style="6" customWidth="1"/>
    <col min="3841" max="3841" width="19.8515625" style="6" customWidth="1"/>
    <col min="3842" max="3842" width="15.7109375" style="6" customWidth="1"/>
    <col min="3843" max="3843" width="24.140625" style="6" customWidth="1"/>
    <col min="3844" max="3844" width="8.421875" style="6" customWidth="1"/>
    <col min="3845" max="4093" width="11.421875" style="6" customWidth="1"/>
    <col min="4094" max="4094" width="3.28125" style="6" customWidth="1"/>
    <col min="4095" max="4095" width="19.00390625" style="6" customWidth="1"/>
    <col min="4096" max="4096" width="22.00390625" style="6" customWidth="1"/>
    <col min="4097" max="4097" width="19.8515625" style="6" customWidth="1"/>
    <col min="4098" max="4098" width="15.7109375" style="6" customWidth="1"/>
    <col min="4099" max="4099" width="24.140625" style="6" customWidth="1"/>
    <col min="4100" max="4100" width="8.421875" style="6" customWidth="1"/>
    <col min="4101" max="4349" width="11.421875" style="6" customWidth="1"/>
    <col min="4350" max="4350" width="3.28125" style="6" customWidth="1"/>
    <col min="4351" max="4351" width="19.00390625" style="6" customWidth="1"/>
    <col min="4352" max="4352" width="22.00390625" style="6" customWidth="1"/>
    <col min="4353" max="4353" width="19.8515625" style="6" customWidth="1"/>
    <col min="4354" max="4354" width="15.7109375" style="6" customWidth="1"/>
    <col min="4355" max="4355" width="24.140625" style="6" customWidth="1"/>
    <col min="4356" max="4356" width="8.421875" style="6" customWidth="1"/>
    <col min="4357" max="4605" width="11.421875" style="6" customWidth="1"/>
    <col min="4606" max="4606" width="3.28125" style="6" customWidth="1"/>
    <col min="4607" max="4607" width="19.00390625" style="6" customWidth="1"/>
    <col min="4608" max="4608" width="22.00390625" style="6" customWidth="1"/>
    <col min="4609" max="4609" width="19.8515625" style="6" customWidth="1"/>
    <col min="4610" max="4610" width="15.7109375" style="6" customWidth="1"/>
    <col min="4611" max="4611" width="24.140625" style="6" customWidth="1"/>
    <col min="4612" max="4612" width="8.421875" style="6" customWidth="1"/>
    <col min="4613" max="4861" width="11.421875" style="6" customWidth="1"/>
    <col min="4862" max="4862" width="3.28125" style="6" customWidth="1"/>
    <col min="4863" max="4863" width="19.00390625" style="6" customWidth="1"/>
    <col min="4864" max="4864" width="22.00390625" style="6" customWidth="1"/>
    <col min="4865" max="4865" width="19.8515625" style="6" customWidth="1"/>
    <col min="4866" max="4866" width="15.7109375" style="6" customWidth="1"/>
    <col min="4867" max="4867" width="24.140625" style="6" customWidth="1"/>
    <col min="4868" max="4868" width="8.421875" style="6" customWidth="1"/>
    <col min="4869" max="5117" width="11.421875" style="6" customWidth="1"/>
    <col min="5118" max="5118" width="3.28125" style="6" customWidth="1"/>
    <col min="5119" max="5119" width="19.00390625" style="6" customWidth="1"/>
    <col min="5120" max="5120" width="22.00390625" style="6" customWidth="1"/>
    <col min="5121" max="5121" width="19.8515625" style="6" customWidth="1"/>
    <col min="5122" max="5122" width="15.7109375" style="6" customWidth="1"/>
    <col min="5123" max="5123" width="24.140625" style="6" customWidth="1"/>
    <col min="5124" max="5124" width="8.421875" style="6" customWidth="1"/>
    <col min="5125" max="5373" width="11.421875" style="6" customWidth="1"/>
    <col min="5374" max="5374" width="3.28125" style="6" customWidth="1"/>
    <col min="5375" max="5375" width="19.00390625" style="6" customWidth="1"/>
    <col min="5376" max="5376" width="22.00390625" style="6" customWidth="1"/>
    <col min="5377" max="5377" width="19.8515625" style="6" customWidth="1"/>
    <col min="5378" max="5378" width="15.7109375" style="6" customWidth="1"/>
    <col min="5379" max="5379" width="24.140625" style="6" customWidth="1"/>
    <col min="5380" max="5380" width="8.421875" style="6" customWidth="1"/>
    <col min="5381" max="5629" width="11.421875" style="6" customWidth="1"/>
    <col min="5630" max="5630" width="3.28125" style="6" customWidth="1"/>
    <col min="5631" max="5631" width="19.00390625" style="6" customWidth="1"/>
    <col min="5632" max="5632" width="22.00390625" style="6" customWidth="1"/>
    <col min="5633" max="5633" width="19.8515625" style="6" customWidth="1"/>
    <col min="5634" max="5634" width="15.7109375" style="6" customWidth="1"/>
    <col min="5635" max="5635" width="24.140625" style="6" customWidth="1"/>
    <col min="5636" max="5636" width="8.421875" style="6" customWidth="1"/>
    <col min="5637" max="5885" width="11.421875" style="6" customWidth="1"/>
    <col min="5886" max="5886" width="3.28125" style="6" customWidth="1"/>
    <col min="5887" max="5887" width="19.00390625" style="6" customWidth="1"/>
    <col min="5888" max="5888" width="22.00390625" style="6" customWidth="1"/>
    <col min="5889" max="5889" width="19.8515625" style="6" customWidth="1"/>
    <col min="5890" max="5890" width="15.7109375" style="6" customWidth="1"/>
    <col min="5891" max="5891" width="24.140625" style="6" customWidth="1"/>
    <col min="5892" max="5892" width="8.421875" style="6" customWidth="1"/>
    <col min="5893" max="6141" width="11.421875" style="6" customWidth="1"/>
    <col min="6142" max="6142" width="3.28125" style="6" customWidth="1"/>
    <col min="6143" max="6143" width="19.00390625" style="6" customWidth="1"/>
    <col min="6144" max="6144" width="22.00390625" style="6" customWidth="1"/>
    <col min="6145" max="6145" width="19.8515625" style="6" customWidth="1"/>
    <col min="6146" max="6146" width="15.7109375" style="6" customWidth="1"/>
    <col min="6147" max="6147" width="24.140625" style="6" customWidth="1"/>
    <col min="6148" max="6148" width="8.421875" style="6" customWidth="1"/>
    <col min="6149" max="6397" width="11.421875" style="6" customWidth="1"/>
    <col min="6398" max="6398" width="3.28125" style="6" customWidth="1"/>
    <col min="6399" max="6399" width="19.00390625" style="6" customWidth="1"/>
    <col min="6400" max="6400" width="22.00390625" style="6" customWidth="1"/>
    <col min="6401" max="6401" width="19.8515625" style="6" customWidth="1"/>
    <col min="6402" max="6402" width="15.7109375" style="6" customWidth="1"/>
    <col min="6403" max="6403" width="24.140625" style="6" customWidth="1"/>
    <col min="6404" max="6404" width="8.421875" style="6" customWidth="1"/>
    <col min="6405" max="6653" width="11.421875" style="6" customWidth="1"/>
    <col min="6654" max="6654" width="3.28125" style="6" customWidth="1"/>
    <col min="6655" max="6655" width="19.00390625" style="6" customWidth="1"/>
    <col min="6656" max="6656" width="22.00390625" style="6" customWidth="1"/>
    <col min="6657" max="6657" width="19.8515625" style="6" customWidth="1"/>
    <col min="6658" max="6658" width="15.7109375" style="6" customWidth="1"/>
    <col min="6659" max="6659" width="24.140625" style="6" customWidth="1"/>
    <col min="6660" max="6660" width="8.421875" style="6" customWidth="1"/>
    <col min="6661" max="6909" width="11.421875" style="6" customWidth="1"/>
    <col min="6910" max="6910" width="3.28125" style="6" customWidth="1"/>
    <col min="6911" max="6911" width="19.00390625" style="6" customWidth="1"/>
    <col min="6912" max="6912" width="22.00390625" style="6" customWidth="1"/>
    <col min="6913" max="6913" width="19.8515625" style="6" customWidth="1"/>
    <col min="6914" max="6914" width="15.7109375" style="6" customWidth="1"/>
    <col min="6915" max="6915" width="24.140625" style="6" customWidth="1"/>
    <col min="6916" max="6916" width="8.421875" style="6" customWidth="1"/>
    <col min="6917" max="7165" width="11.421875" style="6" customWidth="1"/>
    <col min="7166" max="7166" width="3.28125" style="6" customWidth="1"/>
    <col min="7167" max="7167" width="19.00390625" style="6" customWidth="1"/>
    <col min="7168" max="7168" width="22.00390625" style="6" customWidth="1"/>
    <col min="7169" max="7169" width="19.8515625" style="6" customWidth="1"/>
    <col min="7170" max="7170" width="15.7109375" style="6" customWidth="1"/>
    <col min="7171" max="7171" width="24.140625" style="6" customWidth="1"/>
    <col min="7172" max="7172" width="8.421875" style="6" customWidth="1"/>
    <col min="7173" max="7421" width="11.421875" style="6" customWidth="1"/>
    <col min="7422" max="7422" width="3.28125" style="6" customWidth="1"/>
    <col min="7423" max="7423" width="19.00390625" style="6" customWidth="1"/>
    <col min="7424" max="7424" width="22.00390625" style="6" customWidth="1"/>
    <col min="7425" max="7425" width="19.8515625" style="6" customWidth="1"/>
    <col min="7426" max="7426" width="15.7109375" style="6" customWidth="1"/>
    <col min="7427" max="7427" width="24.140625" style="6" customWidth="1"/>
    <col min="7428" max="7428" width="8.421875" style="6" customWidth="1"/>
    <col min="7429" max="7677" width="11.421875" style="6" customWidth="1"/>
    <col min="7678" max="7678" width="3.28125" style="6" customWidth="1"/>
    <col min="7679" max="7679" width="19.00390625" style="6" customWidth="1"/>
    <col min="7680" max="7680" width="22.00390625" style="6" customWidth="1"/>
    <col min="7681" max="7681" width="19.8515625" style="6" customWidth="1"/>
    <col min="7682" max="7682" width="15.7109375" style="6" customWidth="1"/>
    <col min="7683" max="7683" width="24.140625" style="6" customWidth="1"/>
    <col min="7684" max="7684" width="8.421875" style="6" customWidth="1"/>
    <col min="7685" max="7933" width="11.421875" style="6" customWidth="1"/>
    <col min="7934" max="7934" width="3.28125" style="6" customWidth="1"/>
    <col min="7935" max="7935" width="19.00390625" style="6" customWidth="1"/>
    <col min="7936" max="7936" width="22.00390625" style="6" customWidth="1"/>
    <col min="7937" max="7937" width="19.8515625" style="6" customWidth="1"/>
    <col min="7938" max="7938" width="15.7109375" style="6" customWidth="1"/>
    <col min="7939" max="7939" width="24.140625" style="6" customWidth="1"/>
    <col min="7940" max="7940" width="8.421875" style="6" customWidth="1"/>
    <col min="7941" max="8189" width="11.421875" style="6" customWidth="1"/>
    <col min="8190" max="8190" width="3.28125" style="6" customWidth="1"/>
    <col min="8191" max="8191" width="19.00390625" style="6" customWidth="1"/>
    <col min="8192" max="8192" width="22.00390625" style="6" customWidth="1"/>
    <col min="8193" max="8193" width="19.8515625" style="6" customWidth="1"/>
    <col min="8194" max="8194" width="15.7109375" style="6" customWidth="1"/>
    <col min="8195" max="8195" width="24.140625" style="6" customWidth="1"/>
    <col min="8196" max="8196" width="8.421875" style="6" customWidth="1"/>
    <col min="8197" max="8445" width="11.421875" style="6" customWidth="1"/>
    <col min="8446" max="8446" width="3.28125" style="6" customWidth="1"/>
    <col min="8447" max="8447" width="19.00390625" style="6" customWidth="1"/>
    <col min="8448" max="8448" width="22.00390625" style="6" customWidth="1"/>
    <col min="8449" max="8449" width="19.8515625" style="6" customWidth="1"/>
    <col min="8450" max="8450" width="15.7109375" style="6" customWidth="1"/>
    <col min="8451" max="8451" width="24.140625" style="6" customWidth="1"/>
    <col min="8452" max="8452" width="8.421875" style="6" customWidth="1"/>
    <col min="8453" max="8701" width="11.421875" style="6" customWidth="1"/>
    <col min="8702" max="8702" width="3.28125" style="6" customWidth="1"/>
    <col min="8703" max="8703" width="19.00390625" style="6" customWidth="1"/>
    <col min="8704" max="8704" width="22.00390625" style="6" customWidth="1"/>
    <col min="8705" max="8705" width="19.8515625" style="6" customWidth="1"/>
    <col min="8706" max="8706" width="15.7109375" style="6" customWidth="1"/>
    <col min="8707" max="8707" width="24.140625" style="6" customWidth="1"/>
    <col min="8708" max="8708" width="8.421875" style="6" customWidth="1"/>
    <col min="8709" max="8957" width="11.421875" style="6" customWidth="1"/>
    <col min="8958" max="8958" width="3.28125" style="6" customWidth="1"/>
    <col min="8959" max="8959" width="19.00390625" style="6" customWidth="1"/>
    <col min="8960" max="8960" width="22.00390625" style="6" customWidth="1"/>
    <col min="8961" max="8961" width="19.8515625" style="6" customWidth="1"/>
    <col min="8962" max="8962" width="15.7109375" style="6" customWidth="1"/>
    <col min="8963" max="8963" width="24.140625" style="6" customWidth="1"/>
    <col min="8964" max="8964" width="8.421875" style="6" customWidth="1"/>
    <col min="8965" max="9213" width="11.421875" style="6" customWidth="1"/>
    <col min="9214" max="9214" width="3.28125" style="6" customWidth="1"/>
    <col min="9215" max="9215" width="19.00390625" style="6" customWidth="1"/>
    <col min="9216" max="9216" width="22.00390625" style="6" customWidth="1"/>
    <col min="9217" max="9217" width="19.8515625" style="6" customWidth="1"/>
    <col min="9218" max="9218" width="15.7109375" style="6" customWidth="1"/>
    <col min="9219" max="9219" width="24.140625" style="6" customWidth="1"/>
    <col min="9220" max="9220" width="8.421875" style="6" customWidth="1"/>
    <col min="9221" max="9469" width="11.421875" style="6" customWidth="1"/>
    <col min="9470" max="9470" width="3.28125" style="6" customWidth="1"/>
    <col min="9471" max="9471" width="19.00390625" style="6" customWidth="1"/>
    <col min="9472" max="9472" width="22.00390625" style="6" customWidth="1"/>
    <col min="9473" max="9473" width="19.8515625" style="6" customWidth="1"/>
    <col min="9474" max="9474" width="15.7109375" style="6" customWidth="1"/>
    <col min="9475" max="9475" width="24.140625" style="6" customWidth="1"/>
    <col min="9476" max="9476" width="8.421875" style="6" customWidth="1"/>
    <col min="9477" max="9725" width="11.421875" style="6" customWidth="1"/>
    <col min="9726" max="9726" width="3.28125" style="6" customWidth="1"/>
    <col min="9727" max="9727" width="19.00390625" style="6" customWidth="1"/>
    <col min="9728" max="9728" width="22.00390625" style="6" customWidth="1"/>
    <col min="9729" max="9729" width="19.8515625" style="6" customWidth="1"/>
    <col min="9730" max="9730" width="15.7109375" style="6" customWidth="1"/>
    <col min="9731" max="9731" width="24.140625" style="6" customWidth="1"/>
    <col min="9732" max="9732" width="8.421875" style="6" customWidth="1"/>
    <col min="9733" max="9981" width="11.421875" style="6" customWidth="1"/>
    <col min="9982" max="9982" width="3.28125" style="6" customWidth="1"/>
    <col min="9983" max="9983" width="19.00390625" style="6" customWidth="1"/>
    <col min="9984" max="9984" width="22.00390625" style="6" customWidth="1"/>
    <col min="9985" max="9985" width="19.8515625" style="6" customWidth="1"/>
    <col min="9986" max="9986" width="15.7109375" style="6" customWidth="1"/>
    <col min="9987" max="9987" width="24.140625" style="6" customWidth="1"/>
    <col min="9988" max="9988" width="8.421875" style="6" customWidth="1"/>
    <col min="9989" max="10237" width="11.421875" style="6" customWidth="1"/>
    <col min="10238" max="10238" width="3.28125" style="6" customWidth="1"/>
    <col min="10239" max="10239" width="19.00390625" style="6" customWidth="1"/>
    <col min="10240" max="10240" width="22.00390625" style="6" customWidth="1"/>
    <col min="10241" max="10241" width="19.8515625" style="6" customWidth="1"/>
    <col min="10242" max="10242" width="15.7109375" style="6" customWidth="1"/>
    <col min="10243" max="10243" width="24.140625" style="6" customWidth="1"/>
    <col min="10244" max="10244" width="8.421875" style="6" customWidth="1"/>
    <col min="10245" max="10493" width="11.421875" style="6" customWidth="1"/>
    <col min="10494" max="10494" width="3.28125" style="6" customWidth="1"/>
    <col min="10495" max="10495" width="19.00390625" style="6" customWidth="1"/>
    <col min="10496" max="10496" width="22.00390625" style="6" customWidth="1"/>
    <col min="10497" max="10497" width="19.8515625" style="6" customWidth="1"/>
    <col min="10498" max="10498" width="15.7109375" style="6" customWidth="1"/>
    <col min="10499" max="10499" width="24.140625" style="6" customWidth="1"/>
    <col min="10500" max="10500" width="8.421875" style="6" customWidth="1"/>
    <col min="10501" max="10749" width="11.421875" style="6" customWidth="1"/>
    <col min="10750" max="10750" width="3.28125" style="6" customWidth="1"/>
    <col min="10751" max="10751" width="19.00390625" style="6" customWidth="1"/>
    <col min="10752" max="10752" width="22.00390625" style="6" customWidth="1"/>
    <col min="10753" max="10753" width="19.8515625" style="6" customWidth="1"/>
    <col min="10754" max="10754" width="15.7109375" style="6" customWidth="1"/>
    <col min="10755" max="10755" width="24.140625" style="6" customWidth="1"/>
    <col min="10756" max="10756" width="8.421875" style="6" customWidth="1"/>
    <col min="10757" max="11005" width="11.421875" style="6" customWidth="1"/>
    <col min="11006" max="11006" width="3.28125" style="6" customWidth="1"/>
    <col min="11007" max="11007" width="19.00390625" style="6" customWidth="1"/>
    <col min="11008" max="11008" width="22.00390625" style="6" customWidth="1"/>
    <col min="11009" max="11009" width="19.8515625" style="6" customWidth="1"/>
    <col min="11010" max="11010" width="15.7109375" style="6" customWidth="1"/>
    <col min="11011" max="11011" width="24.140625" style="6" customWidth="1"/>
    <col min="11012" max="11012" width="8.421875" style="6" customWidth="1"/>
    <col min="11013" max="11261" width="11.421875" style="6" customWidth="1"/>
    <col min="11262" max="11262" width="3.28125" style="6" customWidth="1"/>
    <col min="11263" max="11263" width="19.00390625" style="6" customWidth="1"/>
    <col min="11264" max="11264" width="22.00390625" style="6" customWidth="1"/>
    <col min="11265" max="11265" width="19.8515625" style="6" customWidth="1"/>
    <col min="11266" max="11266" width="15.7109375" style="6" customWidth="1"/>
    <col min="11267" max="11267" width="24.140625" style="6" customWidth="1"/>
    <col min="11268" max="11268" width="8.421875" style="6" customWidth="1"/>
    <col min="11269" max="11517" width="11.421875" style="6" customWidth="1"/>
    <col min="11518" max="11518" width="3.28125" style="6" customWidth="1"/>
    <col min="11519" max="11519" width="19.00390625" style="6" customWidth="1"/>
    <col min="11520" max="11520" width="22.00390625" style="6" customWidth="1"/>
    <col min="11521" max="11521" width="19.8515625" style="6" customWidth="1"/>
    <col min="11522" max="11522" width="15.7109375" style="6" customWidth="1"/>
    <col min="11523" max="11523" width="24.140625" style="6" customWidth="1"/>
    <col min="11524" max="11524" width="8.421875" style="6" customWidth="1"/>
    <col min="11525" max="11773" width="11.421875" style="6" customWidth="1"/>
    <col min="11774" max="11774" width="3.28125" style="6" customWidth="1"/>
    <col min="11775" max="11775" width="19.00390625" style="6" customWidth="1"/>
    <col min="11776" max="11776" width="22.00390625" style="6" customWidth="1"/>
    <col min="11777" max="11777" width="19.8515625" style="6" customWidth="1"/>
    <col min="11778" max="11778" width="15.7109375" style="6" customWidth="1"/>
    <col min="11779" max="11779" width="24.140625" style="6" customWidth="1"/>
    <col min="11780" max="11780" width="8.421875" style="6" customWidth="1"/>
    <col min="11781" max="12029" width="11.421875" style="6" customWidth="1"/>
    <col min="12030" max="12030" width="3.28125" style="6" customWidth="1"/>
    <col min="12031" max="12031" width="19.00390625" style="6" customWidth="1"/>
    <col min="12032" max="12032" width="22.00390625" style="6" customWidth="1"/>
    <col min="12033" max="12033" width="19.8515625" style="6" customWidth="1"/>
    <col min="12034" max="12034" width="15.7109375" style="6" customWidth="1"/>
    <col min="12035" max="12035" width="24.140625" style="6" customWidth="1"/>
    <col min="12036" max="12036" width="8.421875" style="6" customWidth="1"/>
    <col min="12037" max="12285" width="11.421875" style="6" customWidth="1"/>
    <col min="12286" max="12286" width="3.28125" style="6" customWidth="1"/>
    <col min="12287" max="12287" width="19.00390625" style="6" customWidth="1"/>
    <col min="12288" max="12288" width="22.00390625" style="6" customWidth="1"/>
    <col min="12289" max="12289" width="19.8515625" style="6" customWidth="1"/>
    <col min="12290" max="12290" width="15.7109375" style="6" customWidth="1"/>
    <col min="12291" max="12291" width="24.140625" style="6" customWidth="1"/>
    <col min="12292" max="12292" width="8.421875" style="6" customWidth="1"/>
    <col min="12293" max="12541" width="11.421875" style="6" customWidth="1"/>
    <col min="12542" max="12542" width="3.28125" style="6" customWidth="1"/>
    <col min="12543" max="12543" width="19.00390625" style="6" customWidth="1"/>
    <col min="12544" max="12544" width="22.00390625" style="6" customWidth="1"/>
    <col min="12545" max="12545" width="19.8515625" style="6" customWidth="1"/>
    <col min="12546" max="12546" width="15.7109375" style="6" customWidth="1"/>
    <col min="12547" max="12547" width="24.140625" style="6" customWidth="1"/>
    <col min="12548" max="12548" width="8.421875" style="6" customWidth="1"/>
    <col min="12549" max="12797" width="11.421875" style="6" customWidth="1"/>
    <col min="12798" max="12798" width="3.28125" style="6" customWidth="1"/>
    <col min="12799" max="12799" width="19.00390625" style="6" customWidth="1"/>
    <col min="12800" max="12800" width="22.00390625" style="6" customWidth="1"/>
    <col min="12801" max="12801" width="19.8515625" style="6" customWidth="1"/>
    <col min="12802" max="12802" width="15.7109375" style="6" customWidth="1"/>
    <col min="12803" max="12803" width="24.140625" style="6" customWidth="1"/>
    <col min="12804" max="12804" width="8.421875" style="6" customWidth="1"/>
    <col min="12805" max="13053" width="11.421875" style="6" customWidth="1"/>
    <col min="13054" max="13054" width="3.28125" style="6" customWidth="1"/>
    <col min="13055" max="13055" width="19.00390625" style="6" customWidth="1"/>
    <col min="13056" max="13056" width="22.00390625" style="6" customWidth="1"/>
    <col min="13057" max="13057" width="19.8515625" style="6" customWidth="1"/>
    <col min="13058" max="13058" width="15.7109375" style="6" customWidth="1"/>
    <col min="13059" max="13059" width="24.140625" style="6" customWidth="1"/>
    <col min="13060" max="13060" width="8.421875" style="6" customWidth="1"/>
    <col min="13061" max="13309" width="11.421875" style="6" customWidth="1"/>
    <col min="13310" max="13310" width="3.28125" style="6" customWidth="1"/>
    <col min="13311" max="13311" width="19.00390625" style="6" customWidth="1"/>
    <col min="13312" max="13312" width="22.00390625" style="6" customWidth="1"/>
    <col min="13313" max="13313" width="19.8515625" style="6" customWidth="1"/>
    <col min="13314" max="13314" width="15.7109375" style="6" customWidth="1"/>
    <col min="13315" max="13315" width="24.140625" style="6" customWidth="1"/>
    <col min="13316" max="13316" width="8.421875" style="6" customWidth="1"/>
    <col min="13317" max="13565" width="11.421875" style="6" customWidth="1"/>
    <col min="13566" max="13566" width="3.28125" style="6" customWidth="1"/>
    <col min="13567" max="13567" width="19.00390625" style="6" customWidth="1"/>
    <col min="13568" max="13568" width="22.00390625" style="6" customWidth="1"/>
    <col min="13569" max="13569" width="19.8515625" style="6" customWidth="1"/>
    <col min="13570" max="13570" width="15.7109375" style="6" customWidth="1"/>
    <col min="13571" max="13571" width="24.140625" style="6" customWidth="1"/>
    <col min="13572" max="13572" width="8.421875" style="6" customWidth="1"/>
    <col min="13573" max="13821" width="11.421875" style="6" customWidth="1"/>
    <col min="13822" max="13822" width="3.28125" style="6" customWidth="1"/>
    <col min="13823" max="13823" width="19.00390625" style="6" customWidth="1"/>
    <col min="13824" max="13824" width="22.00390625" style="6" customWidth="1"/>
    <col min="13825" max="13825" width="19.8515625" style="6" customWidth="1"/>
    <col min="13826" max="13826" width="15.7109375" style="6" customWidth="1"/>
    <col min="13827" max="13827" width="24.140625" style="6" customWidth="1"/>
    <col min="13828" max="13828" width="8.421875" style="6" customWidth="1"/>
    <col min="13829" max="14077" width="11.421875" style="6" customWidth="1"/>
    <col min="14078" max="14078" width="3.28125" style="6" customWidth="1"/>
    <col min="14079" max="14079" width="19.00390625" style="6" customWidth="1"/>
    <col min="14080" max="14080" width="22.00390625" style="6" customWidth="1"/>
    <col min="14081" max="14081" width="19.8515625" style="6" customWidth="1"/>
    <col min="14082" max="14082" width="15.7109375" style="6" customWidth="1"/>
    <col min="14083" max="14083" width="24.140625" style="6" customWidth="1"/>
    <col min="14084" max="14084" width="8.421875" style="6" customWidth="1"/>
    <col min="14085" max="14333" width="11.421875" style="6" customWidth="1"/>
    <col min="14334" max="14334" width="3.28125" style="6" customWidth="1"/>
    <col min="14335" max="14335" width="19.00390625" style="6" customWidth="1"/>
    <col min="14336" max="14336" width="22.00390625" style="6" customWidth="1"/>
    <col min="14337" max="14337" width="19.8515625" style="6" customWidth="1"/>
    <col min="14338" max="14338" width="15.7109375" style="6" customWidth="1"/>
    <col min="14339" max="14339" width="24.140625" style="6" customWidth="1"/>
    <col min="14340" max="14340" width="8.421875" style="6" customWidth="1"/>
    <col min="14341" max="14589" width="11.421875" style="6" customWidth="1"/>
    <col min="14590" max="14590" width="3.28125" style="6" customWidth="1"/>
    <col min="14591" max="14591" width="19.00390625" style="6" customWidth="1"/>
    <col min="14592" max="14592" width="22.00390625" style="6" customWidth="1"/>
    <col min="14593" max="14593" width="19.8515625" style="6" customWidth="1"/>
    <col min="14594" max="14594" width="15.7109375" style="6" customWidth="1"/>
    <col min="14595" max="14595" width="24.140625" style="6" customWidth="1"/>
    <col min="14596" max="14596" width="8.421875" style="6" customWidth="1"/>
    <col min="14597" max="14845" width="11.421875" style="6" customWidth="1"/>
    <col min="14846" max="14846" width="3.28125" style="6" customWidth="1"/>
    <col min="14847" max="14847" width="19.00390625" style="6" customWidth="1"/>
    <col min="14848" max="14848" width="22.00390625" style="6" customWidth="1"/>
    <col min="14849" max="14849" width="19.8515625" style="6" customWidth="1"/>
    <col min="14850" max="14850" width="15.7109375" style="6" customWidth="1"/>
    <col min="14851" max="14851" width="24.140625" style="6" customWidth="1"/>
    <col min="14852" max="14852" width="8.421875" style="6" customWidth="1"/>
    <col min="14853" max="15101" width="11.421875" style="6" customWidth="1"/>
    <col min="15102" max="15102" width="3.28125" style="6" customWidth="1"/>
    <col min="15103" max="15103" width="19.00390625" style="6" customWidth="1"/>
    <col min="15104" max="15104" width="22.00390625" style="6" customWidth="1"/>
    <col min="15105" max="15105" width="19.8515625" style="6" customWidth="1"/>
    <col min="15106" max="15106" width="15.7109375" style="6" customWidth="1"/>
    <col min="15107" max="15107" width="24.140625" style="6" customWidth="1"/>
    <col min="15108" max="15108" width="8.421875" style="6" customWidth="1"/>
    <col min="15109" max="15357" width="11.421875" style="6" customWidth="1"/>
    <col min="15358" max="15358" width="3.28125" style="6" customWidth="1"/>
    <col min="15359" max="15359" width="19.00390625" style="6" customWidth="1"/>
    <col min="15360" max="15360" width="22.00390625" style="6" customWidth="1"/>
    <col min="15361" max="15361" width="19.8515625" style="6" customWidth="1"/>
    <col min="15362" max="15362" width="15.7109375" style="6" customWidth="1"/>
    <col min="15363" max="15363" width="24.140625" style="6" customWidth="1"/>
    <col min="15364" max="15364" width="8.421875" style="6" customWidth="1"/>
    <col min="15365" max="15613" width="11.421875" style="6" customWidth="1"/>
    <col min="15614" max="15614" width="3.28125" style="6" customWidth="1"/>
    <col min="15615" max="15615" width="19.00390625" style="6" customWidth="1"/>
    <col min="15616" max="15616" width="22.00390625" style="6" customWidth="1"/>
    <col min="15617" max="15617" width="19.8515625" style="6" customWidth="1"/>
    <col min="15618" max="15618" width="15.7109375" style="6" customWidth="1"/>
    <col min="15619" max="15619" width="24.140625" style="6" customWidth="1"/>
    <col min="15620" max="15620" width="8.421875" style="6" customWidth="1"/>
    <col min="15621" max="15869" width="11.421875" style="6" customWidth="1"/>
    <col min="15870" max="15870" width="3.28125" style="6" customWidth="1"/>
    <col min="15871" max="15871" width="19.00390625" style="6" customWidth="1"/>
    <col min="15872" max="15872" width="22.00390625" style="6" customWidth="1"/>
    <col min="15873" max="15873" width="19.8515625" style="6" customWidth="1"/>
    <col min="15874" max="15874" width="15.7109375" style="6" customWidth="1"/>
    <col min="15875" max="15875" width="24.140625" style="6" customWidth="1"/>
    <col min="15876" max="15876" width="8.421875" style="6" customWidth="1"/>
    <col min="15877" max="16125" width="11.421875" style="6" customWidth="1"/>
    <col min="16126" max="16126" width="3.28125" style="6" customWidth="1"/>
    <col min="16127" max="16127" width="19.00390625" style="6" customWidth="1"/>
    <col min="16128" max="16128" width="22.00390625" style="6" customWidth="1"/>
    <col min="16129" max="16129" width="19.8515625" style="6" customWidth="1"/>
    <col min="16130" max="16130" width="15.7109375" style="6" customWidth="1"/>
    <col min="16131" max="16131" width="24.140625" style="6" customWidth="1"/>
    <col min="16132" max="16132" width="8.421875" style="6" customWidth="1"/>
    <col min="16133" max="16384" width="11.421875" style="6" customWidth="1"/>
  </cols>
  <sheetData>
    <row r="1" spans="1:7" ht="12.75">
      <c r="A1" s="227" t="s">
        <v>1007</v>
      </c>
      <c r="B1" s="227"/>
      <c r="C1" s="227"/>
      <c r="D1" s="227"/>
      <c r="E1" s="227"/>
      <c r="F1" s="227"/>
      <c r="G1" s="227"/>
    </row>
    <row r="2" spans="1:13" s="1" customFormat="1" ht="15">
      <c r="A2" s="163" t="s">
        <v>41</v>
      </c>
      <c r="B2" s="163" t="s">
        <v>349</v>
      </c>
      <c r="C2" s="103"/>
      <c r="D2" s="224"/>
      <c r="E2" s="508" t="s">
        <v>989</v>
      </c>
      <c r="F2" s="6"/>
      <c r="G2" s="6"/>
      <c r="H2" s="6"/>
      <c r="I2" s="103"/>
      <c r="J2" s="103"/>
      <c r="K2" s="103"/>
      <c r="L2" s="103"/>
      <c r="M2" s="103"/>
    </row>
    <row r="3" spans="1:13" s="1" customFormat="1" ht="12.75">
      <c r="A3" s="164" t="s">
        <v>194</v>
      </c>
      <c r="B3" s="165">
        <f>SUM(B4,B14,B18,B24)</f>
        <v>419564</v>
      </c>
      <c r="C3" s="103"/>
      <c r="D3" s="224"/>
      <c r="E3" s="6"/>
      <c r="F3" s="6"/>
      <c r="G3" s="6"/>
      <c r="H3" s="6"/>
      <c r="I3" s="103"/>
      <c r="J3" s="103"/>
      <c r="K3" s="103"/>
      <c r="L3" s="103"/>
      <c r="M3" s="103"/>
    </row>
    <row r="4" spans="1:13" s="1" customFormat="1" ht="12.75">
      <c r="A4" s="523" t="s">
        <v>504</v>
      </c>
      <c r="B4" s="524">
        <f>SUM(B5:B13)</f>
        <v>182689</v>
      </c>
      <c r="C4" s="103"/>
      <c r="D4" s="224"/>
      <c r="E4" s="6"/>
      <c r="F4" s="6"/>
      <c r="G4" s="6"/>
      <c r="H4" s="6"/>
      <c r="I4" s="103"/>
      <c r="J4" s="103"/>
      <c r="K4" s="103"/>
      <c r="L4" s="103"/>
      <c r="M4" s="103"/>
    </row>
    <row r="5" spans="1:13" s="1" customFormat="1" ht="12.75">
      <c r="A5" s="166" t="s">
        <v>49</v>
      </c>
      <c r="B5" s="146">
        <f>'3C7 INFO BASE'!B8</f>
        <v>41567</v>
      </c>
      <c r="C5" s="103"/>
      <c r="D5" s="224"/>
      <c r="E5" s="6"/>
      <c r="F5" s="6"/>
      <c r="G5" s="6"/>
      <c r="H5" s="6"/>
      <c r="I5" s="103"/>
      <c r="J5" s="103"/>
      <c r="K5" s="103"/>
      <c r="L5" s="103"/>
      <c r="M5" s="103"/>
    </row>
    <row r="6" spans="1:13" s="1" customFormat="1" ht="12.75">
      <c r="A6" s="166" t="s">
        <v>52</v>
      </c>
      <c r="B6" s="146">
        <f>'3C7 INFO BASE'!B12</f>
        <v>80</v>
      </c>
      <c r="C6" s="103"/>
      <c r="D6" s="103"/>
      <c r="E6" s="103"/>
      <c r="F6" s="103"/>
      <c r="G6" s="103"/>
      <c r="H6" s="103"/>
      <c r="I6" s="103"/>
      <c r="J6" s="103"/>
      <c r="K6" s="103"/>
      <c r="L6" s="103"/>
      <c r="M6" s="103"/>
    </row>
    <row r="7" spans="1:13" s="1" customFormat="1" ht="12.75">
      <c r="A7" s="166" t="s">
        <v>53</v>
      </c>
      <c r="B7" s="146">
        <f>'3C7 INFO BASE'!B13</f>
        <v>24886</v>
      </c>
      <c r="C7" s="103"/>
      <c r="D7" s="103"/>
      <c r="E7" s="103"/>
      <c r="F7" s="103"/>
      <c r="G7" s="103"/>
      <c r="H7" s="103"/>
      <c r="I7" s="103"/>
      <c r="J7" s="103"/>
      <c r="K7" s="103"/>
      <c r="L7" s="103"/>
      <c r="M7" s="103"/>
    </row>
    <row r="8" spans="1:13" s="1" customFormat="1" ht="12.75">
      <c r="A8" s="166" t="s">
        <v>54</v>
      </c>
      <c r="B8" s="146">
        <f>'3C7 INFO BASE'!B14</f>
        <v>1476</v>
      </c>
      <c r="C8" s="103"/>
      <c r="D8" s="103"/>
      <c r="E8" s="103"/>
      <c r="F8" s="103"/>
      <c r="G8" s="103"/>
      <c r="H8" s="103"/>
      <c r="I8" s="103"/>
      <c r="J8" s="103"/>
      <c r="K8" s="103"/>
      <c r="L8" s="103"/>
      <c r="M8" s="103"/>
    </row>
    <row r="9" spans="1:13" s="1" customFormat="1" ht="12.75">
      <c r="A9" s="166" t="s">
        <v>56</v>
      </c>
      <c r="B9" s="146">
        <f>'3C7 INFO BASE'!B16</f>
        <v>9151</v>
      </c>
      <c r="C9" s="103"/>
      <c r="D9" s="103"/>
      <c r="E9" s="103"/>
      <c r="F9" s="103"/>
      <c r="G9" s="103"/>
      <c r="H9" s="103"/>
      <c r="I9" s="103"/>
      <c r="J9" s="103"/>
      <c r="K9" s="103"/>
      <c r="L9" s="103"/>
      <c r="M9" s="103"/>
    </row>
    <row r="10" spans="1:13" s="1" customFormat="1" ht="12.75">
      <c r="A10" s="166" t="s">
        <v>58</v>
      </c>
      <c r="B10" s="146">
        <f>'3C7 INFO BASE'!B18</f>
        <v>1214</v>
      </c>
      <c r="C10" s="103"/>
      <c r="D10" s="103"/>
      <c r="E10" s="103"/>
      <c r="F10" s="103"/>
      <c r="G10" s="103"/>
      <c r="H10" s="103"/>
      <c r="I10" s="103"/>
      <c r="J10" s="103"/>
      <c r="K10" s="103"/>
      <c r="L10" s="103"/>
      <c r="M10" s="103"/>
    </row>
    <row r="11" spans="1:13" s="1" customFormat="1" ht="12.75">
      <c r="A11" s="166" t="s">
        <v>65</v>
      </c>
      <c r="B11" s="146">
        <f>'3C7 INFO BASE'!B25</f>
        <v>2777</v>
      </c>
      <c r="C11" s="103"/>
      <c r="D11" s="103"/>
      <c r="E11" s="103"/>
      <c r="F11" s="103"/>
      <c r="G11" s="103"/>
      <c r="H11" s="103"/>
      <c r="I11" s="103"/>
      <c r="J11" s="103"/>
      <c r="K11" s="103"/>
      <c r="L11" s="103"/>
      <c r="M11" s="103"/>
    </row>
    <row r="12" spans="1:13" s="1" customFormat="1" ht="12.75">
      <c r="A12" s="166" t="s">
        <v>67</v>
      </c>
      <c r="B12" s="146">
        <f>'3C7 INFO BASE'!B27</f>
        <v>283</v>
      </c>
      <c r="C12" s="103"/>
      <c r="D12" s="103"/>
      <c r="E12" s="103"/>
      <c r="F12" s="103"/>
      <c r="G12" s="103"/>
      <c r="H12" s="103"/>
      <c r="I12" s="103"/>
      <c r="J12" s="103"/>
      <c r="K12" s="103"/>
      <c r="L12" s="103"/>
      <c r="M12" s="103"/>
    </row>
    <row r="13" spans="1:13" s="1" customFormat="1" ht="12.75">
      <c r="A13" s="166" t="s">
        <v>68</v>
      </c>
      <c r="B13" s="146">
        <f>'3C7 INFO BASE'!B28</f>
        <v>101255</v>
      </c>
      <c r="C13" s="103"/>
      <c r="D13" s="103"/>
      <c r="E13" s="103"/>
      <c r="F13" s="103"/>
      <c r="G13" s="103"/>
      <c r="H13" s="103"/>
      <c r="I13" s="103"/>
      <c r="J13" s="103"/>
      <c r="K13" s="103"/>
      <c r="L13" s="103"/>
      <c r="M13" s="103"/>
    </row>
    <row r="14" spans="1:13" s="1" customFormat="1" ht="12.75">
      <c r="A14" s="523" t="s">
        <v>505</v>
      </c>
      <c r="B14" s="524">
        <f>SUM(B15:B17)</f>
        <v>45426</v>
      </c>
      <c r="C14" s="103"/>
      <c r="D14" s="224"/>
      <c r="E14" s="6"/>
      <c r="F14" s="6"/>
      <c r="G14" s="6"/>
      <c r="H14" s="6"/>
      <c r="I14" s="103"/>
      <c r="J14" s="103"/>
      <c r="K14" s="103"/>
      <c r="L14" s="103"/>
      <c r="M14" s="103"/>
    </row>
    <row r="15" spans="1:13" s="1" customFormat="1" ht="12.75">
      <c r="A15" s="166" t="s">
        <v>62</v>
      </c>
      <c r="B15" s="146">
        <f>'3C7 INFO BASE'!B22</f>
        <v>33046</v>
      </c>
      <c r="C15" s="103"/>
      <c r="D15" s="103"/>
      <c r="E15" s="103"/>
      <c r="F15" s="103"/>
      <c r="G15" s="103"/>
      <c r="H15" s="103"/>
      <c r="I15" s="103"/>
      <c r="J15" s="103"/>
      <c r="K15" s="103"/>
      <c r="L15" s="103"/>
      <c r="M15" s="103"/>
    </row>
    <row r="16" spans="1:13" s="1" customFormat="1" ht="12.75">
      <c r="A16" s="166" t="s">
        <v>63</v>
      </c>
      <c r="B16" s="146">
        <f>'3C7 INFO BASE'!B23</f>
        <v>2559</v>
      </c>
      <c r="C16" s="103"/>
      <c r="D16" s="103"/>
      <c r="E16" s="103"/>
      <c r="F16" s="103"/>
      <c r="G16" s="103"/>
      <c r="H16" s="103"/>
      <c r="I16" s="103"/>
      <c r="J16" s="103"/>
      <c r="K16" s="103"/>
      <c r="L16" s="103"/>
      <c r="M16" s="103"/>
    </row>
    <row r="17" spans="1:13" s="1" customFormat="1" ht="12.75">
      <c r="A17" s="166" t="s">
        <v>71</v>
      </c>
      <c r="B17" s="146">
        <f>'3C7 INFO BASE'!B31</f>
        <v>9821</v>
      </c>
      <c r="C17" s="103"/>
      <c r="D17" s="103"/>
      <c r="E17" s="103"/>
      <c r="F17" s="103"/>
      <c r="G17" s="103"/>
      <c r="H17" s="103"/>
      <c r="I17" s="103"/>
      <c r="J17" s="103"/>
      <c r="K17" s="103"/>
      <c r="L17" s="103"/>
      <c r="M17" s="103"/>
    </row>
    <row r="18" spans="1:13" s="1" customFormat="1" ht="12.75">
      <c r="A18" s="523" t="s">
        <v>506</v>
      </c>
      <c r="B18" s="524">
        <f>SUM(B19:B23)</f>
        <v>171510</v>
      </c>
      <c r="C18" s="103"/>
      <c r="D18" s="224"/>
      <c r="E18" s="6"/>
      <c r="F18" s="6"/>
      <c r="G18" s="6"/>
      <c r="H18" s="6"/>
      <c r="I18" s="103"/>
      <c r="J18" s="103"/>
      <c r="K18" s="103"/>
      <c r="L18" s="103"/>
      <c r="M18" s="103"/>
    </row>
    <row r="19" spans="1:13" s="1" customFormat="1" ht="12.75">
      <c r="A19" s="166" t="s">
        <v>321</v>
      </c>
      <c r="B19" s="146">
        <f>'3C7 INFO BASE'!B9</f>
        <v>6795</v>
      </c>
      <c r="C19" s="103"/>
      <c r="D19" s="224"/>
      <c r="E19" s="6"/>
      <c r="F19" s="6"/>
      <c r="G19" s="6"/>
      <c r="H19" s="6"/>
      <c r="I19" s="103"/>
      <c r="J19" s="103"/>
      <c r="K19" s="103"/>
      <c r="L19" s="103"/>
      <c r="M19" s="103"/>
    </row>
    <row r="20" spans="1:13" s="1" customFormat="1" ht="12.75">
      <c r="A20" s="166" t="s">
        <v>59</v>
      </c>
      <c r="B20" s="146">
        <f>'3C7 INFO BASE'!B19</f>
        <v>32857</v>
      </c>
      <c r="C20" s="103"/>
      <c r="D20" s="103"/>
      <c r="E20" s="103"/>
      <c r="F20" s="103"/>
      <c r="G20" s="103"/>
      <c r="H20" s="103"/>
      <c r="I20" s="103"/>
      <c r="J20" s="103"/>
      <c r="K20" s="103"/>
      <c r="L20" s="103"/>
      <c r="M20" s="103"/>
    </row>
    <row r="21" spans="1:13" s="1" customFormat="1" ht="12.75">
      <c r="A21" s="166" t="s">
        <v>60</v>
      </c>
      <c r="B21" s="146">
        <f>'3C7 INFO BASE'!B20</f>
        <v>49831</v>
      </c>
      <c r="C21" s="103"/>
      <c r="D21" s="103"/>
      <c r="E21" s="103"/>
      <c r="F21" s="103"/>
      <c r="G21" s="103"/>
      <c r="H21" s="103"/>
      <c r="I21" s="103"/>
      <c r="J21" s="103"/>
      <c r="K21" s="103"/>
      <c r="L21" s="103"/>
      <c r="M21" s="103"/>
    </row>
    <row r="22" spans="1:13" s="1" customFormat="1" ht="12.75">
      <c r="A22" s="166" t="s">
        <v>66</v>
      </c>
      <c r="B22" s="146">
        <f>'3C7 INFO BASE'!B26</f>
        <v>67373</v>
      </c>
      <c r="C22" s="103"/>
      <c r="D22" s="103"/>
      <c r="E22" s="103"/>
      <c r="F22" s="103"/>
      <c r="G22" s="103"/>
      <c r="H22" s="103"/>
      <c r="I22" s="103"/>
      <c r="J22" s="103"/>
      <c r="K22" s="103"/>
      <c r="L22" s="103"/>
      <c r="M22" s="103"/>
    </row>
    <row r="23" spans="1:13" s="1" customFormat="1" ht="12.75">
      <c r="A23" s="166" t="s">
        <v>70</v>
      </c>
      <c r="B23" s="146">
        <f>'3C7 INFO BASE'!B30</f>
        <v>14654</v>
      </c>
      <c r="C23" s="103"/>
      <c r="D23" s="103"/>
      <c r="E23" s="103"/>
      <c r="F23" s="103"/>
      <c r="G23" s="103"/>
      <c r="H23" s="103"/>
      <c r="I23" s="103"/>
      <c r="J23" s="103"/>
      <c r="K23" s="103"/>
      <c r="L23" s="103"/>
      <c r="M23" s="103"/>
    </row>
    <row r="24" spans="1:13" s="1" customFormat="1" ht="12.75">
      <c r="A24" s="523" t="s">
        <v>507</v>
      </c>
      <c r="B24" s="524">
        <f>SUM(B25)</f>
        <v>19939</v>
      </c>
      <c r="C24" s="103"/>
      <c r="D24" s="224"/>
      <c r="E24" s="6"/>
      <c r="F24" s="6"/>
      <c r="G24" s="6"/>
      <c r="H24" s="6"/>
      <c r="I24" s="103"/>
      <c r="J24" s="103"/>
      <c r="K24" s="103"/>
      <c r="L24" s="103"/>
      <c r="M24" s="103"/>
    </row>
    <row r="25" spans="1:13" s="1" customFormat="1" ht="12.75">
      <c r="A25" s="166" t="s">
        <v>51</v>
      </c>
      <c r="B25" s="146">
        <f>'3C7 INFO BASE'!B11</f>
        <v>19939</v>
      </c>
      <c r="C25" s="103"/>
      <c r="D25" s="103"/>
      <c r="E25" s="103"/>
      <c r="F25" s="103"/>
      <c r="G25" s="103"/>
      <c r="H25" s="103"/>
      <c r="I25" s="103"/>
      <c r="J25" s="103"/>
      <c r="K25" s="103"/>
      <c r="L25" s="103"/>
      <c r="M25" s="103"/>
    </row>
    <row r="26" spans="1:13" s="1" customFormat="1" ht="25.5">
      <c r="A26" s="523" t="s">
        <v>1008</v>
      </c>
      <c r="B26" s="524">
        <f>SUM(B27:B32)</f>
        <v>0</v>
      </c>
      <c r="C26" s="103"/>
      <c r="D26" s="224"/>
      <c r="E26" s="6"/>
      <c r="F26" s="6"/>
      <c r="G26" s="6"/>
      <c r="H26" s="6"/>
      <c r="I26" s="103"/>
      <c r="J26" s="103"/>
      <c r="K26" s="103"/>
      <c r="L26" s="103"/>
      <c r="M26" s="103"/>
    </row>
    <row r="27" spans="1:13" s="1" customFormat="1" ht="12.75">
      <c r="A27" s="166" t="s">
        <v>50</v>
      </c>
      <c r="B27" s="146">
        <f>'3C7 INFO BASE'!B10</f>
        <v>0</v>
      </c>
      <c r="C27" s="103"/>
      <c r="D27" s="103"/>
      <c r="E27" s="103"/>
      <c r="F27" s="103"/>
      <c r="G27" s="103"/>
      <c r="H27" s="103"/>
      <c r="I27" s="103"/>
      <c r="J27" s="103"/>
      <c r="K27" s="103"/>
      <c r="L27" s="103"/>
      <c r="M27" s="103"/>
    </row>
    <row r="28" spans="1:13" s="1" customFormat="1" ht="12.75">
      <c r="A28" s="166" t="s">
        <v>55</v>
      </c>
      <c r="B28" s="146">
        <f>'3C7 INFO BASE'!B15</f>
        <v>0</v>
      </c>
      <c r="C28" s="103"/>
      <c r="D28" s="103"/>
      <c r="E28" s="103"/>
      <c r="F28" s="103"/>
      <c r="G28" s="103"/>
      <c r="H28" s="103"/>
      <c r="I28" s="103"/>
      <c r="J28" s="103"/>
      <c r="K28" s="103"/>
      <c r="L28" s="103"/>
      <c r="M28" s="103"/>
    </row>
    <row r="29" spans="1:13" s="1" customFormat="1" ht="12.75">
      <c r="A29" s="166" t="s">
        <v>57</v>
      </c>
      <c r="B29" s="146">
        <f>'3C7 INFO BASE'!B17</f>
        <v>0</v>
      </c>
      <c r="C29" s="103"/>
      <c r="D29" s="103"/>
      <c r="E29" s="103"/>
      <c r="F29" s="103"/>
      <c r="G29" s="103"/>
      <c r="H29" s="103"/>
      <c r="I29" s="103"/>
      <c r="J29" s="103"/>
      <c r="K29" s="103"/>
      <c r="L29" s="103"/>
      <c r="M29" s="103"/>
    </row>
    <row r="30" spans="1:13" s="1" customFormat="1" ht="12.75">
      <c r="A30" s="166" t="s">
        <v>61</v>
      </c>
      <c r="B30" s="146">
        <f>'3C7 INFO BASE'!B21</f>
        <v>0</v>
      </c>
      <c r="C30" s="103"/>
      <c r="D30" s="103"/>
      <c r="E30" s="103"/>
      <c r="F30" s="103"/>
      <c r="G30" s="103"/>
      <c r="H30" s="103"/>
      <c r="I30" s="103"/>
      <c r="J30" s="103"/>
      <c r="K30" s="103"/>
      <c r="L30" s="103"/>
      <c r="M30" s="103"/>
    </row>
    <row r="31" spans="1:13" s="1" customFormat="1" ht="12.75">
      <c r="A31" s="166" t="s">
        <v>64</v>
      </c>
      <c r="B31" s="146">
        <f>'3C7 INFO BASE'!B24</f>
        <v>0</v>
      </c>
      <c r="C31" s="103"/>
      <c r="D31" s="103"/>
      <c r="E31" s="103"/>
      <c r="F31" s="103"/>
      <c r="G31" s="103"/>
      <c r="H31" s="103"/>
      <c r="I31" s="103"/>
      <c r="J31" s="103"/>
      <c r="K31" s="103"/>
      <c r="L31" s="103"/>
      <c r="M31" s="103"/>
    </row>
    <row r="32" spans="1:13" s="1" customFormat="1" ht="12.75">
      <c r="A32" s="166" t="s">
        <v>69</v>
      </c>
      <c r="B32" s="146">
        <f>'3C7 INFO BASE'!B29</f>
        <v>0</v>
      </c>
      <c r="C32" s="103"/>
      <c r="D32" s="103"/>
      <c r="E32" s="103"/>
      <c r="F32" s="103"/>
      <c r="G32" s="103"/>
      <c r="H32" s="103"/>
      <c r="I32" s="103"/>
      <c r="J32" s="103"/>
      <c r="K32" s="103"/>
      <c r="L32" s="103"/>
      <c r="M32" s="103"/>
    </row>
    <row r="33" spans="1:13" s="1" customFormat="1" ht="12.75">
      <c r="A33" s="522"/>
      <c r="B33" s="168"/>
      <c r="C33" s="103"/>
      <c r="D33" s="103"/>
      <c r="E33" s="103"/>
      <c r="F33" s="103"/>
      <c r="G33" s="103"/>
      <c r="H33" s="103"/>
      <c r="I33" s="103"/>
      <c r="J33" s="103"/>
      <c r="K33" s="103"/>
      <c r="L33" s="103"/>
      <c r="M33" s="103"/>
    </row>
    <row r="34" spans="1:7" ht="12.75">
      <c r="A34" s="227" t="s">
        <v>416</v>
      </c>
      <c r="B34" s="227"/>
      <c r="C34" s="227"/>
      <c r="D34" s="227"/>
      <c r="E34" s="227"/>
      <c r="F34" s="227"/>
      <c r="G34" s="227"/>
    </row>
    <row r="35" spans="1:7" ht="36" customHeight="1">
      <c r="A35" s="1212" t="s">
        <v>418</v>
      </c>
      <c r="B35" s="1213"/>
      <c r="C35" s="194" t="s">
        <v>499</v>
      </c>
      <c r="D35" s="194" t="s">
        <v>500</v>
      </c>
      <c r="E35" s="194" t="s">
        <v>501</v>
      </c>
      <c r="F35" s="194" t="s">
        <v>502</v>
      </c>
      <c r="G35" s="194" t="s">
        <v>794</v>
      </c>
    </row>
    <row r="36" spans="1:11" ht="12.75" customHeight="1">
      <c r="A36" s="1214" t="s">
        <v>419</v>
      </c>
      <c r="B36" s="1214"/>
      <c r="C36" s="228">
        <f>'FACTORES DE CONVERSIÓN'!D362</f>
        <v>0</v>
      </c>
      <c r="D36" s="228">
        <f>'FACTORES DE CONVERSIÓN'!E362</f>
        <v>0</v>
      </c>
      <c r="E36" s="228">
        <f>'FACTORES DE CONVERSIÓN'!F362</f>
        <v>0</v>
      </c>
      <c r="F36" s="228">
        <f>'FACTORES DE CONVERSIÓN'!G362</f>
        <v>0</v>
      </c>
      <c r="G36" s="229">
        <f>C36*B$4+D36*B$14+E36*B$18+F36*B$24</f>
        <v>0</v>
      </c>
      <c r="I36" s="508" t="s">
        <v>989</v>
      </c>
      <c r="J36" s="6"/>
      <c r="K36" s="6"/>
    </row>
    <row r="37" spans="1:11" ht="12.75" customHeight="1">
      <c r="A37" s="1215" t="s">
        <v>420</v>
      </c>
      <c r="B37" s="230" t="s">
        <v>421</v>
      </c>
      <c r="C37" s="228">
        <f>'FACTORES DE CONVERSIÓN'!D363</f>
        <v>0</v>
      </c>
      <c r="D37" s="228">
        <f>'FACTORES DE CONVERSIÓN'!E363</f>
        <v>0</v>
      </c>
      <c r="E37" s="228">
        <f>'FACTORES DE CONVERSIÓN'!F363</f>
        <v>0</v>
      </c>
      <c r="F37" s="228">
        <f>'FACTORES DE CONVERSIÓN'!G363</f>
        <v>0</v>
      </c>
      <c r="G37" s="229">
        <f aca="true" t="shared" si="0" ref="G37:G42">C37*B$4+D37*B$14+E37*B$18+F37*B$24</f>
        <v>0</v>
      </c>
      <c r="I37" s="6"/>
      <c r="J37" s="6"/>
      <c r="K37" s="6"/>
    </row>
    <row r="38" spans="1:7" ht="12.75">
      <c r="A38" s="1216"/>
      <c r="B38" s="231" t="s">
        <v>422</v>
      </c>
      <c r="C38" s="228">
        <f>'FACTORES DE CONVERSIÓN'!D364</f>
        <v>0.39</v>
      </c>
      <c r="D38" s="228">
        <f>'FACTORES DE CONVERSIÓN'!E364</f>
        <v>0</v>
      </c>
      <c r="E38" s="228">
        <f>'FACTORES DE CONVERSIÓN'!F364</f>
        <v>0</v>
      </c>
      <c r="F38" s="228">
        <f>'FACTORES DE CONVERSIÓN'!G364</f>
        <v>0</v>
      </c>
      <c r="G38" s="229">
        <f t="shared" si="0"/>
        <v>71248.71</v>
      </c>
    </row>
    <row r="39" spans="1:8" ht="12.75">
      <c r="A39" s="1217"/>
      <c r="B39" s="231" t="s">
        <v>423</v>
      </c>
      <c r="C39" s="228">
        <f>'FACTORES DE CONVERSIÓN'!D365</f>
        <v>0.4</v>
      </c>
      <c r="D39" s="228">
        <f>'FACTORES DE CONVERSIÓN'!E365</f>
        <v>1</v>
      </c>
      <c r="E39" s="228">
        <f>'FACTORES DE CONVERSIÓN'!F365</f>
        <v>1</v>
      </c>
      <c r="F39" s="228">
        <f>'FACTORES DE CONVERSIÓN'!G365</f>
        <v>1</v>
      </c>
      <c r="G39" s="229">
        <f t="shared" si="0"/>
        <v>309950.6</v>
      </c>
      <c r="H39" s="225"/>
    </row>
    <row r="40" spans="1:7" ht="12.75" customHeight="1">
      <c r="A40" s="1215" t="s">
        <v>424</v>
      </c>
      <c r="B40" s="231" t="s">
        <v>425</v>
      </c>
      <c r="C40" s="228">
        <f>'FACTORES DE CONVERSIÓN'!D366</f>
        <v>0.03</v>
      </c>
      <c r="D40" s="228">
        <f>'FACTORES DE CONVERSIÓN'!E366</f>
        <v>0</v>
      </c>
      <c r="E40" s="228">
        <f>'FACTORES DE CONVERSIÓN'!F366</f>
        <v>0</v>
      </c>
      <c r="F40" s="228">
        <f>'FACTORES DE CONVERSIÓN'!G366</f>
        <v>0</v>
      </c>
      <c r="G40" s="229">
        <f t="shared" si="0"/>
        <v>5480.67</v>
      </c>
    </row>
    <row r="41" spans="1:7" ht="12.75">
      <c r="A41" s="1216"/>
      <c r="B41" s="231" t="s">
        <v>426</v>
      </c>
      <c r="C41" s="228">
        <f>'FACTORES DE CONVERSIÓN'!D367</f>
        <v>0.03</v>
      </c>
      <c r="D41" s="228">
        <f>'FACTORES DE CONVERSIÓN'!E367</f>
        <v>0</v>
      </c>
      <c r="E41" s="228">
        <f>'FACTORES DE CONVERSIÓN'!F367</f>
        <v>0</v>
      </c>
      <c r="F41" s="228">
        <f>'FACTORES DE CONVERSIÓN'!G367</f>
        <v>0</v>
      </c>
      <c r="G41" s="229">
        <f t="shared" si="0"/>
        <v>5480.67</v>
      </c>
    </row>
    <row r="42" spans="1:7" ht="12.75" customHeight="1">
      <c r="A42" s="1217"/>
      <c r="B42" s="230" t="s">
        <v>427</v>
      </c>
      <c r="C42" s="228">
        <f>'FACTORES DE CONVERSIÓN'!D368</f>
        <v>0.15</v>
      </c>
      <c r="D42" s="228">
        <f>'FACTORES DE CONVERSIÓN'!E368</f>
        <v>0</v>
      </c>
      <c r="E42" s="228">
        <f>'FACTORES DE CONVERSIÓN'!F368</f>
        <v>0</v>
      </c>
      <c r="F42" s="228">
        <f>'FACTORES DE CONVERSIÓN'!G368</f>
        <v>0</v>
      </c>
      <c r="G42" s="229">
        <f t="shared" si="0"/>
        <v>27403.35</v>
      </c>
    </row>
    <row r="43" ht="15">
      <c r="A43" s="226"/>
    </row>
    <row r="44" ht="15">
      <c r="A44" s="226"/>
    </row>
    <row r="45" ht="15">
      <c r="A45" s="226"/>
    </row>
    <row r="46" ht="15">
      <c r="A46" s="226"/>
    </row>
    <row r="47" ht="15">
      <c r="A47" s="226"/>
    </row>
    <row r="48" ht="15">
      <c r="A48" s="226"/>
    </row>
    <row r="49" ht="15">
      <c r="A49" s="226"/>
    </row>
    <row r="50" ht="15">
      <c r="A50" s="226"/>
    </row>
    <row r="51" ht="15">
      <c r="A51" s="226"/>
    </row>
    <row r="52" ht="15">
      <c r="A52" s="226"/>
    </row>
    <row r="53" ht="15">
      <c r="A53" s="226"/>
    </row>
    <row r="54" ht="15">
      <c r="A54" s="226"/>
    </row>
    <row r="55" ht="15">
      <c r="A55" s="226"/>
    </row>
    <row r="56" ht="15">
      <c r="A56" s="226"/>
    </row>
  </sheetData>
  <mergeCells count="4">
    <mergeCell ref="A35:B35"/>
    <mergeCell ref="A36:B36"/>
    <mergeCell ref="A37:A39"/>
    <mergeCell ref="A40:A42"/>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5A7F2B"/>
  </sheetPr>
  <dimension ref="A1:P404"/>
  <sheetViews>
    <sheetView zoomScale="89" zoomScaleNormal="89" workbookViewId="0" topLeftCell="A39">
      <selection activeCell="B54" sqref="B54"/>
    </sheetView>
  </sheetViews>
  <sheetFormatPr defaultColWidth="10.8515625" defaultRowHeight="15"/>
  <cols>
    <col min="1" max="1" width="25.7109375" style="103" customWidth="1"/>
    <col min="2" max="2" width="20.140625" style="103" customWidth="1"/>
    <col min="3" max="3" width="21.00390625" style="103" customWidth="1"/>
    <col min="4" max="9" width="20.7109375" style="103" customWidth="1"/>
    <col min="10" max="11" width="20.7109375" style="0" customWidth="1"/>
  </cols>
  <sheetData>
    <row r="1" spans="1:16" ht="15">
      <c r="A1" s="510" t="s">
        <v>1093</v>
      </c>
      <c r="B1" s="511"/>
      <c r="C1" s="511"/>
      <c r="D1" s="512"/>
      <c r="E1" s="512"/>
      <c r="F1" s="512"/>
      <c r="G1" s="512"/>
      <c r="H1" s="512"/>
      <c r="I1" s="512"/>
      <c r="J1" s="1"/>
      <c r="K1" s="1"/>
      <c r="L1" s="1"/>
      <c r="M1" s="1"/>
      <c r="N1" s="1"/>
      <c r="O1" s="1"/>
      <c r="P1" s="1"/>
    </row>
    <row r="2" spans="1:5" s="586" customFormat="1" ht="39.75">
      <c r="A2" s="1053" t="s">
        <v>1097</v>
      </c>
      <c r="B2" s="587">
        <v>21</v>
      </c>
      <c r="C2" s="588" t="s">
        <v>1094</v>
      </c>
      <c r="D2" s="585"/>
      <c r="E2" s="585"/>
    </row>
    <row r="3" spans="1:5" s="586" customFormat="1" ht="15">
      <c r="A3" s="589" t="s">
        <v>1095</v>
      </c>
      <c r="B3" s="589"/>
      <c r="C3" s="589"/>
      <c r="E3" s="585"/>
    </row>
    <row r="4" spans="1:5" s="586" customFormat="1" ht="15" customHeight="1">
      <c r="A4" s="585"/>
      <c r="E4" s="585"/>
    </row>
    <row r="5" spans="1:5" s="586" customFormat="1" ht="39.75">
      <c r="A5" s="1053" t="s">
        <v>1096</v>
      </c>
      <c r="B5" s="587">
        <v>310</v>
      </c>
      <c r="C5" s="588" t="s">
        <v>1094</v>
      </c>
      <c r="D5" s="585"/>
      <c r="E5" s="585"/>
    </row>
    <row r="6" spans="1:5" s="586" customFormat="1" ht="15">
      <c r="A6" s="589" t="s">
        <v>1095</v>
      </c>
      <c r="B6" s="589"/>
      <c r="C6" s="589"/>
      <c r="E6" s="585"/>
    </row>
    <row r="7" spans="1:5" s="586" customFormat="1" ht="15">
      <c r="A7" s="585"/>
      <c r="E7" s="585"/>
    </row>
    <row r="8" spans="1:16" ht="15">
      <c r="A8" s="510" t="s">
        <v>114</v>
      </c>
      <c r="B8" s="511"/>
      <c r="C8" s="511"/>
      <c r="D8" s="512"/>
      <c r="E8" s="512"/>
      <c r="F8" s="512"/>
      <c r="G8" s="512"/>
      <c r="H8" s="512"/>
      <c r="I8" s="512"/>
      <c r="J8" s="1"/>
      <c r="K8" s="1"/>
      <c r="L8" s="1"/>
      <c r="M8" s="1"/>
      <c r="N8" s="1"/>
      <c r="O8" s="1"/>
      <c r="P8" s="1"/>
    </row>
    <row r="9" spans="1:16" ht="15">
      <c r="A9" s="1225" t="s">
        <v>115</v>
      </c>
      <c r="B9" s="1225"/>
      <c r="C9" s="1225"/>
      <c r="E9" s="508" t="s">
        <v>989</v>
      </c>
      <c r="J9" s="1"/>
      <c r="K9" s="1"/>
      <c r="L9" s="1"/>
      <c r="M9" s="1"/>
      <c r="N9" s="1"/>
      <c r="O9" s="1"/>
      <c r="P9" s="1"/>
    </row>
    <row r="10" spans="1:16" ht="15">
      <c r="A10" s="1056" t="s">
        <v>116</v>
      </c>
      <c r="B10" s="232">
        <v>10000</v>
      </c>
      <c r="C10" s="1056" t="s">
        <v>795</v>
      </c>
      <c r="J10" s="1"/>
      <c r="K10" s="1"/>
      <c r="L10" s="1"/>
      <c r="M10" s="1"/>
      <c r="N10" s="1"/>
      <c r="O10" s="1"/>
      <c r="P10" s="1"/>
    </row>
    <row r="11" spans="1:16" ht="15">
      <c r="A11" s="1218" t="s">
        <v>81</v>
      </c>
      <c r="B11" s="1218"/>
      <c r="C11" s="1218"/>
      <c r="J11" s="1"/>
      <c r="K11" s="1"/>
      <c r="L11" s="1"/>
      <c r="M11" s="1"/>
      <c r="N11" s="1"/>
      <c r="O11" s="1"/>
      <c r="P11" s="1"/>
    </row>
    <row r="12" spans="1:16" ht="15">
      <c r="A12" s="1221" t="s">
        <v>683</v>
      </c>
      <c r="B12" s="1221"/>
      <c r="C12" s="1221"/>
      <c r="J12" s="1"/>
      <c r="K12" s="1"/>
      <c r="L12" s="1"/>
      <c r="M12" s="1"/>
      <c r="N12" s="1"/>
      <c r="O12" s="1"/>
      <c r="P12" s="1"/>
    </row>
    <row r="13" spans="1:16" ht="15">
      <c r="A13" s="1225" t="s">
        <v>117</v>
      </c>
      <c r="B13" s="1225"/>
      <c r="C13" s="1225"/>
      <c r="J13" s="1"/>
      <c r="K13" s="1"/>
      <c r="L13" s="1"/>
      <c r="M13" s="1"/>
      <c r="N13" s="1"/>
      <c r="O13" s="1"/>
      <c r="P13" s="1"/>
    </row>
    <row r="14" spans="1:16" ht="15">
      <c r="A14" s="1056" t="s">
        <v>118</v>
      </c>
      <c r="B14" s="232">
        <v>1000</v>
      </c>
      <c r="C14" s="1056" t="s">
        <v>119</v>
      </c>
      <c r="J14" s="1"/>
      <c r="K14" s="1"/>
      <c r="L14" s="1"/>
      <c r="M14" s="1"/>
      <c r="N14" s="1"/>
      <c r="O14" s="1"/>
      <c r="P14" s="1"/>
    </row>
    <row r="15" spans="1:16" ht="15">
      <c r="A15" s="1056" t="s">
        <v>120</v>
      </c>
      <c r="B15" s="232">
        <v>1000</v>
      </c>
      <c r="C15" s="1056" t="s">
        <v>121</v>
      </c>
      <c r="J15" s="1"/>
      <c r="K15" s="1"/>
      <c r="L15" s="1"/>
      <c r="M15" s="1"/>
      <c r="N15" s="1"/>
      <c r="O15" s="1"/>
      <c r="P15" s="1"/>
    </row>
    <row r="16" spans="1:16" ht="15">
      <c r="A16" s="1056" t="s">
        <v>118</v>
      </c>
      <c r="B16" s="232">
        <f>B14*B15</f>
        <v>1000000</v>
      </c>
      <c r="C16" s="1056" t="s">
        <v>121</v>
      </c>
      <c r="J16" s="1"/>
      <c r="K16" s="1"/>
      <c r="L16" s="1"/>
      <c r="M16" s="1"/>
      <c r="N16" s="1"/>
      <c r="O16" s="1"/>
      <c r="P16" s="1"/>
    </row>
    <row r="17" spans="1:16" ht="15">
      <c r="A17" s="1053" t="s">
        <v>81</v>
      </c>
      <c r="B17" s="1053"/>
      <c r="C17" s="1053"/>
      <c r="J17" s="1"/>
      <c r="K17" s="1"/>
      <c r="L17" s="1"/>
      <c r="M17" s="1"/>
      <c r="N17" s="1"/>
      <c r="O17" s="1"/>
      <c r="P17" s="1"/>
    </row>
    <row r="18" spans="1:16" ht="15">
      <c r="A18" s="1221" t="s">
        <v>683</v>
      </c>
      <c r="B18" s="1221"/>
      <c r="C18" s="1221"/>
      <c r="J18" s="1"/>
      <c r="K18" s="1"/>
      <c r="L18" s="1"/>
      <c r="M18" s="1"/>
      <c r="N18" s="1"/>
      <c r="O18" s="1"/>
      <c r="P18" s="1"/>
    </row>
    <row r="19" spans="1:16" ht="15">
      <c r="A19" s="1225" t="s">
        <v>122</v>
      </c>
      <c r="B19" s="1225"/>
      <c r="C19" s="1225"/>
      <c r="J19" s="1"/>
      <c r="K19" s="1"/>
      <c r="L19" s="1"/>
      <c r="M19" s="1"/>
      <c r="N19" s="1"/>
      <c r="O19" s="1"/>
      <c r="P19" s="1"/>
    </row>
    <row r="20" spans="1:16" ht="15">
      <c r="A20" s="1056" t="s">
        <v>123</v>
      </c>
      <c r="B20" s="1056">
        <f>1/1000</f>
        <v>0.001</v>
      </c>
      <c r="C20" s="1056" t="s">
        <v>124</v>
      </c>
      <c r="J20" s="1"/>
      <c r="K20" s="1"/>
      <c r="L20" s="1"/>
      <c r="M20" s="1"/>
      <c r="N20" s="1"/>
      <c r="O20" s="1"/>
      <c r="P20" s="1"/>
    </row>
    <row r="21" spans="1:16" ht="15">
      <c r="A21" s="1218" t="s">
        <v>81</v>
      </c>
      <c r="B21" s="1218"/>
      <c r="C21" s="1218"/>
      <c r="J21" s="1"/>
      <c r="K21" s="1"/>
      <c r="L21" s="1"/>
      <c r="M21" s="1"/>
      <c r="N21" s="1"/>
      <c r="O21" s="1"/>
      <c r="P21" s="1"/>
    </row>
    <row r="22" spans="1:16" ht="15">
      <c r="A22" s="1221" t="s">
        <v>684</v>
      </c>
      <c r="B22" s="1221"/>
      <c r="C22" s="1221"/>
      <c r="J22" s="1"/>
      <c r="K22" s="1"/>
      <c r="L22" s="1"/>
      <c r="M22" s="1"/>
      <c r="N22" s="1"/>
      <c r="O22" s="1"/>
      <c r="P22" s="1"/>
    </row>
    <row r="23" spans="1:16" ht="15">
      <c r="A23" s="1048" t="s">
        <v>125</v>
      </c>
      <c r="B23" s="1048" t="s">
        <v>126</v>
      </c>
      <c r="C23" s="1048" t="s">
        <v>127</v>
      </c>
      <c r="J23" s="1"/>
      <c r="K23" s="1"/>
      <c r="L23" s="1"/>
      <c r="M23" s="1"/>
      <c r="N23" s="1"/>
      <c r="O23" s="1"/>
      <c r="P23" s="1"/>
    </row>
    <row r="24" spans="1:16" ht="15">
      <c r="A24" s="1056" t="s">
        <v>128</v>
      </c>
      <c r="B24" s="1056" t="s">
        <v>129</v>
      </c>
      <c r="C24" s="233">
        <f>10^1</f>
        <v>10</v>
      </c>
      <c r="J24" s="1"/>
      <c r="K24" s="1"/>
      <c r="L24" s="1"/>
      <c r="M24" s="1"/>
      <c r="N24" s="1"/>
      <c r="O24" s="1"/>
      <c r="P24" s="1"/>
    </row>
    <row r="25" spans="1:16" ht="15">
      <c r="A25" s="1056" t="s">
        <v>130</v>
      </c>
      <c r="B25" s="1056" t="s">
        <v>131</v>
      </c>
      <c r="C25" s="233">
        <f>10^2</f>
        <v>100</v>
      </c>
      <c r="J25" s="1"/>
      <c r="K25" s="1"/>
      <c r="L25" s="1"/>
      <c r="M25" s="1"/>
      <c r="N25" s="1"/>
      <c r="O25" s="1"/>
      <c r="P25" s="1"/>
    </row>
    <row r="26" spans="1:16" ht="15">
      <c r="A26" s="1056" t="s">
        <v>132</v>
      </c>
      <c r="B26" s="1056" t="s">
        <v>133</v>
      </c>
      <c r="C26" s="233">
        <f>10^3</f>
        <v>1000</v>
      </c>
      <c r="J26" s="1"/>
      <c r="K26" s="1"/>
      <c r="L26" s="1"/>
      <c r="M26" s="1"/>
      <c r="N26" s="1"/>
      <c r="O26" s="1"/>
      <c r="P26" s="1"/>
    </row>
    <row r="27" spans="1:16" ht="15">
      <c r="A27" s="1056" t="s">
        <v>134</v>
      </c>
      <c r="B27" s="1056" t="s">
        <v>22</v>
      </c>
      <c r="C27" s="233">
        <f>10^6</f>
        <v>1000000</v>
      </c>
      <c r="J27" s="1"/>
      <c r="K27" s="1"/>
      <c r="L27" s="1"/>
      <c r="M27" s="1"/>
      <c r="N27" s="1"/>
      <c r="O27" s="1"/>
      <c r="P27" s="1"/>
    </row>
    <row r="28" spans="1:16" ht="15">
      <c r="A28" s="1056" t="s">
        <v>135</v>
      </c>
      <c r="B28" s="1056" t="s">
        <v>136</v>
      </c>
      <c r="C28" s="233">
        <f>10^9</f>
        <v>1000000000</v>
      </c>
      <c r="J28" s="1"/>
      <c r="K28" s="1"/>
      <c r="L28" s="1"/>
      <c r="M28" s="1"/>
      <c r="N28" s="1"/>
      <c r="O28" s="1"/>
      <c r="P28" s="1"/>
    </row>
    <row r="29" spans="1:16" ht="15">
      <c r="A29" s="1056" t="s">
        <v>137</v>
      </c>
      <c r="B29" s="1056" t="s">
        <v>3</v>
      </c>
      <c r="C29" s="233">
        <f>10^12</f>
        <v>1000000000000</v>
      </c>
      <c r="J29" s="1"/>
      <c r="K29" s="1"/>
      <c r="L29" s="1"/>
      <c r="M29" s="1"/>
      <c r="N29" s="1"/>
      <c r="O29" s="1"/>
      <c r="P29" s="1"/>
    </row>
    <row r="30" spans="1:16" ht="15">
      <c r="A30" s="1218" t="s">
        <v>81</v>
      </c>
      <c r="B30" s="1218"/>
      <c r="C30" s="1218"/>
      <c r="J30" s="1"/>
      <c r="K30" s="1"/>
      <c r="L30" s="1"/>
      <c r="M30" s="1"/>
      <c r="N30" s="1"/>
      <c r="O30" s="1"/>
      <c r="P30" s="1"/>
    </row>
    <row r="31" spans="1:16" ht="15">
      <c r="A31" s="1221" t="s">
        <v>683</v>
      </c>
      <c r="B31" s="1221"/>
      <c r="C31" s="1221"/>
      <c r="J31" s="1"/>
      <c r="K31" s="1"/>
      <c r="L31" s="1"/>
      <c r="M31" s="1"/>
      <c r="N31" s="1"/>
      <c r="O31" s="1"/>
      <c r="P31" s="1"/>
    </row>
    <row r="32" spans="10:16" ht="15">
      <c r="J32" s="1"/>
      <c r="K32" s="1"/>
      <c r="L32" s="1"/>
      <c r="M32" s="1"/>
      <c r="N32" s="1"/>
      <c r="O32" s="1"/>
      <c r="P32" s="1"/>
    </row>
    <row r="33" spans="1:16" ht="15">
      <c r="A33" s="510" t="s">
        <v>634</v>
      </c>
      <c r="B33" s="511"/>
      <c r="C33" s="511"/>
      <c r="D33" s="512"/>
      <c r="E33" s="512"/>
      <c r="F33" s="512"/>
      <c r="G33" s="512"/>
      <c r="H33" s="512"/>
      <c r="I33" s="512"/>
      <c r="J33" s="1"/>
      <c r="K33" s="1"/>
      <c r="L33" s="1"/>
      <c r="M33" s="1"/>
      <c r="N33" s="1"/>
      <c r="O33" s="1"/>
      <c r="P33" s="1"/>
    </row>
    <row r="34" spans="1:16" ht="25.5">
      <c r="A34" s="1048" t="s">
        <v>635</v>
      </c>
      <c r="B34" s="1048" t="s">
        <v>639</v>
      </c>
      <c r="C34" s="1048" t="s">
        <v>640</v>
      </c>
      <c r="D34" s="1218" t="s">
        <v>81</v>
      </c>
      <c r="E34" s="1218"/>
      <c r="J34" s="1"/>
      <c r="K34" s="1"/>
      <c r="L34" s="1"/>
      <c r="M34" s="1"/>
      <c r="N34" s="1"/>
      <c r="O34" s="1"/>
      <c r="P34" s="1"/>
    </row>
    <row r="35" spans="1:16" ht="15">
      <c r="A35" s="1063" t="s">
        <v>636</v>
      </c>
      <c r="B35" s="1064">
        <v>0.675</v>
      </c>
      <c r="C35" s="1064">
        <f>SUM($B$35:$B$41)*B35/SUM($B$35:$B$38)</f>
        <v>0.6958762886597938</v>
      </c>
      <c r="D35" s="1235" t="s">
        <v>1020</v>
      </c>
      <c r="E35" s="1235"/>
      <c r="G35" s="508" t="s">
        <v>989</v>
      </c>
      <c r="J35" s="1"/>
      <c r="K35" s="1"/>
      <c r="L35" s="1"/>
      <c r="M35" s="1"/>
      <c r="N35" s="1"/>
      <c r="O35" s="1"/>
      <c r="P35" s="1"/>
    </row>
    <row r="36" spans="1:16" ht="15">
      <c r="A36" s="1063" t="s">
        <v>637</v>
      </c>
      <c r="B36" s="1064">
        <v>0.1</v>
      </c>
      <c r="C36" s="1064">
        <f>SUM($B$35:$B$41)*B36/SUM($B$35:$B$38)</f>
        <v>0.10309278350515463</v>
      </c>
      <c r="D36" s="1235" t="s">
        <v>1020</v>
      </c>
      <c r="E36" s="1235"/>
      <c r="J36" s="1"/>
      <c r="K36" s="1"/>
      <c r="L36" s="1"/>
      <c r="M36" s="1"/>
      <c r="N36" s="1"/>
      <c r="O36" s="1"/>
      <c r="P36" s="1"/>
    </row>
    <row r="37" spans="1:16" ht="15">
      <c r="A37" s="1063" t="s">
        <v>642</v>
      </c>
      <c r="B37" s="1064">
        <v>0.065</v>
      </c>
      <c r="C37" s="1064">
        <f>SUM($B$35:$B$41)*B37/SUM($B$35:$B$38)</f>
        <v>0.06701030927835051</v>
      </c>
      <c r="D37" s="1235" t="s">
        <v>1020</v>
      </c>
      <c r="E37" s="1235"/>
      <c r="F37" s="234"/>
      <c r="J37" s="1"/>
      <c r="K37" s="1"/>
      <c r="L37" s="1"/>
      <c r="M37" s="1"/>
      <c r="N37" s="1"/>
      <c r="O37" s="1"/>
      <c r="P37" s="1"/>
    </row>
    <row r="38" spans="1:16" ht="15">
      <c r="A38" s="1063" t="s">
        <v>643</v>
      </c>
      <c r="B38" s="1064">
        <v>0.13</v>
      </c>
      <c r="C38" s="1064">
        <f>SUM($B$35:$B$41)*B38/SUM($B$35:$B$38)</f>
        <v>0.13402061855670103</v>
      </c>
      <c r="D38" s="1235" t="s">
        <v>1020</v>
      </c>
      <c r="E38" s="1235"/>
      <c r="J38" s="1"/>
      <c r="K38" s="1"/>
      <c r="L38" s="1"/>
      <c r="M38" s="1"/>
      <c r="N38" s="1"/>
      <c r="O38" s="1"/>
      <c r="P38" s="1"/>
    </row>
    <row r="39" spans="1:16" ht="15">
      <c r="A39" s="236" t="s">
        <v>644</v>
      </c>
      <c r="B39" s="1064" t="s">
        <v>195</v>
      </c>
      <c r="C39" s="1065">
        <f>90%*C38</f>
        <v>0.12061855670103093</v>
      </c>
      <c r="D39" s="1235" t="s">
        <v>988</v>
      </c>
      <c r="E39" s="1235"/>
      <c r="J39" s="1"/>
      <c r="K39" s="1"/>
      <c r="L39" s="1"/>
      <c r="M39" s="1"/>
      <c r="N39" s="1"/>
      <c r="O39" s="1"/>
      <c r="P39" s="1"/>
    </row>
    <row r="40" spans="1:16" ht="15">
      <c r="A40" s="236" t="s">
        <v>649</v>
      </c>
      <c r="B40" s="1064" t="s">
        <v>195</v>
      </c>
      <c r="C40" s="1065">
        <f>10%*C38</f>
        <v>0.013402061855670104</v>
      </c>
      <c r="D40" s="1235"/>
      <c r="E40" s="1235"/>
      <c r="J40" s="1"/>
      <c r="K40" s="1"/>
      <c r="L40" s="1"/>
      <c r="M40" s="1"/>
      <c r="N40" s="1"/>
      <c r="O40" s="1"/>
      <c r="P40" s="1"/>
    </row>
    <row r="41" spans="1:16" ht="15">
      <c r="A41" s="1063" t="s">
        <v>638</v>
      </c>
      <c r="B41" s="1064">
        <v>0.03</v>
      </c>
      <c r="C41" s="1064" t="s">
        <v>195</v>
      </c>
      <c r="D41" s="1235" t="s">
        <v>1020</v>
      </c>
      <c r="E41" s="1235"/>
      <c r="J41" s="1"/>
      <c r="K41" s="1"/>
      <c r="L41" s="1"/>
      <c r="M41" s="1"/>
      <c r="N41" s="1"/>
      <c r="O41" s="1"/>
      <c r="P41" s="1"/>
    </row>
    <row r="42" spans="2:16" ht="15">
      <c r="B42" s="566"/>
      <c r="C42" s="566"/>
      <c r="D42" s="238"/>
      <c r="J42" s="1"/>
      <c r="K42" s="1"/>
      <c r="L42" s="1"/>
      <c r="M42" s="1"/>
      <c r="N42" s="1"/>
      <c r="O42" s="1"/>
      <c r="P42" s="1"/>
    </row>
    <row r="43" spans="1:16" ht="15">
      <c r="A43" s="176"/>
      <c r="B43" s="567"/>
      <c r="C43" s="237"/>
      <c r="D43" s="238"/>
      <c r="J43" s="1"/>
      <c r="K43" s="1"/>
      <c r="L43" s="1"/>
      <c r="M43" s="1"/>
      <c r="N43" s="1"/>
      <c r="O43" s="1"/>
      <c r="P43" s="1"/>
    </row>
    <row r="44" spans="10:16" ht="15">
      <c r="J44" s="1"/>
      <c r="K44" s="1"/>
      <c r="L44" s="1"/>
      <c r="M44" s="1"/>
      <c r="N44" s="1"/>
      <c r="O44" s="1"/>
      <c r="P44" s="1"/>
    </row>
    <row r="45" spans="1:16" ht="15">
      <c r="A45" s="510" t="s">
        <v>641</v>
      </c>
      <c r="B45" s="511"/>
      <c r="C45" s="511"/>
      <c r="D45" s="512"/>
      <c r="E45" s="512"/>
      <c r="F45" s="512"/>
      <c r="G45" s="512"/>
      <c r="H45" s="512"/>
      <c r="I45" s="512"/>
      <c r="J45" s="1"/>
      <c r="K45" s="1"/>
      <c r="L45" s="1"/>
      <c r="M45" s="1"/>
      <c r="N45" s="1"/>
      <c r="O45" s="1"/>
      <c r="P45" s="1"/>
    </row>
    <row r="46" spans="1:16" ht="15">
      <c r="A46" s="1048" t="s">
        <v>377</v>
      </c>
      <c r="B46" s="1048" t="s">
        <v>646</v>
      </c>
      <c r="C46" s="1048" t="s">
        <v>645</v>
      </c>
      <c r="D46" s="1237" t="s">
        <v>81</v>
      </c>
      <c r="E46" s="1237"/>
      <c r="J46" s="1"/>
      <c r="K46" s="1"/>
      <c r="L46" s="1"/>
      <c r="M46" s="1"/>
      <c r="N46" s="1"/>
      <c r="O46" s="1"/>
      <c r="P46" s="1"/>
    </row>
    <row r="47" spans="1:16" ht="15">
      <c r="A47" s="1063" t="s">
        <v>47</v>
      </c>
      <c r="B47" s="1066">
        <f>(2+5)/2</f>
        <v>3.5</v>
      </c>
      <c r="C47" s="1067">
        <f>B47*30</f>
        <v>105</v>
      </c>
      <c r="D47" s="1236" t="s">
        <v>648</v>
      </c>
      <c r="E47" s="1236"/>
      <c r="G47" s="508" t="s">
        <v>989</v>
      </c>
      <c r="J47" s="1"/>
      <c r="K47" s="1"/>
      <c r="L47" s="1"/>
      <c r="M47" s="1"/>
      <c r="N47" s="1"/>
      <c r="O47" s="1"/>
      <c r="P47" s="1"/>
    </row>
    <row r="48" spans="1:16" ht="15">
      <c r="A48" s="1063" t="s">
        <v>636</v>
      </c>
      <c r="B48" s="1066"/>
      <c r="C48" s="1067">
        <v>42</v>
      </c>
      <c r="D48" s="1236" t="s">
        <v>647</v>
      </c>
      <c r="E48" s="1236"/>
      <c r="J48" s="1"/>
      <c r="K48" s="1"/>
      <c r="L48" s="1"/>
      <c r="M48" s="1"/>
      <c r="N48" s="1"/>
      <c r="O48" s="1"/>
      <c r="P48" s="1"/>
    </row>
    <row r="49" spans="1:16" ht="15">
      <c r="A49" s="1063" t="s">
        <v>644</v>
      </c>
      <c r="B49" s="1067">
        <f>(4+6)/2</f>
        <v>5</v>
      </c>
      <c r="C49" s="1067">
        <f>B49*30</f>
        <v>150</v>
      </c>
      <c r="D49" s="1236" t="s">
        <v>647</v>
      </c>
      <c r="E49" s="1236"/>
      <c r="F49" s="234"/>
      <c r="J49" s="1"/>
      <c r="K49" s="1"/>
      <c r="L49" s="1"/>
      <c r="M49" s="1"/>
      <c r="N49" s="1"/>
      <c r="O49" s="1"/>
      <c r="P49" s="1"/>
    </row>
    <row r="50" spans="1:16" ht="15">
      <c r="A50" s="1063" t="s">
        <v>74</v>
      </c>
      <c r="B50" s="1067">
        <v>3</v>
      </c>
      <c r="C50" s="1067">
        <f>B50*30</f>
        <v>90</v>
      </c>
      <c r="D50" s="1236" t="s">
        <v>648</v>
      </c>
      <c r="E50" s="1236"/>
      <c r="J50" s="1"/>
      <c r="K50" s="1"/>
      <c r="L50" s="1"/>
      <c r="M50" s="1"/>
      <c r="N50" s="1"/>
      <c r="O50" s="1"/>
      <c r="P50" s="1"/>
    </row>
    <row r="51" spans="10:16" ht="15">
      <c r="J51" s="1"/>
      <c r="K51" s="1"/>
      <c r="L51" s="1"/>
      <c r="M51" s="1"/>
      <c r="N51" s="1"/>
      <c r="O51" s="1"/>
      <c r="P51" s="1"/>
    </row>
    <row r="52" spans="1:16" ht="15">
      <c r="A52" s="510" t="s">
        <v>138</v>
      </c>
      <c r="B52" s="511"/>
      <c r="C52" s="511"/>
      <c r="D52" s="512"/>
      <c r="E52" s="512"/>
      <c r="F52" s="512"/>
      <c r="G52" s="512"/>
      <c r="H52" s="512"/>
      <c r="I52" s="512"/>
      <c r="J52" s="1"/>
      <c r="K52" s="1"/>
      <c r="L52" s="1"/>
      <c r="M52" s="1"/>
      <c r="N52" s="1"/>
      <c r="O52" s="1"/>
      <c r="P52" s="1"/>
    </row>
    <row r="53" spans="1:16" ht="15">
      <c r="A53" s="1048" t="s">
        <v>139</v>
      </c>
      <c r="B53" s="1048" t="s">
        <v>140</v>
      </c>
      <c r="C53" s="1048" t="s">
        <v>141</v>
      </c>
      <c r="D53" s="1237" t="s">
        <v>81</v>
      </c>
      <c r="E53" s="1237"/>
      <c r="G53" s="508" t="s">
        <v>989</v>
      </c>
      <c r="J53" s="1"/>
      <c r="K53" s="1"/>
      <c r="L53" s="1"/>
      <c r="M53" s="1"/>
      <c r="N53" s="1"/>
      <c r="O53" s="1"/>
      <c r="P53" s="1"/>
    </row>
    <row r="54" spans="1:16" ht="15">
      <c r="A54" s="1049" t="s">
        <v>142</v>
      </c>
      <c r="B54" s="1068">
        <v>1.03</v>
      </c>
      <c r="C54" s="1049" t="s">
        <v>143</v>
      </c>
      <c r="D54" s="1262" t="s">
        <v>652</v>
      </c>
      <c r="E54" s="1262"/>
      <c r="J54" s="1"/>
      <c r="K54" s="1"/>
      <c r="L54" s="1"/>
      <c r="M54" s="1"/>
      <c r="N54" s="1"/>
      <c r="O54" s="1"/>
      <c r="P54" s="1"/>
    </row>
    <row r="55" spans="1:16" ht="15">
      <c r="A55" s="176"/>
      <c r="B55" s="237"/>
      <c r="C55" s="237"/>
      <c r="D55" s="238"/>
      <c r="J55" s="1"/>
      <c r="K55" s="1"/>
      <c r="L55" s="1"/>
      <c r="M55" s="1"/>
      <c r="N55" s="1"/>
      <c r="O55" s="1"/>
      <c r="P55" s="1"/>
    </row>
    <row r="56" spans="1:9" ht="15">
      <c r="A56" s="510" t="s">
        <v>547</v>
      </c>
      <c r="B56" s="511"/>
      <c r="C56" s="511"/>
      <c r="D56" s="512"/>
      <c r="E56" s="512"/>
      <c r="F56" s="512"/>
      <c r="G56" s="512"/>
      <c r="H56" s="512"/>
      <c r="I56" s="512"/>
    </row>
    <row r="57" spans="1:4" ht="15">
      <c r="A57" s="1227" t="s">
        <v>545</v>
      </c>
      <c r="B57" s="1227"/>
      <c r="C57" s="1051" t="s">
        <v>470</v>
      </c>
      <c r="D57" s="1051" t="s">
        <v>81</v>
      </c>
    </row>
    <row r="58" spans="1:6" ht="15">
      <c r="A58" s="1228" t="s">
        <v>546</v>
      </c>
      <c r="B58" s="1228"/>
      <c r="C58" s="255">
        <v>0.16181470177248303</v>
      </c>
      <c r="D58" s="1230" t="s">
        <v>656</v>
      </c>
      <c r="F58" s="508" t="s">
        <v>989</v>
      </c>
    </row>
    <row r="59" spans="1:4" ht="15">
      <c r="A59" s="1228" t="s">
        <v>542</v>
      </c>
      <c r="B59" s="1228"/>
      <c r="C59" s="255">
        <v>0.23444757748623207</v>
      </c>
      <c r="D59" s="1231"/>
    </row>
    <row r="60" spans="1:4" ht="15">
      <c r="A60" s="1228" t="s">
        <v>543</v>
      </c>
      <c r="B60" s="1228"/>
      <c r="C60" s="255">
        <v>0.13701144545561106</v>
      </c>
      <c r="D60" s="1231"/>
    </row>
    <row r="61" spans="1:4" ht="15">
      <c r="A61" s="1228" t="s">
        <v>681</v>
      </c>
      <c r="B61" s="1228"/>
      <c r="C61" s="255">
        <v>0.0454</v>
      </c>
      <c r="D61" s="1231"/>
    </row>
    <row r="62" spans="1:4" ht="15">
      <c r="A62" s="1228" t="s">
        <v>682</v>
      </c>
      <c r="B62" s="1228"/>
      <c r="C62" s="255">
        <v>0.1197</v>
      </c>
      <c r="D62" s="1231"/>
    </row>
    <row r="63" spans="1:4" ht="15">
      <c r="A63" s="1228" t="s">
        <v>544</v>
      </c>
      <c r="B63" s="1228"/>
      <c r="C63" s="255">
        <v>0.0777660184813444</v>
      </c>
      <c r="D63" s="1231"/>
    </row>
    <row r="64" spans="1:4" ht="15">
      <c r="A64" s="1228" t="s">
        <v>1055</v>
      </c>
      <c r="B64" s="1228"/>
      <c r="C64" s="255">
        <v>0.22389818340565376</v>
      </c>
      <c r="D64" s="1232"/>
    </row>
    <row r="66" spans="1:9" ht="15">
      <c r="A66" s="1059" t="s">
        <v>549</v>
      </c>
      <c r="B66" s="1059"/>
      <c r="C66" s="1059"/>
      <c r="D66" s="1059"/>
      <c r="E66" s="512"/>
      <c r="F66" s="512"/>
      <c r="G66" s="512"/>
      <c r="H66" s="512"/>
      <c r="I66" s="512"/>
    </row>
    <row r="67" spans="1:4" ht="25.5">
      <c r="A67" s="1238" t="s">
        <v>545</v>
      </c>
      <c r="B67" s="1238"/>
      <c r="C67" s="1054" t="s">
        <v>548</v>
      </c>
      <c r="D67" s="1054" t="s">
        <v>81</v>
      </c>
    </row>
    <row r="68" spans="1:6" ht="51">
      <c r="A68" s="1228" t="s">
        <v>546</v>
      </c>
      <c r="B68" s="1228"/>
      <c r="C68" s="257">
        <v>520</v>
      </c>
      <c r="D68" s="1050" t="s">
        <v>1628</v>
      </c>
      <c r="E68" s="700"/>
      <c r="F68" s="508" t="s">
        <v>989</v>
      </c>
    </row>
    <row r="69" spans="1:4" ht="25.5">
      <c r="A69" s="1228" t="s">
        <v>542</v>
      </c>
      <c r="B69" s="1228"/>
      <c r="C69" s="257">
        <v>431.50694444444446</v>
      </c>
      <c r="D69" s="697" t="s">
        <v>1020</v>
      </c>
    </row>
    <row r="70" spans="1:4" ht="25.5">
      <c r="A70" s="1228" t="s">
        <v>543</v>
      </c>
      <c r="B70" s="1228"/>
      <c r="C70" s="257">
        <v>472.44791666666674</v>
      </c>
      <c r="D70" s="697" t="s">
        <v>1020</v>
      </c>
    </row>
    <row r="71" spans="1:5" ht="51">
      <c r="A71" s="1228" t="s">
        <v>681</v>
      </c>
      <c r="B71" s="1228"/>
      <c r="C71" s="257">
        <v>300</v>
      </c>
      <c r="D71" s="1050" t="s">
        <v>1628</v>
      </c>
      <c r="E71" s="700"/>
    </row>
    <row r="72" spans="1:5" ht="51">
      <c r="A72" s="1228" t="s">
        <v>682</v>
      </c>
      <c r="B72" s="1228"/>
      <c r="C72" s="257">
        <v>300</v>
      </c>
      <c r="D72" s="1050" t="s">
        <v>1628</v>
      </c>
      <c r="E72" s="700"/>
    </row>
    <row r="73" spans="1:5" ht="51">
      <c r="A73" s="1228" t="s">
        <v>544</v>
      </c>
      <c r="B73" s="1228"/>
      <c r="C73" s="257">
        <v>300</v>
      </c>
      <c r="D73" s="1050" t="s">
        <v>1628</v>
      </c>
      <c r="E73" s="700"/>
    </row>
    <row r="74" spans="1:5" ht="51">
      <c r="A74" s="1228" t="s">
        <v>1053</v>
      </c>
      <c r="B74" s="1228"/>
      <c r="C74" s="257">
        <v>80</v>
      </c>
      <c r="D74" s="1050" t="s">
        <v>1628</v>
      </c>
      <c r="E74" s="700"/>
    </row>
    <row r="76" spans="1:9" ht="15">
      <c r="A76" s="1059" t="s">
        <v>550</v>
      </c>
      <c r="B76" s="1059"/>
      <c r="C76" s="1059"/>
      <c r="D76" s="1059"/>
      <c r="E76" s="512"/>
      <c r="F76" s="512"/>
      <c r="G76" s="512"/>
      <c r="H76" s="512"/>
      <c r="I76" s="512"/>
    </row>
    <row r="77" spans="1:4" ht="25.5">
      <c r="A77" s="1238" t="s">
        <v>545</v>
      </c>
      <c r="B77" s="1238"/>
      <c r="C77" s="1054" t="s">
        <v>561</v>
      </c>
      <c r="D77" s="1054" t="s">
        <v>81</v>
      </c>
    </row>
    <row r="78" spans="1:6" ht="15">
      <c r="A78" s="1228" t="s">
        <v>546</v>
      </c>
      <c r="B78" s="1228"/>
      <c r="C78" s="257" t="s">
        <v>195</v>
      </c>
      <c r="D78" s="1230" t="s">
        <v>1020</v>
      </c>
      <c r="F78" s="508" t="s">
        <v>989</v>
      </c>
    </row>
    <row r="79" spans="1:4" ht="15">
      <c r="A79" s="1228" t="s">
        <v>542</v>
      </c>
      <c r="B79" s="1228"/>
      <c r="C79" s="257" t="s">
        <v>195</v>
      </c>
      <c r="D79" s="1231"/>
    </row>
    <row r="80" spans="1:4" ht="15">
      <c r="A80" s="1228" t="s">
        <v>543</v>
      </c>
      <c r="B80" s="1228"/>
      <c r="C80" s="257" t="s">
        <v>195</v>
      </c>
      <c r="D80" s="1231"/>
    </row>
    <row r="81" spans="1:7" ht="15">
      <c r="A81" s="1228" t="s">
        <v>681</v>
      </c>
      <c r="B81" s="1228"/>
      <c r="C81" s="257">
        <v>0.4</v>
      </c>
      <c r="D81" s="1231"/>
      <c r="G81" s="547"/>
    </row>
    <row r="82" spans="1:4" ht="15">
      <c r="A82" s="1228" t="s">
        <v>682</v>
      </c>
      <c r="B82" s="1228"/>
      <c r="C82" s="257">
        <v>0.4</v>
      </c>
      <c r="D82" s="1231"/>
    </row>
    <row r="83" spans="1:4" ht="15">
      <c r="A83" s="1228" t="s">
        <v>544</v>
      </c>
      <c r="B83" s="1228"/>
      <c r="C83" s="257">
        <v>0.4</v>
      </c>
      <c r="D83" s="1231"/>
    </row>
    <row r="84" spans="1:4" ht="15">
      <c r="A84" s="1228" t="s">
        <v>1055</v>
      </c>
      <c r="B84" s="1228"/>
      <c r="C84" s="257">
        <v>0.5</v>
      </c>
      <c r="D84" s="1232"/>
    </row>
    <row r="86" spans="1:9" ht="15">
      <c r="A86" s="1059" t="s">
        <v>1244</v>
      </c>
      <c r="B86" s="1059"/>
      <c r="C86" s="1059"/>
      <c r="D86" s="512"/>
      <c r="E86" s="512"/>
      <c r="F86" s="512"/>
      <c r="G86" s="512"/>
      <c r="H86" s="512"/>
      <c r="I86" s="512"/>
    </row>
    <row r="87" spans="1:5" ht="15">
      <c r="A87" s="1048" t="s">
        <v>366</v>
      </c>
      <c r="B87" s="1048" t="s">
        <v>990</v>
      </c>
      <c r="C87" s="1048" t="s">
        <v>81</v>
      </c>
      <c r="E87" s="508" t="s">
        <v>989</v>
      </c>
    </row>
    <row r="88" spans="1:4" ht="15" customHeight="1">
      <c r="A88" s="1063" t="s">
        <v>977</v>
      </c>
      <c r="B88" s="245">
        <v>0.85</v>
      </c>
      <c r="C88" s="1280" t="s">
        <v>1627</v>
      </c>
      <c r="D88" s="549"/>
    </row>
    <row r="89" spans="1:4" ht="15">
      <c r="A89" s="1063" t="s">
        <v>978</v>
      </c>
      <c r="B89" s="245">
        <v>1</v>
      </c>
      <c r="C89" s="1281"/>
      <c r="D89" s="549"/>
    </row>
    <row r="90" spans="1:3" ht="15">
      <c r="A90" s="176"/>
      <c r="B90" s="258"/>
      <c r="C90" s="248"/>
    </row>
    <row r="91" spans="1:9" ht="15">
      <c r="A91" s="1059" t="s">
        <v>1226</v>
      </c>
      <c r="B91" s="1059"/>
      <c r="C91" s="1059"/>
      <c r="D91" s="1059"/>
      <c r="E91" s="512"/>
      <c r="F91" s="512"/>
      <c r="G91" s="512"/>
      <c r="H91" s="512"/>
      <c r="I91" s="512"/>
    </row>
    <row r="92" spans="1:4" ht="15">
      <c r="A92" s="1233" t="s">
        <v>545</v>
      </c>
      <c r="B92" s="1234"/>
      <c r="C92" s="1051" t="s">
        <v>470</v>
      </c>
      <c r="D92" s="1051" t="s">
        <v>81</v>
      </c>
    </row>
    <row r="93" spans="1:6" ht="25.5">
      <c r="A93" s="1228" t="s">
        <v>546</v>
      </c>
      <c r="B93" s="1228"/>
      <c r="C93" s="257">
        <v>65.23273125</v>
      </c>
      <c r="D93" s="1050" t="s">
        <v>1020</v>
      </c>
      <c r="F93" s="508" t="s">
        <v>989</v>
      </c>
    </row>
    <row r="94" spans="1:4" ht="51">
      <c r="A94" s="1228" t="s">
        <v>542</v>
      </c>
      <c r="B94" s="1228"/>
      <c r="C94" s="1062">
        <v>59.8</v>
      </c>
      <c r="D94" s="1050" t="s">
        <v>1628</v>
      </c>
    </row>
    <row r="95" spans="1:4" ht="51">
      <c r="A95" s="1228" t="s">
        <v>543</v>
      </c>
      <c r="B95" s="1228"/>
      <c r="C95" s="1050">
        <v>53.72</v>
      </c>
      <c r="D95" s="1050" t="s">
        <v>1629</v>
      </c>
    </row>
    <row r="96" spans="1:4" ht="51">
      <c r="A96" s="1228" t="s">
        <v>681</v>
      </c>
      <c r="B96" s="1228"/>
      <c r="C96" s="1062">
        <v>56</v>
      </c>
      <c r="D96" s="1050" t="s">
        <v>1630</v>
      </c>
    </row>
    <row r="97" spans="1:4" ht="51">
      <c r="A97" s="1228" t="s">
        <v>682</v>
      </c>
      <c r="B97" s="1228"/>
      <c r="C97" s="1050">
        <v>53.72</v>
      </c>
      <c r="D97" s="1050" t="s">
        <v>1631</v>
      </c>
    </row>
    <row r="98" spans="1:4" ht="51">
      <c r="A98" s="1228" t="s">
        <v>544</v>
      </c>
      <c r="B98" s="1228"/>
      <c r="C98" s="1050">
        <v>53.72</v>
      </c>
      <c r="D98" s="1050" t="s">
        <v>1632</v>
      </c>
    </row>
    <row r="99" spans="1:4" ht="51">
      <c r="A99" s="1228" t="s">
        <v>1055</v>
      </c>
      <c r="B99" s="1228"/>
      <c r="C99" s="1050">
        <v>63.25</v>
      </c>
      <c r="D99" s="1050" t="s">
        <v>1633</v>
      </c>
    </row>
    <row r="101" spans="1:9" ht="15">
      <c r="A101" s="510" t="s">
        <v>559</v>
      </c>
      <c r="B101" s="511"/>
      <c r="C101" s="511"/>
      <c r="D101" s="512"/>
      <c r="E101" s="512"/>
      <c r="F101" s="512"/>
      <c r="G101" s="512"/>
      <c r="H101" s="512"/>
      <c r="I101" s="512"/>
    </row>
    <row r="102" spans="1:6" ht="15">
      <c r="A102" s="1051" t="s">
        <v>545</v>
      </c>
      <c r="B102" s="1051" t="s">
        <v>470</v>
      </c>
      <c r="C102" s="1227" t="s">
        <v>81</v>
      </c>
      <c r="D102" s="1227"/>
      <c r="F102" s="508" t="s">
        <v>989</v>
      </c>
    </row>
    <row r="103" spans="1:4" ht="26.25">
      <c r="A103" s="1052" t="s">
        <v>546</v>
      </c>
      <c r="B103" s="698">
        <v>3.34</v>
      </c>
      <c r="C103" s="1228" t="s">
        <v>650</v>
      </c>
      <c r="D103" s="1228"/>
    </row>
    <row r="104" spans="1:4" ht="15">
      <c r="A104" s="1055" t="s">
        <v>551</v>
      </c>
      <c r="B104" s="257">
        <v>4.08125</v>
      </c>
      <c r="C104" s="1229" t="s">
        <v>1020</v>
      </c>
      <c r="D104" s="1229"/>
    </row>
    <row r="106" spans="1:9" ht="15">
      <c r="A106" s="510" t="s">
        <v>560</v>
      </c>
      <c r="B106" s="511"/>
      <c r="C106" s="511"/>
      <c r="D106" s="512"/>
      <c r="E106" s="512"/>
      <c r="F106" s="512"/>
      <c r="G106" s="512"/>
      <c r="H106" s="512"/>
      <c r="I106" s="512"/>
    </row>
    <row r="107" spans="1:4" ht="15">
      <c r="A107" s="1051" t="s">
        <v>545</v>
      </c>
      <c r="B107" s="1051" t="s">
        <v>111</v>
      </c>
      <c r="C107" s="1227" t="s">
        <v>81</v>
      </c>
      <c r="D107" s="1227"/>
    </row>
    <row r="108" spans="1:6" ht="25.5">
      <c r="A108" s="574" t="s">
        <v>546</v>
      </c>
      <c r="B108" s="698">
        <v>5.98</v>
      </c>
      <c r="C108" s="1226" t="s">
        <v>145</v>
      </c>
      <c r="D108" s="1226"/>
      <c r="F108" s="508" t="s">
        <v>989</v>
      </c>
    </row>
    <row r="109" spans="1:4" ht="15">
      <c r="A109" s="575" t="s">
        <v>551</v>
      </c>
      <c r="B109" s="240">
        <v>2.35</v>
      </c>
      <c r="C109" s="1226" t="s">
        <v>1020</v>
      </c>
      <c r="D109" s="1226"/>
    </row>
    <row r="111" spans="1:9" ht="15">
      <c r="A111" s="510" t="s">
        <v>562</v>
      </c>
      <c r="B111" s="511"/>
      <c r="C111" s="511"/>
      <c r="D111" s="512"/>
      <c r="E111" s="512"/>
      <c r="F111" s="512"/>
      <c r="G111" s="512"/>
      <c r="H111" s="512"/>
      <c r="I111" s="512"/>
    </row>
    <row r="112" spans="1:5" ht="15">
      <c r="A112" s="1051" t="s">
        <v>545</v>
      </c>
      <c r="B112" s="1051" t="s">
        <v>470</v>
      </c>
      <c r="C112" s="1051" t="s">
        <v>81</v>
      </c>
      <c r="E112" s="508" t="s">
        <v>989</v>
      </c>
    </row>
    <row r="113" spans="1:4" ht="26.25">
      <c r="A113" s="1052" t="s">
        <v>546</v>
      </c>
      <c r="B113" s="1099">
        <v>0.5888</v>
      </c>
      <c r="C113" s="1269" t="s">
        <v>1629</v>
      </c>
      <c r="D113" s="700"/>
    </row>
    <row r="114" spans="1:4" ht="15">
      <c r="A114" s="1055" t="s">
        <v>551</v>
      </c>
      <c r="B114" s="1099">
        <v>0.551</v>
      </c>
      <c r="C114" s="1269"/>
      <c r="D114" s="700"/>
    </row>
    <row r="116" spans="1:9" ht="15">
      <c r="A116" s="510" t="s">
        <v>563</v>
      </c>
      <c r="B116" s="511"/>
      <c r="C116" s="511"/>
      <c r="D116" s="512"/>
      <c r="E116" s="512"/>
      <c r="F116" s="512"/>
      <c r="G116" s="512"/>
      <c r="H116" s="512"/>
      <c r="I116" s="512"/>
    </row>
    <row r="117" spans="1:5" ht="15">
      <c r="A117" s="1051" t="s">
        <v>545</v>
      </c>
      <c r="B117" s="1051" t="s">
        <v>470</v>
      </c>
      <c r="C117" s="1051" t="s">
        <v>81</v>
      </c>
      <c r="E117" s="508" t="s">
        <v>989</v>
      </c>
    </row>
    <row r="118" spans="1:3" ht="114.75">
      <c r="A118" s="1052" t="s">
        <v>161</v>
      </c>
      <c r="B118" s="261">
        <f>(7.7+8.4+7.4+8)/4</f>
        <v>7.875</v>
      </c>
      <c r="C118" s="1050" t="s">
        <v>558</v>
      </c>
    </row>
    <row r="119" spans="1:5" ht="25.5">
      <c r="A119" s="1052" t="s">
        <v>564</v>
      </c>
      <c r="B119" s="261">
        <v>7</v>
      </c>
      <c r="C119" s="1050" t="s">
        <v>659</v>
      </c>
      <c r="E119" s="151"/>
    </row>
    <row r="121" spans="1:9" ht="15">
      <c r="A121" s="510" t="s">
        <v>566</v>
      </c>
      <c r="B121" s="511"/>
      <c r="C121" s="511"/>
      <c r="D121" s="512"/>
      <c r="E121" s="512"/>
      <c r="F121" s="512"/>
      <c r="G121" s="512"/>
      <c r="H121" s="512"/>
      <c r="I121" s="512"/>
    </row>
    <row r="122" spans="1:3" ht="15">
      <c r="A122" s="1266" t="s">
        <v>657</v>
      </c>
      <c r="B122" s="1267"/>
      <c r="C122" s="1268"/>
    </row>
    <row r="123" spans="1:3" ht="15">
      <c r="A123" s="262"/>
      <c r="B123" s="263" t="s">
        <v>553</v>
      </c>
      <c r="C123" s="264" t="s">
        <v>81</v>
      </c>
    </row>
    <row r="124" spans="1:5" ht="39">
      <c r="A124" s="265" t="s">
        <v>796</v>
      </c>
      <c r="B124" s="266">
        <v>0.322</v>
      </c>
      <c r="C124" s="265" t="s">
        <v>554</v>
      </c>
      <c r="E124" s="508" t="s">
        <v>989</v>
      </c>
    </row>
    <row r="125" spans="1:3" ht="39">
      <c r="A125" s="265" t="s">
        <v>797</v>
      </c>
      <c r="B125" s="266">
        <v>0.386</v>
      </c>
      <c r="C125" s="265" t="s">
        <v>554</v>
      </c>
    </row>
    <row r="126" spans="1:3" ht="26.25">
      <c r="A126" s="267" t="s">
        <v>665</v>
      </c>
      <c r="B126" s="266">
        <v>0.37</v>
      </c>
      <c r="C126" s="265" t="s">
        <v>554</v>
      </c>
    </row>
    <row r="127" spans="1:3" ht="26.25">
      <c r="A127" s="265" t="s">
        <v>798</v>
      </c>
      <c r="B127" s="266">
        <v>0.36</v>
      </c>
      <c r="C127" s="265" t="s">
        <v>555</v>
      </c>
    </row>
    <row r="128" spans="1:3" ht="26.25">
      <c r="A128" s="265" t="s">
        <v>799</v>
      </c>
      <c r="B128" s="266">
        <v>0.17</v>
      </c>
      <c r="C128" s="265" t="s">
        <v>555</v>
      </c>
    </row>
    <row r="129" spans="1:3" ht="26.25">
      <c r="A129" s="265" t="s">
        <v>800</v>
      </c>
      <c r="B129" s="266">
        <v>0</v>
      </c>
      <c r="C129" s="265" t="s">
        <v>555</v>
      </c>
    </row>
    <row r="130" spans="1:3" ht="15">
      <c r="A130" s="265" t="s">
        <v>801</v>
      </c>
      <c r="B130" s="266">
        <v>1.2</v>
      </c>
      <c r="C130" s="265" t="s">
        <v>556</v>
      </c>
    </row>
    <row r="131" spans="1:3" ht="26.25">
      <c r="A131" s="265" t="s">
        <v>802</v>
      </c>
      <c r="B131" s="266">
        <v>1</v>
      </c>
      <c r="C131" s="265" t="s">
        <v>556</v>
      </c>
    </row>
    <row r="132" spans="1:3" ht="15">
      <c r="A132" s="265" t="s">
        <v>803</v>
      </c>
      <c r="B132" s="266">
        <v>0.8</v>
      </c>
      <c r="C132" s="265" t="s">
        <v>556</v>
      </c>
    </row>
    <row r="133" spans="1:3" ht="15">
      <c r="A133" s="265" t="s">
        <v>804</v>
      </c>
      <c r="B133" s="266">
        <v>0.1</v>
      </c>
      <c r="C133" s="265" t="s">
        <v>557</v>
      </c>
    </row>
    <row r="134" spans="10:16" ht="15">
      <c r="J134" s="1"/>
      <c r="K134" s="1"/>
      <c r="L134" s="1"/>
      <c r="M134" s="1"/>
      <c r="N134" s="1"/>
      <c r="O134" s="1"/>
      <c r="P134" s="1"/>
    </row>
    <row r="135" spans="1:16" ht="15">
      <c r="A135" s="510" t="s">
        <v>991</v>
      </c>
      <c r="B135" s="511"/>
      <c r="C135" s="511"/>
      <c r="D135" s="512"/>
      <c r="E135" s="512"/>
      <c r="F135" s="512"/>
      <c r="G135" s="512"/>
      <c r="H135" s="512"/>
      <c r="I135" s="512"/>
      <c r="J135" s="1"/>
      <c r="K135" s="1"/>
      <c r="L135" s="1"/>
      <c r="M135" s="1"/>
      <c r="N135" s="1"/>
      <c r="O135" s="1"/>
      <c r="P135" s="1"/>
    </row>
    <row r="136" spans="1:16" ht="15">
      <c r="A136" s="1048" t="s">
        <v>159</v>
      </c>
      <c r="B136" s="1048" t="s">
        <v>10</v>
      </c>
      <c r="C136" s="1048" t="s">
        <v>141</v>
      </c>
      <c r="D136" s="1225" t="s">
        <v>81</v>
      </c>
      <c r="E136" s="1225"/>
      <c r="J136" s="1"/>
      <c r="K136" s="1"/>
      <c r="L136" s="1"/>
      <c r="M136" s="1"/>
      <c r="N136" s="1"/>
      <c r="O136" s="1"/>
      <c r="P136" s="1"/>
    </row>
    <row r="137" spans="1:16" ht="15">
      <c r="A137" s="1063" t="s">
        <v>161</v>
      </c>
      <c r="B137" s="1069">
        <f>C68</f>
        <v>520</v>
      </c>
      <c r="C137" s="1049" t="s">
        <v>119</v>
      </c>
      <c r="D137" s="1220" t="s">
        <v>1020</v>
      </c>
      <c r="E137" s="1220"/>
      <c r="G137" s="508" t="s">
        <v>989</v>
      </c>
      <c r="J137" s="1"/>
      <c r="K137" s="1"/>
      <c r="L137" s="1"/>
      <c r="M137" s="1"/>
      <c r="N137" s="1"/>
      <c r="O137" s="1"/>
      <c r="P137" s="1"/>
    </row>
    <row r="138" spans="1:16" ht="15">
      <c r="A138" s="1063" t="s">
        <v>564</v>
      </c>
      <c r="B138" s="1069">
        <f>C69*(C59/(SUM(C59:C64)))+C70*(C60/(SUM(C59:C64)))+C71*(C61/(SUM(C59:C64)))+C72*(C62/(SUM(C59:C64)))+C73*(C63/(SUM(C59:C64)))+C74*(C64/(SUM(C59:C64)))</f>
        <v>306.2050565680085</v>
      </c>
      <c r="C138" s="1049" t="s">
        <v>119</v>
      </c>
      <c r="D138" s="1220" t="s">
        <v>1020</v>
      </c>
      <c r="E138" s="1220"/>
      <c r="J138" s="1"/>
      <c r="K138" s="1"/>
      <c r="L138" s="1"/>
      <c r="M138" s="1"/>
      <c r="N138" s="1"/>
      <c r="O138" s="1"/>
      <c r="P138" s="1"/>
    </row>
    <row r="139" spans="1:16" ht="15">
      <c r="A139" s="1063" t="s">
        <v>46</v>
      </c>
      <c r="B139" s="1055">
        <v>25.61</v>
      </c>
      <c r="C139" s="1055" t="s">
        <v>119</v>
      </c>
      <c r="D139" s="1220" t="s">
        <v>177</v>
      </c>
      <c r="E139" s="1220"/>
      <c r="F139" s="234"/>
      <c r="J139" s="1"/>
      <c r="K139" s="1"/>
      <c r="L139" s="1"/>
      <c r="M139" s="1"/>
      <c r="N139" s="1"/>
      <c r="O139" s="1"/>
      <c r="P139" s="1"/>
    </row>
    <row r="140" spans="1:16" ht="15">
      <c r="A140" s="1063" t="s">
        <v>45</v>
      </c>
      <c r="B140" s="1055">
        <v>30</v>
      </c>
      <c r="C140" s="1049" t="s">
        <v>119</v>
      </c>
      <c r="D140" s="1220" t="s">
        <v>176</v>
      </c>
      <c r="E140" s="1220"/>
      <c r="J140" s="1"/>
      <c r="K140" s="1"/>
      <c r="L140" s="1"/>
      <c r="M140" s="1"/>
      <c r="N140" s="1"/>
      <c r="O140" s="1"/>
      <c r="P140" s="1"/>
    </row>
    <row r="141" spans="1:16" ht="15">
      <c r="A141" s="1063" t="s">
        <v>72</v>
      </c>
      <c r="B141" s="1055">
        <v>238</v>
      </c>
      <c r="C141" s="1049" t="s">
        <v>119</v>
      </c>
      <c r="D141" s="1220" t="s">
        <v>176</v>
      </c>
      <c r="E141" s="1220"/>
      <c r="J141" s="1"/>
      <c r="K141" s="1"/>
      <c r="L141" s="1"/>
      <c r="M141" s="1"/>
      <c r="N141" s="1"/>
      <c r="O141" s="1"/>
      <c r="P141" s="1"/>
    </row>
    <row r="142" spans="1:16" ht="15">
      <c r="A142" s="1063" t="s">
        <v>150</v>
      </c>
      <c r="B142" s="1055">
        <v>130</v>
      </c>
      <c r="C142" s="1049" t="s">
        <v>119</v>
      </c>
      <c r="D142" s="1220" t="s">
        <v>176</v>
      </c>
      <c r="E142" s="1220"/>
      <c r="J142" s="1"/>
      <c r="K142" s="1"/>
      <c r="L142" s="1"/>
      <c r="M142" s="1"/>
      <c r="N142" s="1"/>
      <c r="O142" s="1"/>
      <c r="P142" s="1"/>
    </row>
    <row r="143" spans="1:16" ht="15">
      <c r="A143" s="1063" t="s">
        <v>47</v>
      </c>
      <c r="B143" s="1055">
        <v>28</v>
      </c>
      <c r="C143" s="1049" t="s">
        <v>119</v>
      </c>
      <c r="D143" s="1220" t="s">
        <v>175</v>
      </c>
      <c r="E143" s="1220"/>
      <c r="J143" s="1"/>
      <c r="K143" s="1"/>
      <c r="L143" s="1"/>
      <c r="M143" s="1"/>
      <c r="N143" s="1"/>
      <c r="O143" s="1"/>
      <c r="P143" s="1"/>
    </row>
    <row r="144" spans="1:16" ht="15">
      <c r="A144" s="1063" t="s">
        <v>43</v>
      </c>
      <c r="B144" s="1055">
        <v>52</v>
      </c>
      <c r="C144" s="1055" t="s">
        <v>119</v>
      </c>
      <c r="D144" s="1220" t="s">
        <v>177</v>
      </c>
      <c r="E144" s="1220"/>
      <c r="J144" s="1"/>
      <c r="K144" s="1"/>
      <c r="L144" s="1"/>
      <c r="M144" s="1"/>
      <c r="N144" s="1"/>
      <c r="O144" s="1"/>
      <c r="P144" s="1"/>
    </row>
    <row r="145" spans="1:16" ht="15">
      <c r="A145" s="1063" t="s">
        <v>44</v>
      </c>
      <c r="B145" s="1055">
        <v>100.1</v>
      </c>
      <c r="C145" s="1055" t="s">
        <v>119</v>
      </c>
      <c r="D145" s="1220" t="s">
        <v>177</v>
      </c>
      <c r="E145" s="1220"/>
      <c r="J145" s="1"/>
      <c r="K145" s="1"/>
      <c r="L145" s="1"/>
      <c r="M145" s="1"/>
      <c r="N145" s="1"/>
      <c r="O145" s="1"/>
      <c r="P145" s="1"/>
    </row>
    <row r="146" spans="1:16" ht="15">
      <c r="A146" s="1063" t="s">
        <v>42</v>
      </c>
      <c r="B146" s="1069">
        <f>2.85*C35+2.95*C36+3.35*C37+10.5*C38</f>
        <v>3.919072164948454</v>
      </c>
      <c r="C146" s="1049" t="s">
        <v>119</v>
      </c>
      <c r="D146" s="1220" t="s">
        <v>1017</v>
      </c>
      <c r="E146" s="1220"/>
      <c r="J146" s="1"/>
      <c r="K146" s="1"/>
      <c r="L146" s="1"/>
      <c r="M146" s="1"/>
      <c r="N146" s="1"/>
      <c r="O146" s="1"/>
      <c r="P146" s="1"/>
    </row>
    <row r="147" spans="1:16" ht="15">
      <c r="A147" s="1063" t="s">
        <v>74</v>
      </c>
      <c r="B147" s="1055">
        <v>0.6911</v>
      </c>
      <c r="C147" s="1055" t="s">
        <v>119</v>
      </c>
      <c r="D147" s="1220" t="s">
        <v>178</v>
      </c>
      <c r="E147" s="1220"/>
      <c r="J147" s="1"/>
      <c r="K147" s="1"/>
      <c r="L147" s="1"/>
      <c r="M147" s="1"/>
      <c r="N147" s="1"/>
      <c r="O147" s="1"/>
      <c r="P147" s="1"/>
    </row>
    <row r="148" spans="1:16" ht="15" hidden="1">
      <c r="A148" s="1070" t="s">
        <v>173</v>
      </c>
      <c r="B148" s="1071">
        <v>1.6</v>
      </c>
      <c r="C148" s="1072" t="s">
        <v>119</v>
      </c>
      <c r="D148" s="1224" t="s">
        <v>176</v>
      </c>
      <c r="E148" s="1224"/>
      <c r="J148" s="1"/>
      <c r="K148" s="1"/>
      <c r="L148" s="1"/>
      <c r="M148" s="1"/>
      <c r="N148" s="1"/>
      <c r="O148" s="1"/>
      <c r="P148" s="1"/>
    </row>
    <row r="150" spans="1:16" ht="15">
      <c r="A150" s="510" t="s">
        <v>206</v>
      </c>
      <c r="B150" s="511"/>
      <c r="C150" s="511"/>
      <c r="D150" s="512"/>
      <c r="E150" s="512"/>
      <c r="F150" s="512"/>
      <c r="G150" s="512"/>
      <c r="H150" s="512"/>
      <c r="I150" s="512"/>
      <c r="J150" s="1"/>
      <c r="K150" s="1"/>
      <c r="L150" s="1"/>
      <c r="M150" s="1"/>
      <c r="N150" s="1"/>
      <c r="O150" s="1"/>
      <c r="P150" s="1"/>
    </row>
    <row r="151" spans="1:16" ht="15">
      <c r="A151" s="1048" t="s">
        <v>169</v>
      </c>
      <c r="B151" s="1048" t="s">
        <v>196</v>
      </c>
      <c r="C151" s="1048" t="s">
        <v>180</v>
      </c>
      <c r="D151" s="1048" t="s">
        <v>281</v>
      </c>
      <c r="E151" s="1225" t="s">
        <v>654</v>
      </c>
      <c r="F151" s="1225"/>
      <c r="J151" s="1"/>
      <c r="K151" s="1"/>
      <c r="L151" s="1"/>
      <c r="M151" s="1"/>
      <c r="N151" s="1"/>
      <c r="O151" s="1"/>
      <c r="P151" s="1"/>
    </row>
    <row r="152" spans="1:16" ht="38.25">
      <c r="A152" s="1063" t="s">
        <v>161</v>
      </c>
      <c r="B152" s="525">
        <v>0.48</v>
      </c>
      <c r="C152" s="1073" t="s">
        <v>197</v>
      </c>
      <c r="D152" s="525">
        <f aca="true" t="shared" si="0" ref="D152:D158">B152*B137*365/1000</f>
        <v>91.104</v>
      </c>
      <c r="E152" s="1222"/>
      <c r="F152" s="1222"/>
      <c r="H152" s="508" t="s">
        <v>989</v>
      </c>
      <c r="J152" s="1"/>
      <c r="K152" s="1"/>
      <c r="L152" s="1"/>
      <c r="M152" s="1"/>
      <c r="N152" s="1"/>
      <c r="O152" s="1"/>
      <c r="P152" s="1"/>
    </row>
    <row r="153" spans="1:16" ht="38.25">
      <c r="A153" s="1063" t="s">
        <v>564</v>
      </c>
      <c r="B153" s="525">
        <v>0.36</v>
      </c>
      <c r="C153" s="1073" t="s">
        <v>199</v>
      </c>
      <c r="D153" s="525">
        <f t="shared" si="0"/>
        <v>40.23534443303631</v>
      </c>
      <c r="E153" s="1222"/>
      <c r="F153" s="1222"/>
      <c r="J153" s="1"/>
      <c r="K153" s="1"/>
      <c r="L153" s="1"/>
      <c r="M153" s="1"/>
      <c r="N153" s="1"/>
      <c r="O153" s="1"/>
      <c r="P153" s="1"/>
    </row>
    <row r="154" spans="1:16" ht="38.25">
      <c r="A154" s="1063" t="s">
        <v>46</v>
      </c>
      <c r="B154" s="525">
        <v>1.17</v>
      </c>
      <c r="C154" s="1073" t="s">
        <v>200</v>
      </c>
      <c r="D154" s="525">
        <f t="shared" si="0"/>
        <v>10.936750499999999</v>
      </c>
      <c r="E154" s="1222"/>
      <c r="F154" s="1222"/>
      <c r="J154" s="1"/>
      <c r="K154" s="1"/>
      <c r="L154" s="1"/>
      <c r="M154" s="1"/>
      <c r="N154" s="1"/>
      <c r="O154" s="1"/>
      <c r="P154" s="1"/>
    </row>
    <row r="155" spans="1:16" ht="38.25">
      <c r="A155" s="1063" t="s">
        <v>45</v>
      </c>
      <c r="B155" s="525">
        <v>1.37</v>
      </c>
      <c r="C155" s="1073" t="s">
        <v>201</v>
      </c>
      <c r="D155" s="525">
        <f t="shared" si="0"/>
        <v>15.0015</v>
      </c>
      <c r="E155" s="1222"/>
      <c r="F155" s="1222"/>
      <c r="J155" s="1"/>
      <c r="K155" s="1"/>
      <c r="L155" s="1"/>
      <c r="M155" s="1"/>
      <c r="N155" s="1"/>
      <c r="O155" s="1"/>
      <c r="P155" s="1"/>
    </row>
    <row r="156" spans="1:16" ht="38.25">
      <c r="A156" s="1063" t="s">
        <v>72</v>
      </c>
      <c r="B156" s="525">
        <v>0.46</v>
      </c>
      <c r="C156" s="1073" t="s">
        <v>202</v>
      </c>
      <c r="D156" s="525">
        <f t="shared" si="0"/>
        <v>39.96020000000001</v>
      </c>
      <c r="E156" s="1222"/>
      <c r="F156" s="1222"/>
      <c r="J156" s="1"/>
      <c r="K156" s="1"/>
      <c r="L156" s="1"/>
      <c r="M156" s="1"/>
      <c r="N156" s="1"/>
      <c r="O156" s="1"/>
      <c r="P156" s="1"/>
    </row>
    <row r="157" spans="1:16" ht="38.25">
      <c r="A157" s="1063" t="s">
        <v>150</v>
      </c>
      <c r="B157" s="525">
        <v>0.46</v>
      </c>
      <c r="C157" s="1073" t="s">
        <v>203</v>
      </c>
      <c r="D157" s="525">
        <f t="shared" si="0"/>
        <v>21.827</v>
      </c>
      <c r="E157" s="1222"/>
      <c r="F157" s="1222"/>
      <c r="J157" s="1"/>
      <c r="K157" s="1"/>
      <c r="L157" s="1"/>
      <c r="M157" s="1"/>
      <c r="N157" s="1"/>
      <c r="O157" s="1"/>
      <c r="P157" s="1"/>
    </row>
    <row r="158" spans="1:16" ht="38.25">
      <c r="A158" s="1063" t="s">
        <v>47</v>
      </c>
      <c r="B158" s="525">
        <v>1.64</v>
      </c>
      <c r="C158" s="1073" t="s">
        <v>204</v>
      </c>
      <c r="D158" s="525">
        <f t="shared" si="0"/>
        <v>16.7608</v>
      </c>
      <c r="E158" s="1222"/>
      <c r="F158" s="1222"/>
      <c r="J158" s="1"/>
      <c r="K158" s="1"/>
      <c r="L158" s="1"/>
      <c r="M158" s="1"/>
      <c r="N158" s="1"/>
      <c r="O158" s="1"/>
      <c r="P158" s="1"/>
    </row>
    <row r="159" spans="1:16" ht="38.25">
      <c r="A159" s="1063" t="s">
        <v>42</v>
      </c>
      <c r="B159" s="525">
        <v>0.82</v>
      </c>
      <c r="C159" s="1073" t="s">
        <v>205</v>
      </c>
      <c r="D159" s="525">
        <f>B159*B146*365/1000</f>
        <v>1.1729782989690722</v>
      </c>
      <c r="E159" s="1222"/>
      <c r="F159" s="1222"/>
      <c r="J159" s="1"/>
      <c r="K159" s="1"/>
      <c r="L159" s="1"/>
      <c r="M159" s="1"/>
      <c r="N159" s="1"/>
      <c r="O159" s="1"/>
      <c r="P159" s="1"/>
    </row>
    <row r="160" spans="1:16" ht="89.25">
      <c r="A160" s="1063" t="s">
        <v>44</v>
      </c>
      <c r="B160" s="525">
        <f>((POWER(B145,0.75))/(POWER(B139,0.75)))*B154</f>
        <v>3.2524021239493717</v>
      </c>
      <c r="C160" s="241" t="s">
        <v>198</v>
      </c>
      <c r="D160" s="525">
        <f>B160*B145*365/1000</f>
        <v>118.83139020167621</v>
      </c>
      <c r="E160" s="1223" t="s">
        <v>653</v>
      </c>
      <c r="F160" s="1223"/>
      <c r="J160" s="1"/>
      <c r="K160" s="1"/>
      <c r="L160" s="1"/>
      <c r="M160" s="1"/>
      <c r="N160" s="1"/>
      <c r="O160" s="1"/>
      <c r="P160" s="1"/>
    </row>
    <row r="161" spans="1:16" ht="89.25">
      <c r="A161" s="1063" t="s">
        <v>43</v>
      </c>
      <c r="B161" s="525">
        <f>((POWER(B144,0.75))/(POWER(B139,0.75)))*B154</f>
        <v>1.9901288046313312</v>
      </c>
      <c r="C161" s="241" t="s">
        <v>198</v>
      </c>
      <c r="D161" s="525">
        <f>B161*B144*365/1000</f>
        <v>37.772644711902664</v>
      </c>
      <c r="E161" s="1223"/>
      <c r="F161" s="1223"/>
      <c r="J161" s="1"/>
      <c r="K161" s="1"/>
      <c r="L161" s="1"/>
      <c r="M161" s="1"/>
      <c r="N161" s="1"/>
      <c r="O161" s="1"/>
      <c r="P161" s="1"/>
    </row>
    <row r="162" spans="1:16" ht="89.25">
      <c r="A162" s="1063" t="s">
        <v>74</v>
      </c>
      <c r="B162" s="525">
        <f>((POWER(B147,0.75))/(POWER(B148,0.75)))*B163</f>
        <v>4.315694573679203</v>
      </c>
      <c r="C162" s="1073" t="s">
        <v>198</v>
      </c>
      <c r="D162" s="525">
        <f>B162*B147*365/1000</f>
        <v>1.0886404297524397</v>
      </c>
      <c r="E162" s="1223"/>
      <c r="F162" s="1223"/>
      <c r="J162" s="1"/>
      <c r="K162" s="1"/>
      <c r="L162" s="1"/>
      <c r="M162" s="1"/>
      <c r="N162" s="1"/>
      <c r="O162" s="1"/>
      <c r="P162" s="1"/>
    </row>
    <row r="163" spans="1:16" ht="38.25" hidden="1">
      <c r="A163" s="1070" t="s">
        <v>173</v>
      </c>
      <c r="B163" s="1074">
        <v>8.1</v>
      </c>
      <c r="C163" s="1075" t="s">
        <v>197</v>
      </c>
      <c r="D163" s="1074">
        <f>B163*B148*365/1000</f>
        <v>4.7304</v>
      </c>
      <c r="J163" s="1"/>
      <c r="K163" s="1"/>
      <c r="L163" s="1"/>
      <c r="M163" s="1"/>
      <c r="N163" s="1"/>
      <c r="O163" s="1"/>
      <c r="P163" s="1"/>
    </row>
    <row r="164" spans="10:16" ht="15">
      <c r="J164" s="1"/>
      <c r="K164" s="1"/>
      <c r="L164" s="1"/>
      <c r="M164" s="1"/>
      <c r="N164" s="1"/>
      <c r="O164" s="1"/>
      <c r="P164" s="1"/>
    </row>
    <row r="165" spans="1:16" ht="15">
      <c r="A165" s="510" t="s">
        <v>207</v>
      </c>
      <c r="B165" s="511"/>
      <c r="C165" s="511"/>
      <c r="D165" s="512"/>
      <c r="E165" s="512"/>
      <c r="F165" s="512"/>
      <c r="G165" s="512"/>
      <c r="H165" s="512"/>
      <c r="I165" s="512"/>
      <c r="J165" s="1"/>
      <c r="K165" s="1"/>
      <c r="L165" s="1"/>
      <c r="M165" s="1"/>
      <c r="N165" s="1"/>
      <c r="O165" s="1"/>
      <c r="P165" s="1"/>
    </row>
    <row r="166" spans="1:16" ht="25.5">
      <c r="A166" s="1048" t="s">
        <v>169</v>
      </c>
      <c r="B166" s="1048" t="s">
        <v>181</v>
      </c>
      <c r="C166" s="1048" t="s">
        <v>183</v>
      </c>
      <c r="D166" s="1048" t="s">
        <v>184</v>
      </c>
      <c r="E166" s="1048" t="s">
        <v>185</v>
      </c>
      <c r="F166" s="1048" t="s">
        <v>187</v>
      </c>
      <c r="G166" s="1048" t="s">
        <v>188</v>
      </c>
      <c r="H166" s="1048" t="s">
        <v>189</v>
      </c>
      <c r="I166" s="1048" t="s">
        <v>208</v>
      </c>
      <c r="J166" s="1"/>
      <c r="K166" s="1"/>
      <c r="L166" s="1"/>
      <c r="M166" s="1"/>
      <c r="N166" s="1"/>
      <c r="O166" s="1"/>
      <c r="P166" s="1"/>
    </row>
    <row r="167" spans="1:16" ht="15">
      <c r="A167" s="246" t="s">
        <v>209</v>
      </c>
      <c r="B167" s="245">
        <v>0.79</v>
      </c>
      <c r="C167" s="245">
        <v>0</v>
      </c>
      <c r="D167" s="245">
        <v>0.21</v>
      </c>
      <c r="E167" s="245">
        <v>0</v>
      </c>
      <c r="F167" s="245">
        <v>0</v>
      </c>
      <c r="G167" s="245">
        <v>0</v>
      </c>
      <c r="H167" s="245">
        <v>0</v>
      </c>
      <c r="I167" s="245">
        <f aca="true" t="shared" si="1" ref="I167:I177">SUM(B167:H167)</f>
        <v>1</v>
      </c>
      <c r="J167" s="1"/>
      <c r="K167" s="508" t="s">
        <v>989</v>
      </c>
      <c r="L167" s="1"/>
      <c r="M167" s="1"/>
      <c r="N167" s="1"/>
      <c r="O167" s="1"/>
      <c r="P167" s="1"/>
    </row>
    <row r="168" spans="1:16" ht="15">
      <c r="A168" s="246" t="s">
        <v>565</v>
      </c>
      <c r="B168" s="245">
        <v>0.91</v>
      </c>
      <c r="C168" s="245">
        <v>0</v>
      </c>
      <c r="D168" s="245">
        <v>0.09</v>
      </c>
      <c r="E168" s="245">
        <v>0</v>
      </c>
      <c r="F168" s="245">
        <v>0</v>
      </c>
      <c r="G168" s="245">
        <v>0</v>
      </c>
      <c r="H168" s="245">
        <v>0</v>
      </c>
      <c r="I168" s="245">
        <f t="shared" si="1"/>
        <v>1</v>
      </c>
      <c r="J168" s="1"/>
      <c r="K168" s="1"/>
      <c r="L168" s="1"/>
      <c r="M168" s="1"/>
      <c r="N168" s="1"/>
      <c r="O168" s="1"/>
      <c r="P168" s="1"/>
    </row>
    <row r="169" spans="1:16" ht="15">
      <c r="A169" s="1063" t="s">
        <v>210</v>
      </c>
      <c r="B169" s="245">
        <v>1</v>
      </c>
      <c r="C169" s="245">
        <v>0</v>
      </c>
      <c r="D169" s="245">
        <v>0</v>
      </c>
      <c r="E169" s="245">
        <v>0</v>
      </c>
      <c r="F169" s="245">
        <v>0</v>
      </c>
      <c r="G169" s="245">
        <v>0</v>
      </c>
      <c r="H169" s="245">
        <v>0</v>
      </c>
      <c r="I169" s="245">
        <f t="shared" si="1"/>
        <v>1</v>
      </c>
      <c r="J169" s="1"/>
      <c r="K169" s="1"/>
      <c r="L169" s="1"/>
      <c r="M169" s="1"/>
      <c r="N169" s="1"/>
      <c r="O169" s="1"/>
      <c r="P169" s="1"/>
    </row>
    <row r="170" spans="1:16" ht="15">
      <c r="A170" s="1063" t="s">
        <v>211</v>
      </c>
      <c r="B170" s="245">
        <v>1</v>
      </c>
      <c r="C170" s="245">
        <v>0</v>
      </c>
      <c r="D170" s="245">
        <v>0</v>
      </c>
      <c r="E170" s="245">
        <v>0</v>
      </c>
      <c r="F170" s="245">
        <v>0</v>
      </c>
      <c r="G170" s="245">
        <v>0</v>
      </c>
      <c r="H170" s="245">
        <v>0</v>
      </c>
      <c r="I170" s="245">
        <f t="shared" si="1"/>
        <v>1</v>
      </c>
      <c r="J170" s="1"/>
      <c r="K170" s="1"/>
      <c r="L170" s="1"/>
      <c r="M170" s="1"/>
      <c r="N170" s="1"/>
      <c r="O170" s="1"/>
      <c r="P170" s="1"/>
    </row>
    <row r="171" spans="1:16" ht="15">
      <c r="A171" s="1063" t="s">
        <v>212</v>
      </c>
      <c r="B171" s="245">
        <v>1</v>
      </c>
      <c r="C171" s="245">
        <v>0</v>
      </c>
      <c r="D171" s="245">
        <v>0</v>
      </c>
      <c r="E171" s="245">
        <v>0</v>
      </c>
      <c r="F171" s="245">
        <v>0</v>
      </c>
      <c r="G171" s="245">
        <v>0</v>
      </c>
      <c r="H171" s="245">
        <v>0</v>
      </c>
      <c r="I171" s="245">
        <f t="shared" si="1"/>
        <v>1</v>
      </c>
      <c r="J171" s="1"/>
      <c r="K171" s="1"/>
      <c r="L171" s="1"/>
      <c r="M171" s="1"/>
      <c r="N171" s="1"/>
      <c r="O171" s="1"/>
      <c r="P171" s="1"/>
    </row>
    <row r="172" spans="1:16" ht="15">
      <c r="A172" s="1063" t="s">
        <v>213</v>
      </c>
      <c r="B172" s="245">
        <v>1</v>
      </c>
      <c r="C172" s="245">
        <v>0</v>
      </c>
      <c r="D172" s="245">
        <v>0</v>
      </c>
      <c r="E172" s="245">
        <v>0</v>
      </c>
      <c r="F172" s="245">
        <v>0</v>
      </c>
      <c r="G172" s="245">
        <v>0</v>
      </c>
      <c r="H172" s="245">
        <v>0</v>
      </c>
      <c r="I172" s="245">
        <f t="shared" si="1"/>
        <v>1</v>
      </c>
      <c r="J172" s="1"/>
      <c r="K172" s="1"/>
      <c r="L172" s="1"/>
      <c r="M172" s="1"/>
      <c r="N172" s="1"/>
      <c r="O172" s="1"/>
      <c r="P172" s="1"/>
    </row>
    <row r="173" spans="1:16" ht="15">
      <c r="A173" s="1063" t="s">
        <v>214</v>
      </c>
      <c r="B173" s="245">
        <v>0.67</v>
      </c>
      <c r="C173" s="245">
        <v>0</v>
      </c>
      <c r="D173" s="245">
        <v>0.33</v>
      </c>
      <c r="E173" s="245">
        <v>0</v>
      </c>
      <c r="F173" s="245">
        <v>0</v>
      </c>
      <c r="G173" s="245">
        <v>0</v>
      </c>
      <c r="H173" s="245">
        <v>0</v>
      </c>
      <c r="I173" s="245">
        <f t="shared" si="1"/>
        <v>1</v>
      </c>
      <c r="J173" s="1"/>
      <c r="K173" s="1"/>
      <c r="L173" s="1"/>
      <c r="M173" s="1"/>
      <c r="N173" s="1"/>
      <c r="O173" s="1"/>
      <c r="P173" s="1"/>
    </row>
    <row r="174" spans="1:16" ht="15">
      <c r="A174" s="246" t="s">
        <v>1021</v>
      </c>
      <c r="B174" s="245">
        <v>0.89</v>
      </c>
      <c r="C174" s="245">
        <v>0</v>
      </c>
      <c r="D174" s="245">
        <v>0.11</v>
      </c>
      <c r="E174" s="245">
        <v>0.24</v>
      </c>
      <c r="F174" s="245">
        <v>0</v>
      </c>
      <c r="G174" s="245">
        <v>0</v>
      </c>
      <c r="H174" s="245">
        <v>0</v>
      </c>
      <c r="I174" s="245">
        <f t="shared" si="1"/>
        <v>1.24</v>
      </c>
      <c r="J174" s="1"/>
      <c r="K174" s="1"/>
      <c r="L174" s="1"/>
      <c r="M174" s="1"/>
      <c r="N174" s="1"/>
      <c r="O174" s="1"/>
      <c r="P174" s="1"/>
    </row>
    <row r="175" spans="1:16" ht="15">
      <c r="A175" s="246" t="s">
        <v>1022</v>
      </c>
      <c r="B175" s="245">
        <v>0.89</v>
      </c>
      <c r="C175" s="245">
        <v>0</v>
      </c>
      <c r="D175" s="245">
        <v>0.11</v>
      </c>
      <c r="E175" s="245">
        <v>0.24</v>
      </c>
      <c r="F175" s="245">
        <v>0</v>
      </c>
      <c r="G175" s="245">
        <v>0</v>
      </c>
      <c r="H175" s="245">
        <v>0</v>
      </c>
      <c r="I175" s="245">
        <f t="shared" si="1"/>
        <v>1.24</v>
      </c>
      <c r="J175" s="1"/>
      <c r="K175" s="1"/>
      <c r="L175" s="1"/>
      <c r="M175" s="1"/>
      <c r="N175" s="1"/>
      <c r="O175" s="1"/>
      <c r="P175" s="1"/>
    </row>
    <row r="176" spans="1:16" ht="15">
      <c r="A176" s="246" t="s">
        <v>1023</v>
      </c>
      <c r="B176" s="245">
        <v>0</v>
      </c>
      <c r="C176" s="245">
        <v>0</v>
      </c>
      <c r="D176" s="245">
        <v>0</v>
      </c>
      <c r="E176" s="245">
        <v>0</v>
      </c>
      <c r="F176" s="245">
        <v>0</v>
      </c>
      <c r="G176" s="245">
        <v>0.9</v>
      </c>
      <c r="H176" s="245">
        <v>0.1</v>
      </c>
      <c r="I176" s="245">
        <f t="shared" si="1"/>
        <v>1</v>
      </c>
      <c r="J176" s="1"/>
      <c r="K176" s="1"/>
      <c r="L176" s="1"/>
      <c r="M176" s="1"/>
      <c r="N176" s="1"/>
      <c r="O176" s="1"/>
      <c r="P176" s="1"/>
    </row>
    <row r="177" spans="1:16" ht="15">
      <c r="A177" s="1063" t="s">
        <v>215</v>
      </c>
      <c r="B177" s="245">
        <v>0</v>
      </c>
      <c r="C177" s="245">
        <v>1</v>
      </c>
      <c r="D177" s="245">
        <v>0</v>
      </c>
      <c r="E177" s="245">
        <v>0</v>
      </c>
      <c r="F177" s="245">
        <v>0</v>
      </c>
      <c r="G177" s="245">
        <v>0</v>
      </c>
      <c r="H177" s="245">
        <v>0</v>
      </c>
      <c r="I177" s="245">
        <f t="shared" si="1"/>
        <v>1</v>
      </c>
      <c r="J177" s="1"/>
      <c r="K177" s="1"/>
      <c r="L177" s="1"/>
      <c r="M177" s="1"/>
      <c r="N177" s="1"/>
      <c r="O177" s="1"/>
      <c r="P177" s="1"/>
    </row>
    <row r="178" spans="1:16" ht="15">
      <c r="A178" s="1283" t="s">
        <v>81</v>
      </c>
      <c r="B178" s="1283"/>
      <c r="C178" s="1283"/>
      <c r="D178" s="1283"/>
      <c r="E178" s="1283"/>
      <c r="F178" s="1283"/>
      <c r="G178" s="1283"/>
      <c r="H178" s="1283"/>
      <c r="I178" s="1283"/>
      <c r="J178" s="1"/>
      <c r="K178" s="1"/>
      <c r="L178" s="1"/>
      <c r="M178" s="1"/>
      <c r="N178" s="1"/>
      <c r="O178" s="1"/>
      <c r="P178" s="1"/>
    </row>
    <row r="179" spans="1:16" ht="15">
      <c r="A179" s="1284" t="s">
        <v>1135</v>
      </c>
      <c r="B179" s="1284"/>
      <c r="C179" s="1284"/>
      <c r="D179" s="1284"/>
      <c r="E179" s="1284"/>
      <c r="F179" s="1284"/>
      <c r="G179" s="1284"/>
      <c r="H179" s="1284"/>
      <c r="I179" s="1284"/>
      <c r="J179" s="1"/>
      <c r="K179" s="1"/>
      <c r="L179" s="1"/>
      <c r="M179" s="1"/>
      <c r="N179" s="1"/>
      <c r="O179" s="1"/>
      <c r="P179" s="1"/>
    </row>
    <row r="180" spans="1:16" ht="15">
      <c r="A180" s="1291" t="s">
        <v>654</v>
      </c>
      <c r="B180" s="1291"/>
      <c r="C180" s="1291"/>
      <c r="D180" s="1291"/>
      <c r="E180" s="1291"/>
      <c r="F180" s="1291"/>
      <c r="G180" s="1291"/>
      <c r="H180" s="1291"/>
      <c r="I180" s="1291"/>
      <c r="J180" s="1"/>
      <c r="K180" s="1"/>
      <c r="L180" s="1"/>
      <c r="M180" s="1"/>
      <c r="N180" s="1"/>
      <c r="O180" s="1"/>
      <c r="P180" s="1"/>
    </row>
    <row r="181" spans="1:16" ht="15">
      <c r="A181" s="1285" t="s">
        <v>1054</v>
      </c>
      <c r="B181" s="1286"/>
      <c r="C181" s="1286"/>
      <c r="D181" s="1286"/>
      <c r="E181" s="1286"/>
      <c r="F181" s="1286"/>
      <c r="G181" s="1286"/>
      <c r="H181" s="1286"/>
      <c r="I181" s="1287"/>
      <c r="J181" s="1"/>
      <c r="K181" s="1"/>
      <c r="L181" s="1"/>
      <c r="M181" s="1"/>
      <c r="N181" s="1"/>
      <c r="O181" s="1"/>
      <c r="P181" s="1"/>
    </row>
    <row r="182" spans="1:16" ht="15">
      <c r="A182" s="1288" t="s">
        <v>217</v>
      </c>
      <c r="B182" s="1289"/>
      <c r="C182" s="1289"/>
      <c r="D182" s="1289"/>
      <c r="E182" s="1289"/>
      <c r="F182" s="1289"/>
      <c r="G182" s="1289"/>
      <c r="H182" s="1289"/>
      <c r="I182" s="1290"/>
      <c r="J182" s="1"/>
      <c r="K182" s="1"/>
      <c r="L182" s="1"/>
      <c r="M182" s="1"/>
      <c r="N182" s="1"/>
      <c r="O182" s="1"/>
      <c r="P182" s="1"/>
    </row>
    <row r="183" spans="10:16" ht="15">
      <c r="J183" s="1"/>
      <c r="K183" s="1"/>
      <c r="L183" s="1"/>
      <c r="M183" s="1"/>
      <c r="N183" s="1"/>
      <c r="O183" s="1"/>
      <c r="P183" s="1"/>
    </row>
    <row r="184" spans="1:16" ht="15">
      <c r="A184" s="510" t="s">
        <v>670</v>
      </c>
      <c r="B184" s="511"/>
      <c r="C184" s="511"/>
      <c r="D184" s="512"/>
      <c r="E184" s="512"/>
      <c r="F184" s="512"/>
      <c r="G184" s="512"/>
      <c r="H184" s="512"/>
      <c r="I184" s="512"/>
      <c r="J184" s="1"/>
      <c r="K184" s="1"/>
      <c r="L184" s="1"/>
      <c r="M184" s="1"/>
      <c r="N184" s="1"/>
      <c r="O184" s="1"/>
      <c r="P184" s="1"/>
    </row>
    <row r="185" spans="1:16" ht="51">
      <c r="A185" s="1048" t="s">
        <v>360</v>
      </c>
      <c r="B185" s="1053" t="s">
        <v>631</v>
      </c>
      <c r="C185" s="1218" t="s">
        <v>180</v>
      </c>
      <c r="D185" s="1218"/>
      <c r="E185" s="119"/>
      <c r="J185" s="1"/>
      <c r="K185" s="1"/>
      <c r="L185" s="1"/>
      <c r="M185" s="1"/>
      <c r="N185" s="1"/>
      <c r="O185" s="1"/>
      <c r="P185" s="1"/>
    </row>
    <row r="186" spans="1:16" ht="15">
      <c r="A186" s="1076" t="s">
        <v>301</v>
      </c>
      <c r="B186" s="1077">
        <v>0.95</v>
      </c>
      <c r="C186" s="1219" t="s">
        <v>1034</v>
      </c>
      <c r="D186" s="1219"/>
      <c r="F186" s="508" t="s">
        <v>989</v>
      </c>
      <c r="J186" s="1"/>
      <c r="K186" s="1"/>
      <c r="L186" s="1"/>
      <c r="M186" s="1"/>
      <c r="N186" s="1"/>
      <c r="O186" s="1"/>
      <c r="P186" s="1"/>
    </row>
    <row r="187" spans="1:16" ht="15" customHeight="1">
      <c r="A187" s="1076" t="s">
        <v>303</v>
      </c>
      <c r="B187" s="1078">
        <v>0.2</v>
      </c>
      <c r="C187" s="1220" t="s">
        <v>1035</v>
      </c>
      <c r="D187" s="1220"/>
      <c r="J187" s="1"/>
      <c r="K187" s="1"/>
      <c r="L187" s="1"/>
      <c r="M187" s="1"/>
      <c r="N187" s="1"/>
      <c r="O187" s="1"/>
      <c r="P187" s="1"/>
    </row>
    <row r="188" spans="1:16" ht="15">
      <c r="A188" s="1076" t="s">
        <v>310</v>
      </c>
      <c r="B188" s="1077">
        <v>0.4</v>
      </c>
      <c r="C188" s="1220"/>
      <c r="D188" s="1220"/>
      <c r="J188" s="1"/>
      <c r="K188" s="1"/>
      <c r="L188" s="1"/>
      <c r="M188" s="1"/>
      <c r="N188" s="1"/>
      <c r="O188" s="1"/>
      <c r="P188" s="1"/>
    </row>
    <row r="189" spans="1:16" ht="15">
      <c r="A189" s="1076" t="s">
        <v>1032</v>
      </c>
      <c r="B189" s="1077">
        <v>0.05</v>
      </c>
      <c r="C189" s="1220"/>
      <c r="D189" s="1220"/>
      <c r="J189" s="1"/>
      <c r="K189" s="1"/>
      <c r="L189" s="1"/>
      <c r="M189" s="1"/>
      <c r="N189" s="1"/>
      <c r="O189" s="1"/>
      <c r="P189" s="1"/>
    </row>
    <row r="190" spans="1:16" ht="15">
      <c r="A190" s="1076" t="s">
        <v>1033</v>
      </c>
      <c r="B190" s="1077">
        <v>0.05</v>
      </c>
      <c r="C190" s="1220"/>
      <c r="D190" s="1220"/>
      <c r="J190" s="1"/>
      <c r="K190" s="1"/>
      <c r="L190" s="1"/>
      <c r="M190" s="1"/>
      <c r="N190" s="1"/>
      <c r="O190" s="1"/>
      <c r="P190" s="1"/>
    </row>
    <row r="191" spans="10:16" ht="15">
      <c r="J191" s="1"/>
      <c r="K191" s="1"/>
      <c r="L191" s="1"/>
      <c r="M191" s="1"/>
      <c r="N191" s="1"/>
      <c r="O191" s="1"/>
      <c r="P191" s="1"/>
    </row>
    <row r="192" spans="1:9" ht="15">
      <c r="A192" s="510" t="s">
        <v>471</v>
      </c>
      <c r="B192" s="511"/>
      <c r="C192" s="511"/>
      <c r="D192" s="512"/>
      <c r="E192" s="512"/>
      <c r="F192" s="512"/>
      <c r="G192" s="512"/>
      <c r="H192" s="512"/>
      <c r="I192" s="512"/>
    </row>
    <row r="193" spans="1:5" ht="15">
      <c r="A193" s="1048" t="s">
        <v>366</v>
      </c>
      <c r="B193" s="1048" t="s">
        <v>470</v>
      </c>
      <c r="C193" s="1048" t="s">
        <v>81</v>
      </c>
      <c r="E193" s="508" t="s">
        <v>989</v>
      </c>
    </row>
    <row r="194" spans="1:3" ht="76.5">
      <c r="A194" s="1063" t="s">
        <v>469</v>
      </c>
      <c r="B194" s="245">
        <v>0.204</v>
      </c>
      <c r="C194" s="1056" t="s">
        <v>1103</v>
      </c>
    </row>
    <row r="196" spans="1:9" ht="15">
      <c r="A196" s="510" t="s">
        <v>466</v>
      </c>
      <c r="B196" s="511"/>
      <c r="C196" s="511"/>
      <c r="D196" s="512"/>
      <c r="E196" s="512"/>
      <c r="F196" s="512"/>
      <c r="G196" s="512"/>
      <c r="H196" s="512"/>
      <c r="I196" s="512"/>
    </row>
    <row r="197" spans="1:4" ht="15">
      <c r="A197" s="1048" t="s">
        <v>366</v>
      </c>
      <c r="B197" s="1048" t="s">
        <v>367</v>
      </c>
      <c r="C197" s="1048" t="s">
        <v>465</v>
      </c>
      <c r="D197" s="1048" t="s">
        <v>180</v>
      </c>
    </row>
    <row r="198" spans="1:6" ht="25.5">
      <c r="A198" s="1256" t="s">
        <v>467</v>
      </c>
      <c r="B198" s="1257"/>
      <c r="C198" s="525">
        <v>2.1</v>
      </c>
      <c r="D198" s="1049" t="s">
        <v>464</v>
      </c>
      <c r="F198" s="508" t="s">
        <v>989</v>
      </c>
    </row>
    <row r="199" spans="1:4" ht="25.5">
      <c r="A199" s="1259" t="s">
        <v>361</v>
      </c>
      <c r="B199" s="1056" t="s">
        <v>362</v>
      </c>
      <c r="C199" s="525">
        <v>4</v>
      </c>
      <c r="D199" s="1049" t="s">
        <v>464</v>
      </c>
    </row>
    <row r="200" spans="1:4" ht="25.5">
      <c r="A200" s="1260"/>
      <c r="B200" s="1056" t="s">
        <v>364</v>
      </c>
      <c r="C200" s="525">
        <v>10</v>
      </c>
      <c r="D200" s="1049" t="s">
        <v>464</v>
      </c>
    </row>
    <row r="201" spans="1:4" ht="25.5">
      <c r="A201" s="1260"/>
      <c r="B201" s="1056" t="s">
        <v>363</v>
      </c>
      <c r="C201" s="525">
        <v>5.5</v>
      </c>
      <c r="D201" s="1049" t="s">
        <v>464</v>
      </c>
    </row>
    <row r="202" spans="1:4" ht="25.5">
      <c r="A202" s="1260"/>
      <c r="B202" s="1056" t="s">
        <v>365</v>
      </c>
      <c r="C202" s="525">
        <v>6.5</v>
      </c>
      <c r="D202" s="1049" t="s">
        <v>464</v>
      </c>
    </row>
    <row r="203" spans="1:4" ht="38.25">
      <c r="A203" s="1261"/>
      <c r="B203" s="1056" t="s">
        <v>375</v>
      </c>
      <c r="C203" s="1052" t="s">
        <v>468</v>
      </c>
      <c r="D203" s="1049" t="s">
        <v>672</v>
      </c>
    </row>
    <row r="204" spans="10:16" ht="15">
      <c r="J204" s="1"/>
      <c r="K204" s="1"/>
      <c r="L204" s="1"/>
      <c r="M204" s="1"/>
      <c r="N204" s="1"/>
      <c r="O204" s="1"/>
      <c r="P204" s="1"/>
    </row>
    <row r="205" spans="1:16" ht="25.5">
      <c r="A205" s="1048" t="s">
        <v>1060</v>
      </c>
      <c r="B205" s="1218" t="s">
        <v>180</v>
      </c>
      <c r="C205" s="1218"/>
      <c r="J205" s="1"/>
      <c r="K205" s="1"/>
      <c r="L205" s="1"/>
      <c r="M205" s="1"/>
      <c r="N205" s="1"/>
      <c r="O205" s="1"/>
      <c r="P205" s="1"/>
    </row>
    <row r="206" spans="1:16" ht="15">
      <c r="A206" s="590">
        <v>0.25</v>
      </c>
      <c r="B206" s="1221" t="s">
        <v>1061</v>
      </c>
      <c r="C206" s="1221"/>
      <c r="J206" s="1"/>
      <c r="K206" s="1"/>
      <c r="L206" s="1"/>
      <c r="M206" s="1"/>
      <c r="N206" s="1"/>
      <c r="O206" s="1"/>
      <c r="P206" s="1"/>
    </row>
    <row r="207" spans="10:16" ht="15">
      <c r="J207" s="1"/>
      <c r="K207" s="1"/>
      <c r="L207" s="1"/>
      <c r="M207" s="1"/>
      <c r="N207" s="1"/>
      <c r="O207" s="1"/>
      <c r="P207" s="1"/>
    </row>
    <row r="208" spans="1:16" ht="15">
      <c r="A208" s="510" t="s">
        <v>369</v>
      </c>
      <c r="B208" s="511"/>
      <c r="C208" s="511"/>
      <c r="D208" s="512"/>
      <c r="E208" s="512"/>
      <c r="F208" s="512"/>
      <c r="G208" s="512"/>
      <c r="H208" s="512"/>
      <c r="I208" s="512"/>
      <c r="J208" s="1"/>
      <c r="K208" s="1"/>
      <c r="L208" s="1"/>
      <c r="M208" s="1"/>
      <c r="N208" s="1"/>
      <c r="O208" s="1"/>
      <c r="P208" s="1"/>
    </row>
    <row r="209" spans="1:16" ht="15">
      <c r="A209" s="1048" t="s">
        <v>366</v>
      </c>
      <c r="B209" s="1048" t="s">
        <v>367</v>
      </c>
      <c r="C209" s="1048" t="s">
        <v>465</v>
      </c>
      <c r="D209" s="1048" t="s">
        <v>180</v>
      </c>
      <c r="J209" s="1"/>
      <c r="K209" s="1"/>
      <c r="L209" s="1"/>
      <c r="M209" s="1"/>
      <c r="N209" s="1"/>
      <c r="O209" s="1"/>
      <c r="P209" s="1"/>
    </row>
    <row r="210" spans="1:6" ht="25.5">
      <c r="A210" s="1256" t="s">
        <v>467</v>
      </c>
      <c r="B210" s="1257"/>
      <c r="C210" s="525">
        <v>0.74</v>
      </c>
      <c r="D210" s="1049" t="s">
        <v>368</v>
      </c>
      <c r="F210" s="508" t="s">
        <v>989</v>
      </c>
    </row>
    <row r="211" spans="1:16" ht="25.5">
      <c r="A211" s="1259" t="s">
        <v>361</v>
      </c>
      <c r="B211" s="1056" t="s">
        <v>362</v>
      </c>
      <c r="C211" s="525">
        <v>0.9</v>
      </c>
      <c r="D211" s="1049" t="s">
        <v>368</v>
      </c>
      <c r="J211" s="1"/>
      <c r="K211" s="1"/>
      <c r="L211" s="1"/>
      <c r="M211" s="1"/>
      <c r="N211" s="1"/>
      <c r="O211" s="1"/>
      <c r="P211" s="1"/>
    </row>
    <row r="212" spans="1:16" ht="25.5">
      <c r="A212" s="1260"/>
      <c r="B212" s="1056" t="s">
        <v>364</v>
      </c>
      <c r="C212" s="525">
        <v>0.8</v>
      </c>
      <c r="D212" s="1049" t="s">
        <v>368</v>
      </c>
      <c r="J212" s="1"/>
      <c r="K212" s="1"/>
      <c r="L212" s="1"/>
      <c r="M212" s="1"/>
      <c r="N212" s="1"/>
      <c r="O212" s="1"/>
      <c r="P212" s="1"/>
    </row>
    <row r="213" spans="1:16" ht="25.5">
      <c r="A213" s="1260"/>
      <c r="B213" s="1056" t="s">
        <v>363</v>
      </c>
      <c r="C213" s="525">
        <v>0.8</v>
      </c>
      <c r="D213" s="1049" t="s">
        <v>368</v>
      </c>
      <c r="J213" s="1"/>
      <c r="K213" s="1"/>
      <c r="L213" s="1"/>
      <c r="M213" s="1"/>
      <c r="N213" s="1"/>
      <c r="O213" s="1"/>
      <c r="P213" s="1"/>
    </row>
    <row r="214" spans="1:16" ht="25.5">
      <c r="A214" s="1260"/>
      <c r="B214" s="1056" t="s">
        <v>365</v>
      </c>
      <c r="C214" s="525">
        <v>0.8</v>
      </c>
      <c r="D214" s="1049" t="s">
        <v>368</v>
      </c>
      <c r="J214" s="1"/>
      <c r="K214" s="1"/>
      <c r="L214" s="1"/>
      <c r="M214" s="1"/>
      <c r="N214" s="1"/>
      <c r="O214" s="1"/>
      <c r="P214" s="1"/>
    </row>
    <row r="215" spans="1:16" ht="38.25">
      <c r="A215" s="1261"/>
      <c r="B215" s="1056" t="s">
        <v>375</v>
      </c>
      <c r="C215" s="525">
        <v>0.85</v>
      </c>
      <c r="D215" s="1049" t="s">
        <v>673</v>
      </c>
      <c r="J215" s="1"/>
      <c r="K215" s="1"/>
      <c r="L215" s="1"/>
      <c r="M215" s="1"/>
      <c r="N215" s="1"/>
      <c r="O215" s="1"/>
      <c r="P215" s="1"/>
    </row>
    <row r="216" spans="1:16" ht="25.5">
      <c r="A216" s="1256" t="s">
        <v>1010</v>
      </c>
      <c r="B216" s="1257"/>
      <c r="C216" s="525">
        <v>1</v>
      </c>
      <c r="D216" s="1049" t="s">
        <v>1009</v>
      </c>
      <c r="J216" s="1"/>
      <c r="K216" s="1"/>
      <c r="L216" s="1"/>
      <c r="M216" s="1"/>
      <c r="N216" s="1"/>
      <c r="O216" s="1"/>
      <c r="P216" s="1"/>
    </row>
    <row r="217" spans="1:16" ht="15">
      <c r="A217" s="1218" t="s">
        <v>654</v>
      </c>
      <c r="B217" s="1218"/>
      <c r="C217" s="1218"/>
      <c r="D217" s="1218"/>
      <c r="J217" s="1"/>
      <c r="K217" s="1"/>
      <c r="L217" s="1"/>
      <c r="M217" s="1"/>
      <c r="N217" s="1"/>
      <c r="O217" s="1"/>
      <c r="P217" s="1"/>
    </row>
    <row r="218" spans="1:16" ht="15">
      <c r="A218" s="1292" t="s">
        <v>671</v>
      </c>
      <c r="B218" s="1292"/>
      <c r="C218" s="1292"/>
      <c r="D218" s="1292"/>
      <c r="J218" s="1"/>
      <c r="K218" s="1"/>
      <c r="L218" s="1"/>
      <c r="M218" s="1"/>
      <c r="N218" s="1"/>
      <c r="O218" s="1"/>
      <c r="P218" s="1"/>
    </row>
    <row r="219" spans="1:4" ht="15">
      <c r="A219" s="248"/>
      <c r="B219" s="248"/>
      <c r="C219" s="249"/>
      <c r="D219" s="238"/>
    </row>
    <row r="220" spans="1:16" ht="15">
      <c r="A220" s="510" t="s">
        <v>251</v>
      </c>
      <c r="B220" s="511"/>
      <c r="C220" s="511"/>
      <c r="D220" s="512"/>
      <c r="E220" s="512"/>
      <c r="F220" s="512"/>
      <c r="G220" s="512"/>
      <c r="H220" s="512"/>
      <c r="I220" s="512"/>
      <c r="J220" s="1"/>
      <c r="K220" s="1"/>
      <c r="L220" s="1"/>
      <c r="M220" s="1"/>
      <c r="N220" s="1"/>
      <c r="O220" s="1"/>
      <c r="P220" s="1"/>
    </row>
    <row r="221" spans="1:16" ht="15">
      <c r="A221" s="1048" t="s">
        <v>252</v>
      </c>
      <c r="B221" s="1048" t="s">
        <v>253</v>
      </c>
      <c r="C221" s="1048" t="s">
        <v>81</v>
      </c>
      <c r="J221" s="1"/>
      <c r="K221" s="1"/>
      <c r="L221" s="1"/>
      <c r="M221" s="1"/>
      <c r="N221" s="1"/>
      <c r="O221" s="1"/>
      <c r="P221" s="1"/>
    </row>
    <row r="222" spans="1:16" ht="15">
      <c r="A222" s="1063" t="s">
        <v>231</v>
      </c>
      <c r="B222" s="245">
        <v>0.46</v>
      </c>
      <c r="C222" s="1258" t="s">
        <v>257</v>
      </c>
      <c r="E222" s="508" t="s">
        <v>989</v>
      </c>
      <c r="J222" s="1"/>
      <c r="K222" s="1"/>
      <c r="L222" s="1"/>
      <c r="M222" s="1"/>
      <c r="N222" s="1"/>
      <c r="O222" s="1"/>
      <c r="P222" s="1"/>
    </row>
    <row r="223" spans="1:16" ht="15">
      <c r="A223" s="1063" t="s">
        <v>254</v>
      </c>
      <c r="B223" s="245">
        <v>0.18</v>
      </c>
      <c r="C223" s="1258"/>
      <c r="J223" s="1"/>
      <c r="K223" s="1"/>
      <c r="L223" s="1"/>
      <c r="M223" s="1"/>
      <c r="N223" s="1"/>
      <c r="O223" s="1"/>
      <c r="P223" s="1"/>
    </row>
    <row r="224" spans="1:16" ht="15">
      <c r="A224" s="1063" t="s">
        <v>255</v>
      </c>
      <c r="B224" s="245">
        <f>21/100</f>
        <v>0.21</v>
      </c>
      <c r="C224" s="1258"/>
      <c r="J224" s="1"/>
      <c r="K224" s="1"/>
      <c r="L224" s="1"/>
      <c r="M224" s="1"/>
      <c r="N224" s="1"/>
      <c r="O224" s="1"/>
      <c r="P224" s="1"/>
    </row>
    <row r="225" spans="1:16" ht="15">
      <c r="A225" s="1063" t="s">
        <v>256</v>
      </c>
      <c r="B225" s="245">
        <f>33.5/100</f>
        <v>0.335</v>
      </c>
      <c r="C225" s="1258"/>
      <c r="J225" s="1"/>
      <c r="K225" s="1"/>
      <c r="L225" s="1"/>
      <c r="M225" s="1"/>
      <c r="N225" s="1"/>
      <c r="O225" s="1"/>
      <c r="P225" s="1"/>
    </row>
    <row r="227" spans="1:9" ht="15">
      <c r="A227" s="510" t="s">
        <v>664</v>
      </c>
      <c r="B227" s="511"/>
      <c r="C227" s="511"/>
      <c r="D227" s="512"/>
      <c r="E227" s="512"/>
      <c r="F227" s="512"/>
      <c r="G227" s="512"/>
      <c r="H227" s="512"/>
      <c r="I227" s="512"/>
    </row>
    <row r="228" spans="1:3" ht="25.5">
      <c r="A228" s="268" t="s">
        <v>41</v>
      </c>
      <c r="B228" s="268" t="s">
        <v>661</v>
      </c>
      <c r="C228" s="268" t="s">
        <v>81</v>
      </c>
    </row>
    <row r="229" spans="1:5" ht="15">
      <c r="A229" s="1079" t="s">
        <v>49</v>
      </c>
      <c r="B229" s="146">
        <v>150</v>
      </c>
      <c r="C229" s="1282" t="s">
        <v>1020</v>
      </c>
      <c r="E229" s="508" t="s">
        <v>989</v>
      </c>
    </row>
    <row r="230" spans="1:3" ht="15">
      <c r="A230" s="1079" t="s">
        <v>321</v>
      </c>
      <c r="B230" s="146">
        <v>280</v>
      </c>
      <c r="C230" s="1282"/>
    </row>
    <row r="231" spans="1:3" ht="15">
      <c r="A231" s="1079" t="s">
        <v>50</v>
      </c>
      <c r="B231" s="146">
        <v>0</v>
      </c>
      <c r="C231" s="1282"/>
    </row>
    <row r="232" spans="1:3" ht="15">
      <c r="A232" s="1079" t="s">
        <v>51</v>
      </c>
      <c r="B232" s="146">
        <v>280</v>
      </c>
      <c r="C232" s="1282"/>
    </row>
    <row r="233" spans="1:3" ht="15">
      <c r="A233" s="1079" t="s">
        <v>52</v>
      </c>
      <c r="B233" s="146">
        <v>0</v>
      </c>
      <c r="C233" s="1282"/>
    </row>
    <row r="234" spans="1:3" ht="15">
      <c r="A234" s="1079" t="s">
        <v>53</v>
      </c>
      <c r="B234" s="146">
        <v>150</v>
      </c>
      <c r="C234" s="1282"/>
    </row>
    <row r="235" spans="1:3" ht="15">
      <c r="A235" s="1079" t="s">
        <v>54</v>
      </c>
      <c r="B235" s="146">
        <v>0</v>
      </c>
      <c r="C235" s="1282"/>
    </row>
    <row r="236" spans="1:3" ht="15">
      <c r="A236" s="1079" t="s">
        <v>55</v>
      </c>
      <c r="B236" s="146">
        <v>0</v>
      </c>
      <c r="C236" s="1282"/>
    </row>
    <row r="237" spans="1:3" ht="15">
      <c r="A237" s="1079" t="s">
        <v>56</v>
      </c>
      <c r="B237" s="146">
        <v>120</v>
      </c>
      <c r="C237" s="1282"/>
    </row>
    <row r="238" spans="1:3" ht="15">
      <c r="A238" s="1079" t="s">
        <v>57</v>
      </c>
      <c r="B238" s="146">
        <v>0</v>
      </c>
      <c r="C238" s="1282"/>
    </row>
    <row r="239" spans="1:3" ht="15">
      <c r="A239" s="1079" t="s">
        <v>58</v>
      </c>
      <c r="B239" s="146">
        <v>80</v>
      </c>
      <c r="C239" s="1282"/>
    </row>
    <row r="240" spans="1:3" ht="15">
      <c r="A240" s="1079" t="s">
        <v>59</v>
      </c>
      <c r="B240" s="146">
        <v>280</v>
      </c>
      <c r="C240" s="1282"/>
    </row>
    <row r="241" spans="1:3" ht="15">
      <c r="A241" s="1079" t="s">
        <v>60</v>
      </c>
      <c r="B241" s="146">
        <v>280</v>
      </c>
      <c r="C241" s="1282"/>
    </row>
    <row r="242" spans="1:3" ht="15">
      <c r="A242" s="1080" t="s">
        <v>61</v>
      </c>
      <c r="B242" s="146">
        <v>0</v>
      </c>
      <c r="C242" s="1282"/>
    </row>
    <row r="243" spans="1:3" ht="15">
      <c r="A243" s="1081" t="s">
        <v>62</v>
      </c>
      <c r="B243" s="146">
        <v>32</v>
      </c>
      <c r="C243" s="1282"/>
    </row>
    <row r="244" spans="1:3" ht="15">
      <c r="A244" s="1081" t="s">
        <v>63</v>
      </c>
      <c r="B244" s="146">
        <v>32</v>
      </c>
      <c r="C244" s="1282"/>
    </row>
    <row r="245" spans="1:3" ht="15">
      <c r="A245" s="1081" t="s">
        <v>64</v>
      </c>
      <c r="B245" s="146">
        <v>0</v>
      </c>
      <c r="C245" s="1282"/>
    </row>
    <row r="246" spans="1:3" ht="15">
      <c r="A246" s="1081" t="s">
        <v>65</v>
      </c>
      <c r="B246" s="146">
        <v>80</v>
      </c>
      <c r="C246" s="1282"/>
    </row>
    <row r="247" spans="1:3" ht="15">
      <c r="A247" s="1081" t="s">
        <v>66</v>
      </c>
      <c r="B247" s="146">
        <v>280</v>
      </c>
      <c r="C247" s="1282"/>
    </row>
    <row r="248" spans="1:3" ht="15">
      <c r="A248" s="1081" t="s">
        <v>67</v>
      </c>
      <c r="B248" s="146">
        <v>0</v>
      </c>
      <c r="C248" s="1282"/>
    </row>
    <row r="249" spans="1:3" ht="15">
      <c r="A249" s="1081" t="s">
        <v>68</v>
      </c>
      <c r="B249" s="146">
        <v>150</v>
      </c>
      <c r="C249" s="1282"/>
    </row>
    <row r="250" spans="1:3" ht="15">
      <c r="A250" s="1081" t="s">
        <v>69</v>
      </c>
      <c r="B250" s="146">
        <v>0</v>
      </c>
      <c r="C250" s="1282"/>
    </row>
    <row r="251" spans="1:3" ht="15">
      <c r="A251" s="1081" t="s">
        <v>70</v>
      </c>
      <c r="B251" s="146">
        <v>280</v>
      </c>
      <c r="C251" s="1282"/>
    </row>
    <row r="252" spans="1:3" ht="15">
      <c r="A252" s="1081" t="s">
        <v>71</v>
      </c>
      <c r="B252" s="146">
        <v>80</v>
      </c>
      <c r="C252" s="1282"/>
    </row>
    <row r="253" spans="10:16" ht="15">
      <c r="J253" s="1"/>
      <c r="K253" s="1"/>
      <c r="L253" s="1"/>
      <c r="M253" s="1"/>
      <c r="N253" s="1"/>
      <c r="O253" s="1"/>
      <c r="P253" s="1"/>
    </row>
    <row r="254" spans="1:16" ht="15">
      <c r="A254" s="510" t="s">
        <v>283</v>
      </c>
      <c r="B254" s="511"/>
      <c r="C254" s="511"/>
      <c r="D254" s="512"/>
      <c r="E254" s="512"/>
      <c r="F254" s="512"/>
      <c r="G254" s="512"/>
      <c r="H254" s="512"/>
      <c r="I254" s="512"/>
      <c r="J254" s="1"/>
      <c r="K254" s="1"/>
      <c r="L254" s="1"/>
      <c r="M254" s="1"/>
      <c r="N254" s="1"/>
      <c r="O254" s="1"/>
      <c r="P254" s="1"/>
    </row>
    <row r="255" spans="1:16" ht="25.5">
      <c r="A255" s="1048" t="s">
        <v>279</v>
      </c>
      <c r="B255" s="1048" t="s">
        <v>286</v>
      </c>
      <c r="C255" s="1048" t="s">
        <v>81</v>
      </c>
      <c r="J255" s="1"/>
      <c r="K255" s="1"/>
      <c r="L255" s="1"/>
      <c r="M255" s="1"/>
      <c r="N255" s="1"/>
      <c r="O255" s="1"/>
      <c r="P255" s="1"/>
    </row>
    <row r="256" spans="1:16" ht="51">
      <c r="A256" s="1056" t="s">
        <v>285</v>
      </c>
      <c r="B256" s="525">
        <v>0.6</v>
      </c>
      <c r="C256" s="1049" t="s">
        <v>282</v>
      </c>
      <c r="D256" s="151"/>
      <c r="E256" s="508" t="s">
        <v>989</v>
      </c>
      <c r="J256" s="1"/>
      <c r="K256" s="1"/>
      <c r="L256" s="1"/>
      <c r="M256" s="1"/>
      <c r="N256" s="1"/>
      <c r="O256" s="1"/>
      <c r="P256" s="1"/>
    </row>
    <row r="257" spans="1:16" ht="51">
      <c r="A257" s="1056" t="s">
        <v>284</v>
      </c>
      <c r="B257" s="525">
        <v>0.15</v>
      </c>
      <c r="C257" s="1049" t="s">
        <v>282</v>
      </c>
      <c r="J257" s="1"/>
      <c r="K257" s="1"/>
      <c r="L257" s="1"/>
      <c r="M257" s="1"/>
      <c r="N257" s="1"/>
      <c r="O257" s="1"/>
      <c r="P257" s="1"/>
    </row>
    <row r="258" spans="10:16" ht="15">
      <c r="J258" s="1"/>
      <c r="K258" s="1"/>
      <c r="L258" s="1"/>
      <c r="M258" s="1"/>
      <c r="N258" s="1"/>
      <c r="O258" s="1"/>
      <c r="P258" s="1"/>
    </row>
    <row r="259" spans="1:16" ht="15">
      <c r="A259" s="510" t="s">
        <v>498</v>
      </c>
      <c r="B259" s="511"/>
      <c r="C259" s="511"/>
      <c r="D259" s="512"/>
      <c r="E259" s="512"/>
      <c r="F259" s="512"/>
      <c r="G259" s="512"/>
      <c r="H259" s="512"/>
      <c r="I259" s="512"/>
      <c r="J259" s="1"/>
      <c r="K259" s="1"/>
      <c r="L259" s="1"/>
      <c r="M259" s="1"/>
      <c r="N259" s="1"/>
      <c r="O259" s="1"/>
      <c r="P259" s="1"/>
    </row>
    <row r="260" spans="1:16" ht="15">
      <c r="A260" s="1048" t="s">
        <v>376</v>
      </c>
      <c r="B260" s="1048" t="s">
        <v>387</v>
      </c>
      <c r="C260" s="1048" t="s">
        <v>655</v>
      </c>
      <c r="D260" s="1048" t="s">
        <v>383</v>
      </c>
      <c r="E260" s="1048" t="s">
        <v>384</v>
      </c>
      <c r="F260" s="1048" t="s">
        <v>379</v>
      </c>
      <c r="G260" s="1048" t="s">
        <v>385</v>
      </c>
      <c r="J260" s="1"/>
      <c r="K260" s="1"/>
      <c r="L260" s="1"/>
      <c r="M260" s="1"/>
      <c r="N260" s="1"/>
      <c r="O260" s="1"/>
      <c r="P260" s="1"/>
    </row>
    <row r="261" spans="1:16" ht="15">
      <c r="A261" s="1082" t="s">
        <v>301</v>
      </c>
      <c r="B261" s="252">
        <v>0.9</v>
      </c>
      <c r="C261" s="252">
        <v>0.3</v>
      </c>
      <c r="D261" s="252">
        <v>0</v>
      </c>
      <c r="E261" s="252">
        <v>0.015</v>
      </c>
      <c r="F261" s="252">
        <v>0.54</v>
      </c>
      <c r="G261" s="252">
        <v>0.012</v>
      </c>
      <c r="I261" s="508" t="s">
        <v>989</v>
      </c>
      <c r="J261" s="1"/>
      <c r="K261" s="1"/>
      <c r="L261" s="1"/>
      <c r="M261" s="1"/>
      <c r="N261" s="1"/>
      <c r="O261" s="1"/>
      <c r="P261" s="1"/>
    </row>
    <row r="262" spans="1:16" ht="15">
      <c r="A262" s="1082" t="s">
        <v>303</v>
      </c>
      <c r="B262" s="252">
        <v>0.89</v>
      </c>
      <c r="C262" s="252">
        <v>0.95</v>
      </c>
      <c r="D262" s="252">
        <v>2.46</v>
      </c>
      <c r="E262" s="252">
        <v>0.007</v>
      </c>
      <c r="F262" s="252">
        <v>0.16</v>
      </c>
      <c r="G262" s="252">
        <v>0.009</v>
      </c>
      <c r="J262" s="1"/>
      <c r="K262" s="1"/>
      <c r="L262" s="1"/>
      <c r="M262" s="1"/>
      <c r="N262" s="1"/>
      <c r="O262" s="1"/>
      <c r="P262" s="1"/>
    </row>
    <row r="263" spans="1:16" s="544" customFormat="1" ht="15">
      <c r="A263" s="1082" t="s">
        <v>332</v>
      </c>
      <c r="B263" s="252">
        <v>0.94</v>
      </c>
      <c r="C263" s="252">
        <v>1.07</v>
      </c>
      <c r="D263" s="252">
        <v>1.54</v>
      </c>
      <c r="E263" s="252">
        <v>0.016</v>
      </c>
      <c r="F263" s="252">
        <v>0.2</v>
      </c>
      <c r="G263" s="252">
        <v>0.014</v>
      </c>
      <c r="H263" s="542"/>
      <c r="I263" s="542"/>
      <c r="J263" s="543"/>
      <c r="K263" s="543"/>
      <c r="L263" s="543"/>
      <c r="M263" s="543"/>
      <c r="N263" s="543"/>
      <c r="O263" s="543"/>
      <c r="P263" s="543"/>
    </row>
    <row r="264" spans="1:16" s="544" customFormat="1" ht="15">
      <c r="A264" s="1082" t="s">
        <v>304</v>
      </c>
      <c r="B264" s="252">
        <v>0.87</v>
      </c>
      <c r="C264" s="252">
        <v>1.03</v>
      </c>
      <c r="D264" s="252">
        <v>0.61</v>
      </c>
      <c r="E264" s="252">
        <v>0.006</v>
      </c>
      <c r="F264" s="252">
        <v>0.22</v>
      </c>
      <c r="G264" s="252">
        <v>0.007</v>
      </c>
      <c r="H264" s="542"/>
      <c r="I264" s="542"/>
      <c r="J264" s="543"/>
      <c r="K264" s="543"/>
      <c r="L264" s="543"/>
      <c r="M264" s="543"/>
      <c r="N264" s="543"/>
      <c r="O264" s="543"/>
      <c r="P264" s="543"/>
    </row>
    <row r="265" spans="1:16" s="544" customFormat="1" ht="15">
      <c r="A265" s="1082" t="s">
        <v>306</v>
      </c>
      <c r="B265" s="252">
        <v>0.94</v>
      </c>
      <c r="C265" s="252">
        <v>1.07</v>
      </c>
      <c r="D265" s="252">
        <v>1.54</v>
      </c>
      <c r="E265" s="252">
        <v>0.016</v>
      </c>
      <c r="F265" s="252">
        <v>0.2</v>
      </c>
      <c r="G265" s="252">
        <v>0.014</v>
      </c>
      <c r="H265" s="542"/>
      <c r="I265" s="542"/>
      <c r="J265" s="543"/>
      <c r="K265" s="543"/>
      <c r="L265" s="543"/>
      <c r="M265" s="543"/>
      <c r="N265" s="543"/>
      <c r="O265" s="543"/>
      <c r="P265" s="543"/>
    </row>
    <row r="266" spans="1:16" s="544" customFormat="1" ht="15">
      <c r="A266" s="1082" t="s">
        <v>308</v>
      </c>
      <c r="B266" s="252">
        <v>0.88</v>
      </c>
      <c r="C266" s="252">
        <v>1.09</v>
      </c>
      <c r="D266" s="252">
        <v>0.88</v>
      </c>
      <c r="E266" s="252">
        <v>0.006</v>
      </c>
      <c r="F266" s="252">
        <v>0.22</v>
      </c>
      <c r="G266" s="252">
        <v>0.009</v>
      </c>
      <c r="H266" s="542"/>
      <c r="I266" s="542"/>
      <c r="J266" s="543"/>
      <c r="K266" s="543"/>
      <c r="L266" s="543"/>
      <c r="M266" s="543"/>
      <c r="N266" s="543"/>
      <c r="O266" s="543"/>
      <c r="P266" s="543"/>
    </row>
    <row r="267" spans="1:16" s="544" customFormat="1" ht="15">
      <c r="A267" s="1082" t="s">
        <v>309</v>
      </c>
      <c r="B267" s="252">
        <v>0.94</v>
      </c>
      <c r="C267" s="252">
        <v>1.07</v>
      </c>
      <c r="D267" s="252">
        <v>1.54</v>
      </c>
      <c r="E267" s="252">
        <v>0.016</v>
      </c>
      <c r="F267" s="252">
        <v>0.2</v>
      </c>
      <c r="G267" s="252">
        <v>0.014</v>
      </c>
      <c r="H267" s="542"/>
      <c r="I267" s="542"/>
      <c r="J267" s="543"/>
      <c r="K267" s="543"/>
      <c r="L267" s="543"/>
      <c r="M267" s="543"/>
      <c r="N267" s="543"/>
      <c r="O267" s="543"/>
      <c r="P267" s="543"/>
    </row>
    <row r="268" spans="1:16" ht="15">
      <c r="A268" s="1082" t="s">
        <v>310</v>
      </c>
      <c r="B268" s="252">
        <v>0.94</v>
      </c>
      <c r="C268" s="252">
        <v>1.07</v>
      </c>
      <c r="D268" s="252">
        <v>1.54</v>
      </c>
      <c r="E268" s="252">
        <v>0.016</v>
      </c>
      <c r="F268" s="252">
        <v>0.2</v>
      </c>
      <c r="G268" s="252">
        <v>0.014</v>
      </c>
      <c r="J268" s="1"/>
      <c r="K268" s="1"/>
      <c r="L268" s="1"/>
      <c r="M268" s="1"/>
      <c r="N268" s="1"/>
      <c r="O268" s="1"/>
      <c r="P268" s="1"/>
    </row>
    <row r="269" spans="1:16" s="544" customFormat="1" ht="15">
      <c r="A269" s="1082" t="s">
        <v>311</v>
      </c>
      <c r="B269" s="252">
        <v>0.94</v>
      </c>
      <c r="C269" s="252">
        <v>1.07</v>
      </c>
      <c r="D269" s="252">
        <v>1.54</v>
      </c>
      <c r="E269" s="252">
        <v>0.016</v>
      </c>
      <c r="F269" s="252">
        <v>0.2</v>
      </c>
      <c r="G269" s="252">
        <v>0.014</v>
      </c>
      <c r="H269" s="542"/>
      <c r="I269" s="542"/>
      <c r="J269" s="543"/>
      <c r="K269" s="543"/>
      <c r="L269" s="543"/>
      <c r="M269" s="543"/>
      <c r="N269" s="543"/>
      <c r="O269" s="543"/>
      <c r="P269" s="543"/>
    </row>
    <row r="270" spans="1:16" s="544" customFormat="1" ht="15">
      <c r="A270" s="1082" t="s">
        <v>312</v>
      </c>
      <c r="B270" s="252">
        <v>0.87</v>
      </c>
      <c r="C270" s="252">
        <v>1.03</v>
      </c>
      <c r="D270" s="252">
        <v>0.61</v>
      </c>
      <c r="E270" s="252">
        <v>0.006</v>
      </c>
      <c r="F270" s="252">
        <v>0.22</v>
      </c>
      <c r="G270" s="252">
        <v>0.007</v>
      </c>
      <c r="H270" s="542"/>
      <c r="I270" s="542"/>
      <c r="J270" s="543"/>
      <c r="K270" s="543"/>
      <c r="L270" s="543"/>
      <c r="M270" s="543"/>
      <c r="N270" s="543"/>
      <c r="O270" s="543"/>
      <c r="P270" s="543"/>
    </row>
    <row r="271" spans="1:16" s="544" customFormat="1" ht="15">
      <c r="A271" s="1082" t="s">
        <v>313</v>
      </c>
      <c r="B271" s="252">
        <v>0.94</v>
      </c>
      <c r="C271" s="252">
        <v>1.07</v>
      </c>
      <c r="D271" s="252">
        <v>1.54</v>
      </c>
      <c r="E271" s="252">
        <v>0.016</v>
      </c>
      <c r="F271" s="252">
        <v>0.2</v>
      </c>
      <c r="G271" s="252">
        <v>0.014</v>
      </c>
      <c r="H271" s="542"/>
      <c r="I271" s="542"/>
      <c r="J271" s="543"/>
      <c r="K271" s="543"/>
      <c r="L271" s="543"/>
      <c r="M271" s="543"/>
      <c r="N271" s="543"/>
      <c r="O271" s="543"/>
      <c r="P271" s="543"/>
    </row>
    <row r="272" spans="1:16" s="544" customFormat="1" ht="15">
      <c r="A272" s="1082" t="s">
        <v>314</v>
      </c>
      <c r="B272" s="252">
        <v>0.87</v>
      </c>
      <c r="C272" s="252">
        <v>1.03</v>
      </c>
      <c r="D272" s="252">
        <v>0.61</v>
      </c>
      <c r="E272" s="252">
        <v>0.006</v>
      </c>
      <c r="F272" s="252">
        <v>0.22</v>
      </c>
      <c r="G272" s="252">
        <v>0.007</v>
      </c>
      <c r="H272" s="542"/>
      <c r="I272" s="542"/>
      <c r="J272" s="543"/>
      <c r="K272" s="543"/>
      <c r="L272" s="543"/>
      <c r="M272" s="543"/>
      <c r="N272" s="543"/>
      <c r="O272" s="543"/>
      <c r="P272" s="543"/>
    </row>
    <row r="273" spans="1:16" s="544" customFormat="1" ht="15">
      <c r="A273" s="1082" t="s">
        <v>315</v>
      </c>
      <c r="B273" s="252">
        <v>0.94</v>
      </c>
      <c r="C273" s="252">
        <v>1.07</v>
      </c>
      <c r="D273" s="252">
        <v>1.54</v>
      </c>
      <c r="E273" s="252">
        <v>0.016</v>
      </c>
      <c r="F273" s="252">
        <v>0.2</v>
      </c>
      <c r="G273" s="252">
        <v>0.014</v>
      </c>
      <c r="H273" s="542"/>
      <c r="I273" s="542"/>
      <c r="J273" s="543"/>
      <c r="K273" s="543"/>
      <c r="L273" s="543"/>
      <c r="M273" s="543"/>
      <c r="N273" s="543"/>
      <c r="O273" s="543"/>
      <c r="P273" s="543"/>
    </row>
    <row r="274" spans="1:16" s="544" customFormat="1" ht="15">
      <c r="A274" s="1082" t="s">
        <v>316</v>
      </c>
      <c r="B274" s="252">
        <v>0.89</v>
      </c>
      <c r="C274" s="252">
        <v>1.51</v>
      </c>
      <c r="D274" s="252">
        <v>0.52</v>
      </c>
      <c r="E274" s="252">
        <v>0.006</v>
      </c>
      <c r="F274" s="252">
        <v>0.24</v>
      </c>
      <c r="G274" s="252">
        <v>0.009</v>
      </c>
      <c r="H274" s="542"/>
      <c r="I274" s="542"/>
      <c r="J274" s="543"/>
      <c r="K274" s="543"/>
      <c r="L274" s="543"/>
      <c r="M274" s="543"/>
      <c r="N274" s="543"/>
      <c r="O274" s="543"/>
      <c r="P274" s="543"/>
    </row>
    <row r="275" spans="1:16" s="544" customFormat="1" ht="15">
      <c r="A275" s="1082" t="s">
        <v>317</v>
      </c>
      <c r="B275" s="252">
        <v>0.89</v>
      </c>
      <c r="C275" s="252">
        <v>0.98</v>
      </c>
      <c r="D275" s="252">
        <v>0.59</v>
      </c>
      <c r="E275" s="252">
        <v>0.007</v>
      </c>
      <c r="F275" s="252">
        <v>0.022</v>
      </c>
      <c r="G275" s="252">
        <v>0.014</v>
      </c>
      <c r="H275" s="542"/>
      <c r="I275" s="542"/>
      <c r="J275" s="543"/>
      <c r="K275" s="543"/>
      <c r="L275" s="543"/>
      <c r="M275" s="543"/>
      <c r="N275" s="543"/>
      <c r="O275" s="543"/>
      <c r="P275" s="543"/>
    </row>
    <row r="276" spans="1:16" s="544" customFormat="1" ht="15">
      <c r="A276" s="1082" t="s">
        <v>318</v>
      </c>
      <c r="B276" s="252">
        <v>0.94</v>
      </c>
      <c r="C276" s="252">
        <v>1.07</v>
      </c>
      <c r="D276" s="252">
        <v>1.54</v>
      </c>
      <c r="E276" s="252">
        <v>0.016</v>
      </c>
      <c r="F276" s="252">
        <v>0.2</v>
      </c>
      <c r="G276" s="252">
        <v>0.014</v>
      </c>
      <c r="H276" s="542"/>
      <c r="I276" s="542"/>
      <c r="J276" s="543"/>
      <c r="K276" s="543"/>
      <c r="L276" s="543"/>
      <c r="M276" s="543"/>
      <c r="N276" s="543"/>
      <c r="O276" s="543"/>
      <c r="P276" s="543"/>
    </row>
    <row r="277" spans="1:16" s="544" customFormat="1" ht="15">
      <c r="A277" s="1082" t="s">
        <v>319</v>
      </c>
      <c r="B277" s="252">
        <v>0.94</v>
      </c>
      <c r="C277" s="252">
        <v>1.07</v>
      </c>
      <c r="D277" s="252">
        <v>1.54</v>
      </c>
      <c r="E277" s="252">
        <v>0.016</v>
      </c>
      <c r="F277" s="252">
        <v>0.2</v>
      </c>
      <c r="G277" s="252">
        <v>0.014</v>
      </c>
      <c r="H277" s="542"/>
      <c r="I277" s="542"/>
      <c r="J277" s="543"/>
      <c r="K277" s="543"/>
      <c r="L277" s="543"/>
      <c r="M277" s="543"/>
      <c r="N277" s="543"/>
      <c r="O277" s="543"/>
      <c r="P277" s="543"/>
    </row>
    <row r="278" spans="1:16" s="544" customFormat="1" ht="15">
      <c r="A278" s="1082" t="s">
        <v>320</v>
      </c>
      <c r="B278" s="252">
        <v>0.94</v>
      </c>
      <c r="C278" s="252">
        <v>1.07</v>
      </c>
      <c r="D278" s="252">
        <v>1.54</v>
      </c>
      <c r="E278" s="252">
        <v>0.016</v>
      </c>
      <c r="F278" s="252">
        <v>0.2</v>
      </c>
      <c r="G278" s="252">
        <v>0.014</v>
      </c>
      <c r="H278" s="542"/>
      <c r="I278" s="542"/>
      <c r="J278" s="543"/>
      <c r="K278" s="543"/>
      <c r="L278" s="543"/>
      <c r="M278" s="543"/>
      <c r="N278" s="543"/>
      <c r="O278" s="543"/>
      <c r="P278" s="543"/>
    </row>
    <row r="279" spans="1:16" s="544" customFormat="1" ht="15">
      <c r="A279" s="1082" t="s">
        <v>323</v>
      </c>
      <c r="B279" s="252">
        <v>0.9</v>
      </c>
      <c r="C279" s="252">
        <v>0.36</v>
      </c>
      <c r="D279" s="252">
        <v>0.68</v>
      </c>
      <c r="E279" s="252">
        <v>0.01</v>
      </c>
      <c r="F279" s="252">
        <v>0.19</v>
      </c>
      <c r="G279" s="252">
        <v>0.01</v>
      </c>
      <c r="H279" s="542"/>
      <c r="I279" s="542"/>
      <c r="J279" s="543"/>
      <c r="K279" s="543"/>
      <c r="L279" s="543"/>
      <c r="M279" s="543"/>
      <c r="N279" s="543"/>
      <c r="O279" s="543"/>
      <c r="P279" s="543"/>
    </row>
    <row r="280" spans="1:16" s="544" customFormat="1" ht="15">
      <c r="A280" s="1082" t="s">
        <v>324</v>
      </c>
      <c r="B280" s="252">
        <v>0.9</v>
      </c>
      <c r="C280" s="252">
        <v>0.36</v>
      </c>
      <c r="D280" s="252">
        <v>0.68</v>
      </c>
      <c r="E280" s="252">
        <v>0.01</v>
      </c>
      <c r="F280" s="252">
        <v>0.19</v>
      </c>
      <c r="G280" s="252">
        <v>0.01</v>
      </c>
      <c r="H280" s="542"/>
      <c r="I280" s="542"/>
      <c r="J280" s="543"/>
      <c r="K280" s="543"/>
      <c r="L280" s="543"/>
      <c r="M280" s="543"/>
      <c r="N280" s="543"/>
      <c r="O280" s="543"/>
      <c r="P280" s="543"/>
    </row>
    <row r="281" spans="1:16" s="544" customFormat="1" ht="15">
      <c r="A281" s="1082" t="s">
        <v>325</v>
      </c>
      <c r="B281" s="252">
        <v>0.9</v>
      </c>
      <c r="C281" s="252">
        <v>0.36</v>
      </c>
      <c r="D281" s="252">
        <v>0.68</v>
      </c>
      <c r="E281" s="252">
        <v>0.01</v>
      </c>
      <c r="F281" s="252">
        <v>0.19</v>
      </c>
      <c r="G281" s="252">
        <v>0.01</v>
      </c>
      <c r="H281" s="542"/>
      <c r="I281" s="542"/>
      <c r="J281" s="543"/>
      <c r="K281" s="543"/>
      <c r="L281" s="543"/>
      <c r="M281" s="543"/>
      <c r="N281" s="543"/>
      <c r="O281" s="543"/>
      <c r="P281" s="543"/>
    </row>
    <row r="282" spans="1:16" s="544" customFormat="1" ht="15">
      <c r="A282" s="1082" t="s">
        <v>326</v>
      </c>
      <c r="B282" s="252">
        <v>0.9</v>
      </c>
      <c r="C282" s="252">
        <v>0.36</v>
      </c>
      <c r="D282" s="252">
        <v>0.68</v>
      </c>
      <c r="E282" s="252">
        <v>0.01</v>
      </c>
      <c r="F282" s="252">
        <v>0.19</v>
      </c>
      <c r="G282" s="252">
        <v>0.01</v>
      </c>
      <c r="H282" s="542"/>
      <c r="I282" s="542"/>
      <c r="J282" s="543"/>
      <c r="K282" s="543"/>
      <c r="L282" s="543"/>
      <c r="M282" s="543"/>
      <c r="N282" s="543"/>
      <c r="O282" s="543"/>
      <c r="P282" s="543"/>
    </row>
    <row r="283" spans="1:16" s="544" customFormat="1" ht="15">
      <c r="A283" s="1082" t="s">
        <v>327</v>
      </c>
      <c r="B283" s="252">
        <v>0.9</v>
      </c>
      <c r="C283" s="252">
        <v>0.36</v>
      </c>
      <c r="D283" s="252">
        <v>0.68</v>
      </c>
      <c r="E283" s="252">
        <v>0.01</v>
      </c>
      <c r="F283" s="252">
        <v>0.19</v>
      </c>
      <c r="G283" s="252">
        <v>0.01</v>
      </c>
      <c r="H283" s="542"/>
      <c r="I283" s="542"/>
      <c r="J283" s="543"/>
      <c r="K283" s="543"/>
      <c r="L283" s="543"/>
      <c r="M283" s="543"/>
      <c r="N283" s="543"/>
      <c r="O283" s="543"/>
      <c r="P283" s="543"/>
    </row>
    <row r="284" spans="1:16" s="544" customFormat="1" ht="15">
      <c r="A284" s="1082" t="s">
        <v>328</v>
      </c>
      <c r="B284" s="252">
        <v>0.9</v>
      </c>
      <c r="C284" s="252">
        <v>0.36</v>
      </c>
      <c r="D284" s="252">
        <v>0.68</v>
      </c>
      <c r="E284" s="252">
        <v>0.01</v>
      </c>
      <c r="F284" s="252">
        <v>0.19</v>
      </c>
      <c r="G284" s="252">
        <v>0.01</v>
      </c>
      <c r="H284" s="542"/>
      <c r="I284" s="542"/>
      <c r="J284" s="543"/>
      <c r="K284" s="543"/>
      <c r="L284" s="543"/>
      <c r="M284" s="543"/>
      <c r="N284" s="543"/>
      <c r="O284" s="543"/>
      <c r="P284" s="543"/>
    </row>
    <row r="285" spans="1:16" s="544" customFormat="1" ht="15">
      <c r="A285" s="1082" t="s">
        <v>329</v>
      </c>
      <c r="B285" s="252">
        <v>0.9</v>
      </c>
      <c r="C285" s="252">
        <v>0.36</v>
      </c>
      <c r="D285" s="252">
        <v>0.68</v>
      </c>
      <c r="E285" s="252">
        <v>0.01</v>
      </c>
      <c r="F285" s="252">
        <v>0.19</v>
      </c>
      <c r="G285" s="252">
        <v>0.01</v>
      </c>
      <c r="H285" s="542"/>
      <c r="I285" s="542"/>
      <c r="J285" s="543"/>
      <c r="K285" s="543"/>
      <c r="L285" s="543"/>
      <c r="M285" s="543"/>
      <c r="N285" s="543"/>
      <c r="O285" s="543"/>
      <c r="P285" s="543"/>
    </row>
    <row r="286" spans="1:16" s="544" customFormat="1" ht="15">
      <c r="A286" s="1082" t="s">
        <v>330</v>
      </c>
      <c r="B286" s="252">
        <v>0.9</v>
      </c>
      <c r="C286" s="252">
        <v>0.36</v>
      </c>
      <c r="D286" s="252">
        <v>0.68</v>
      </c>
      <c r="E286" s="252">
        <v>0.01</v>
      </c>
      <c r="F286" s="252">
        <v>0.19</v>
      </c>
      <c r="G286" s="252">
        <v>0.01</v>
      </c>
      <c r="H286" s="542"/>
      <c r="I286" s="542"/>
      <c r="J286" s="543"/>
      <c r="K286" s="543"/>
      <c r="L286" s="543"/>
      <c r="M286" s="543"/>
      <c r="N286" s="543"/>
      <c r="O286" s="543"/>
      <c r="P286" s="543"/>
    </row>
    <row r="287" spans="1:16" s="544" customFormat="1" ht="15">
      <c r="A287" s="1082" t="s">
        <v>331</v>
      </c>
      <c r="B287" s="252">
        <v>0.91</v>
      </c>
      <c r="C287" s="252">
        <v>0.93</v>
      </c>
      <c r="D287" s="252">
        <v>1.35</v>
      </c>
      <c r="E287" s="252">
        <v>0.008</v>
      </c>
      <c r="F287" s="252">
        <v>0.19</v>
      </c>
      <c r="G287" s="252">
        <v>0.008</v>
      </c>
      <c r="H287" s="542"/>
      <c r="I287" s="542"/>
      <c r="J287" s="543"/>
      <c r="K287" s="543"/>
      <c r="L287" s="543"/>
      <c r="M287" s="543"/>
      <c r="N287" s="543"/>
      <c r="O287" s="543"/>
      <c r="P287" s="543"/>
    </row>
    <row r="288" spans="1:16" s="544" customFormat="1" ht="15">
      <c r="A288" s="1082" t="s">
        <v>302</v>
      </c>
      <c r="B288" s="252">
        <v>0.22</v>
      </c>
      <c r="C288" s="252">
        <v>0.1</v>
      </c>
      <c r="D288" s="252">
        <v>1.06</v>
      </c>
      <c r="E288" s="252">
        <v>0.019</v>
      </c>
      <c r="F288" s="252">
        <v>0.2</v>
      </c>
      <c r="G288" s="252">
        <v>0.014</v>
      </c>
      <c r="H288" s="542"/>
      <c r="I288" s="542"/>
      <c r="J288" s="543"/>
      <c r="K288" s="543"/>
      <c r="L288" s="543"/>
      <c r="M288" s="543"/>
      <c r="N288" s="543"/>
      <c r="O288" s="543"/>
      <c r="P288" s="543"/>
    </row>
    <row r="289" spans="1:16" s="544" customFormat="1" ht="15">
      <c r="A289" s="1082" t="s">
        <v>305</v>
      </c>
      <c r="B289" s="252">
        <v>0.22</v>
      </c>
      <c r="C289" s="252">
        <v>0.1</v>
      </c>
      <c r="D289" s="252">
        <v>1.06</v>
      </c>
      <c r="E289" s="252">
        <v>0.019</v>
      </c>
      <c r="F289" s="252">
        <v>0.2</v>
      </c>
      <c r="G289" s="252">
        <v>0.014</v>
      </c>
      <c r="H289" s="542"/>
      <c r="I289" s="542"/>
      <c r="J289" s="543"/>
      <c r="K289" s="543"/>
      <c r="L289" s="543"/>
      <c r="M289" s="543"/>
      <c r="N289" s="543"/>
      <c r="O289" s="543"/>
      <c r="P289" s="543"/>
    </row>
    <row r="290" spans="1:16" s="544" customFormat="1" ht="15">
      <c r="A290" s="1082" t="s">
        <v>307</v>
      </c>
      <c r="B290" s="252">
        <v>0.22</v>
      </c>
      <c r="C290" s="252">
        <v>0.1</v>
      </c>
      <c r="D290" s="252">
        <v>1.06</v>
      </c>
      <c r="E290" s="252">
        <v>0.019</v>
      </c>
      <c r="F290" s="252">
        <v>0.2</v>
      </c>
      <c r="G290" s="252">
        <v>0.014</v>
      </c>
      <c r="H290" s="542"/>
      <c r="I290" s="542"/>
      <c r="J290" s="543"/>
      <c r="K290" s="543"/>
      <c r="L290" s="543"/>
      <c r="M290" s="543"/>
      <c r="N290" s="543"/>
      <c r="O290" s="543"/>
      <c r="P290" s="543"/>
    </row>
    <row r="291" spans="1:16" s="544" customFormat="1" ht="15">
      <c r="A291" s="1082" t="s">
        <v>322</v>
      </c>
      <c r="B291" s="252">
        <v>0.9</v>
      </c>
      <c r="C291" s="252">
        <v>0.29</v>
      </c>
      <c r="D291" s="252">
        <v>0</v>
      </c>
      <c r="E291" s="252">
        <v>0.27</v>
      </c>
      <c r="F291" s="252">
        <v>0.4</v>
      </c>
      <c r="G291" s="252">
        <v>0.019</v>
      </c>
      <c r="H291" s="542"/>
      <c r="I291" s="542"/>
      <c r="J291" s="543"/>
      <c r="K291" s="543"/>
      <c r="L291" s="543"/>
      <c r="M291" s="543"/>
      <c r="N291" s="543"/>
      <c r="O291" s="543"/>
      <c r="P291" s="543"/>
    </row>
    <row r="292" spans="1:16" s="544" customFormat="1" ht="15">
      <c r="A292" s="1082" t="s">
        <v>1032</v>
      </c>
      <c r="B292" s="252">
        <v>0.94</v>
      </c>
      <c r="C292" s="1083"/>
      <c r="D292" s="1083"/>
      <c r="E292" s="1083"/>
      <c r="F292" s="1083"/>
      <c r="G292" s="1083"/>
      <c r="H292" s="542"/>
      <c r="I292" s="542"/>
      <c r="J292" s="543"/>
      <c r="K292" s="543"/>
      <c r="L292" s="543"/>
      <c r="M292" s="543"/>
      <c r="N292" s="543"/>
      <c r="O292" s="543"/>
      <c r="P292" s="543"/>
    </row>
    <row r="293" spans="1:16" s="544" customFormat="1" ht="15">
      <c r="A293" s="1082" t="s">
        <v>1033</v>
      </c>
      <c r="B293" s="252">
        <v>0.94</v>
      </c>
      <c r="C293" s="1083"/>
      <c r="D293" s="1083"/>
      <c r="E293" s="1083"/>
      <c r="F293" s="1083"/>
      <c r="G293" s="1083"/>
      <c r="H293" s="542"/>
      <c r="I293" s="542"/>
      <c r="J293" s="543"/>
      <c r="K293" s="543"/>
      <c r="L293" s="543"/>
      <c r="M293" s="543"/>
      <c r="N293" s="543"/>
      <c r="O293" s="543"/>
      <c r="P293" s="543"/>
    </row>
    <row r="294" spans="1:16" ht="15">
      <c r="A294" s="214" t="s">
        <v>386</v>
      </c>
      <c r="B294" s="251"/>
      <c r="J294" s="1"/>
      <c r="K294" s="1"/>
      <c r="L294" s="1"/>
      <c r="M294" s="1"/>
      <c r="N294" s="1"/>
      <c r="O294" s="1"/>
      <c r="P294" s="1"/>
    </row>
    <row r="295" spans="1:16" ht="15">
      <c r="A295" s="151"/>
      <c r="B295" s="151"/>
      <c r="J295" s="1"/>
      <c r="K295" s="1"/>
      <c r="L295" s="1"/>
      <c r="M295" s="1"/>
      <c r="N295" s="1"/>
      <c r="O295" s="1"/>
      <c r="P295" s="1"/>
    </row>
    <row r="296" spans="1:16" ht="15">
      <c r="A296" s="510" t="s">
        <v>390</v>
      </c>
      <c r="B296" s="511"/>
      <c r="C296" s="511"/>
      <c r="D296" s="512"/>
      <c r="E296" s="512"/>
      <c r="F296" s="512"/>
      <c r="G296" s="512"/>
      <c r="H296" s="512"/>
      <c r="I296" s="512"/>
      <c r="J296" s="1"/>
      <c r="K296" s="1"/>
      <c r="L296" s="1"/>
      <c r="M296" s="1"/>
      <c r="N296" s="1"/>
      <c r="O296" s="1"/>
      <c r="P296" s="1"/>
    </row>
    <row r="297" spans="1:16" ht="15">
      <c r="A297" s="1048" t="s">
        <v>376</v>
      </c>
      <c r="B297" s="1048" t="s">
        <v>393</v>
      </c>
      <c r="C297" s="1048" t="s">
        <v>392</v>
      </c>
      <c r="D297" s="1048" t="s">
        <v>391</v>
      </c>
      <c r="E297" s="1048" t="s">
        <v>81</v>
      </c>
      <c r="J297" s="1"/>
      <c r="K297" s="1"/>
      <c r="L297" s="1"/>
      <c r="M297" s="1"/>
      <c r="N297" s="1"/>
      <c r="O297" s="1"/>
      <c r="P297" s="1"/>
    </row>
    <row r="298" spans="1:16" ht="63.75">
      <c r="A298" s="1082" t="s">
        <v>301</v>
      </c>
      <c r="B298" s="525"/>
      <c r="C298" s="525"/>
      <c r="D298" s="525">
        <v>5.5</v>
      </c>
      <c r="E298" s="252" t="s">
        <v>1069</v>
      </c>
      <c r="G298" s="508" t="s">
        <v>989</v>
      </c>
      <c r="J298" s="1"/>
      <c r="K298" s="1"/>
      <c r="L298" s="1"/>
      <c r="M298" s="1"/>
      <c r="N298" s="1"/>
      <c r="O298" s="1"/>
      <c r="P298" s="1"/>
    </row>
    <row r="299" spans="1:16" ht="25.5">
      <c r="A299" s="1082" t="s">
        <v>303</v>
      </c>
      <c r="B299" s="525">
        <f>C373</f>
        <v>147.18545521859198</v>
      </c>
      <c r="C299" s="525"/>
      <c r="D299" s="525">
        <f>B299/365</f>
        <v>0.4032478225166904</v>
      </c>
      <c r="E299" s="252" t="s">
        <v>1020</v>
      </c>
      <c r="J299" s="1"/>
      <c r="K299" s="1"/>
      <c r="L299" s="1"/>
      <c r="M299" s="1"/>
      <c r="N299" s="1"/>
      <c r="O299" s="1"/>
      <c r="P299" s="1"/>
    </row>
    <row r="300" spans="1:16" ht="63.75">
      <c r="A300" s="1082" t="s">
        <v>332</v>
      </c>
      <c r="B300" s="525"/>
      <c r="C300" s="525"/>
      <c r="D300" s="525">
        <v>3.5</v>
      </c>
      <c r="E300" s="252" t="s">
        <v>1070</v>
      </c>
      <c r="J300" s="1"/>
      <c r="K300" s="1"/>
      <c r="L300" s="1"/>
      <c r="M300" s="1"/>
      <c r="N300" s="1"/>
      <c r="O300" s="1"/>
      <c r="P300" s="1"/>
    </row>
    <row r="301" spans="1:16" ht="63.75">
      <c r="A301" s="1082" t="s">
        <v>304</v>
      </c>
      <c r="B301" s="525"/>
      <c r="C301" s="525">
        <v>5</v>
      </c>
      <c r="D301" s="525">
        <f>C301/12</f>
        <v>0.4166666666666667</v>
      </c>
      <c r="E301" s="252" t="s">
        <v>1071</v>
      </c>
      <c r="J301" s="1"/>
      <c r="K301" s="1"/>
      <c r="L301" s="1"/>
      <c r="M301" s="1"/>
      <c r="N301" s="1"/>
      <c r="O301" s="1"/>
      <c r="P301" s="1"/>
    </row>
    <row r="302" spans="1:16" ht="63.75">
      <c r="A302" s="1082" t="s">
        <v>306</v>
      </c>
      <c r="B302" s="525"/>
      <c r="C302" s="525">
        <v>4</v>
      </c>
      <c r="D302" s="525">
        <f>C302/12</f>
        <v>0.3333333333333333</v>
      </c>
      <c r="E302" s="252" t="s">
        <v>1072</v>
      </c>
      <c r="J302" s="1"/>
      <c r="K302" s="1"/>
      <c r="L302" s="1"/>
      <c r="M302" s="1"/>
      <c r="N302" s="1"/>
      <c r="O302" s="1"/>
      <c r="P302" s="1"/>
    </row>
    <row r="303" spans="1:16" ht="63.75">
      <c r="A303" s="1082" t="s">
        <v>308</v>
      </c>
      <c r="B303" s="525"/>
      <c r="C303" s="525">
        <v>6</v>
      </c>
      <c r="D303" s="525">
        <f>C303/12</f>
        <v>0.5</v>
      </c>
      <c r="E303" s="252" t="s">
        <v>1073</v>
      </c>
      <c r="J303" s="1"/>
      <c r="K303" s="1"/>
      <c r="L303" s="1"/>
      <c r="M303" s="1"/>
      <c r="N303" s="1"/>
      <c r="O303" s="1"/>
      <c r="P303" s="1"/>
    </row>
    <row r="304" spans="1:16" ht="63.75">
      <c r="A304" s="1082" t="s">
        <v>309</v>
      </c>
      <c r="B304" s="525"/>
      <c r="C304" s="525">
        <v>7.5</v>
      </c>
      <c r="D304" s="525">
        <f>C304/12</f>
        <v>0.625</v>
      </c>
      <c r="E304" s="252" t="s">
        <v>1074</v>
      </c>
      <c r="J304" s="1"/>
      <c r="K304" s="1"/>
      <c r="L304" s="1"/>
      <c r="M304" s="1"/>
      <c r="N304" s="1"/>
      <c r="O304" s="1"/>
      <c r="P304" s="1"/>
    </row>
    <row r="305" spans="1:16" ht="63.75">
      <c r="A305" s="1082" t="s">
        <v>310</v>
      </c>
      <c r="B305" s="525">
        <v>160</v>
      </c>
      <c r="C305" s="525"/>
      <c r="D305" s="525">
        <f>B305/365</f>
        <v>0.4383561643835616</v>
      </c>
      <c r="E305" s="252" t="s">
        <v>1075</v>
      </c>
      <c r="J305" s="1"/>
      <c r="K305" s="1"/>
      <c r="L305" s="1"/>
      <c r="M305" s="1"/>
      <c r="N305" s="1"/>
      <c r="O305" s="1"/>
      <c r="P305" s="1"/>
    </row>
    <row r="306" spans="1:16" ht="51.75">
      <c r="A306" s="1082" t="s">
        <v>311</v>
      </c>
      <c r="B306" s="525"/>
      <c r="C306" s="525"/>
      <c r="D306" s="525">
        <v>1</v>
      </c>
      <c r="E306" s="1052" t="s">
        <v>650</v>
      </c>
      <c r="J306" s="1"/>
      <c r="K306" s="1"/>
      <c r="L306" s="1"/>
      <c r="M306" s="1"/>
      <c r="N306" s="1"/>
      <c r="O306" s="1"/>
      <c r="P306" s="1"/>
    </row>
    <row r="307" spans="1:16" ht="63.75">
      <c r="A307" s="1082" t="s">
        <v>312</v>
      </c>
      <c r="B307" s="525"/>
      <c r="C307" s="525">
        <v>6</v>
      </c>
      <c r="D307" s="525">
        <f>C307/12</f>
        <v>0.5</v>
      </c>
      <c r="E307" s="252" t="s">
        <v>1076</v>
      </c>
      <c r="J307" s="1"/>
      <c r="K307" s="1"/>
      <c r="L307" s="1"/>
      <c r="M307" s="1"/>
      <c r="N307" s="1"/>
      <c r="O307" s="1"/>
      <c r="P307" s="1"/>
    </row>
    <row r="308" spans="1:16" ht="63.75">
      <c r="A308" s="1082" t="s">
        <v>313</v>
      </c>
      <c r="B308" s="525"/>
      <c r="C308" s="525"/>
      <c r="D308" s="525">
        <v>9</v>
      </c>
      <c r="E308" s="252" t="s">
        <v>1077</v>
      </c>
      <c r="J308" s="1"/>
      <c r="K308" s="1"/>
      <c r="L308" s="1"/>
      <c r="M308" s="1"/>
      <c r="N308" s="1"/>
      <c r="O308" s="1"/>
      <c r="P308" s="1"/>
    </row>
    <row r="309" spans="1:16" ht="63.75">
      <c r="A309" s="1082" t="s">
        <v>314</v>
      </c>
      <c r="B309" s="525"/>
      <c r="C309" s="525">
        <v>8</v>
      </c>
      <c r="D309" s="525">
        <f>C309/12</f>
        <v>0.6666666666666666</v>
      </c>
      <c r="E309" s="252" t="s">
        <v>1078</v>
      </c>
      <c r="J309" s="1"/>
      <c r="K309" s="1"/>
      <c r="L309" s="1"/>
      <c r="M309" s="1"/>
      <c r="N309" s="1"/>
      <c r="O309" s="1"/>
      <c r="P309" s="1"/>
    </row>
    <row r="310" spans="1:16" ht="89.25">
      <c r="A310" s="1082" t="s">
        <v>315</v>
      </c>
      <c r="B310" s="525">
        <v>142.5</v>
      </c>
      <c r="C310" s="525"/>
      <c r="D310" s="525">
        <f>B310/365</f>
        <v>0.3904109589041096</v>
      </c>
      <c r="E310" s="252" t="s">
        <v>1079</v>
      </c>
      <c r="J310" s="1"/>
      <c r="K310" s="1"/>
      <c r="L310" s="1"/>
      <c r="M310" s="1"/>
      <c r="N310" s="1"/>
      <c r="O310" s="1"/>
      <c r="P310" s="1"/>
    </row>
    <row r="311" spans="1:16" ht="63.75">
      <c r="A311" s="1082" t="s">
        <v>316</v>
      </c>
      <c r="B311" s="525">
        <v>170</v>
      </c>
      <c r="C311" s="525"/>
      <c r="D311" s="525">
        <f>B311/365</f>
        <v>0.4657534246575342</v>
      </c>
      <c r="E311" s="252" t="s">
        <v>1080</v>
      </c>
      <c r="J311" s="1"/>
      <c r="K311" s="1"/>
      <c r="L311" s="1"/>
      <c r="M311" s="1"/>
      <c r="N311" s="1"/>
      <c r="O311" s="1"/>
      <c r="P311" s="1"/>
    </row>
    <row r="312" spans="1:16" ht="63.75">
      <c r="A312" s="1082" t="s">
        <v>317</v>
      </c>
      <c r="B312" s="525">
        <v>145</v>
      </c>
      <c r="C312" s="525"/>
      <c r="D312" s="525">
        <f>B312/365</f>
        <v>0.3972602739726027</v>
      </c>
      <c r="E312" s="252" t="s">
        <v>1081</v>
      </c>
      <c r="J312" s="1"/>
      <c r="K312" s="1"/>
      <c r="L312" s="1"/>
      <c r="M312" s="1"/>
      <c r="N312" s="1"/>
      <c r="O312" s="1"/>
      <c r="P312" s="1"/>
    </row>
    <row r="313" spans="1:16" ht="76.5">
      <c r="A313" s="1082" t="s">
        <v>318</v>
      </c>
      <c r="B313" s="525"/>
      <c r="C313" s="525"/>
      <c r="D313" s="525">
        <v>25</v>
      </c>
      <c r="E313" s="252" t="s">
        <v>1082</v>
      </c>
      <c r="J313" s="1"/>
      <c r="K313" s="1"/>
      <c r="L313" s="1"/>
      <c r="M313" s="1"/>
      <c r="N313" s="1"/>
      <c r="O313" s="1"/>
      <c r="P313" s="1"/>
    </row>
    <row r="314" spans="1:16" ht="102.75">
      <c r="A314" s="1082" t="s">
        <v>319</v>
      </c>
      <c r="B314" s="525"/>
      <c r="C314" s="525"/>
      <c r="D314" s="525">
        <v>30</v>
      </c>
      <c r="E314" s="1052" t="s">
        <v>1133</v>
      </c>
      <c r="J314" s="1"/>
      <c r="K314" s="1"/>
      <c r="L314" s="1"/>
      <c r="M314" s="1"/>
      <c r="N314" s="1"/>
      <c r="O314" s="1"/>
      <c r="P314" s="1"/>
    </row>
    <row r="315" spans="1:16" ht="102.75">
      <c r="A315" s="1082" t="s">
        <v>320</v>
      </c>
      <c r="B315" s="525"/>
      <c r="C315" s="525"/>
      <c r="D315" s="525">
        <v>50</v>
      </c>
      <c r="E315" s="1052" t="s">
        <v>1134</v>
      </c>
      <c r="J315" s="1"/>
      <c r="K315" s="1"/>
      <c r="L315" s="1"/>
      <c r="M315" s="1"/>
      <c r="N315" s="1"/>
      <c r="O315" s="1"/>
      <c r="P315" s="1"/>
    </row>
    <row r="316" spans="1:16" ht="76.5">
      <c r="A316" s="1082" t="s">
        <v>323</v>
      </c>
      <c r="B316" s="525"/>
      <c r="C316" s="525">
        <v>5.5</v>
      </c>
      <c r="D316" s="525">
        <f>C316/12</f>
        <v>0.4583333333333333</v>
      </c>
      <c r="E316" s="252" t="s">
        <v>1083</v>
      </c>
      <c r="J316" s="1"/>
      <c r="K316" s="1"/>
      <c r="L316" s="1"/>
      <c r="M316" s="1"/>
      <c r="N316" s="1"/>
      <c r="O316" s="1"/>
      <c r="P316" s="1"/>
    </row>
    <row r="317" spans="1:16" ht="76.5">
      <c r="A317" s="1082" t="s">
        <v>324</v>
      </c>
      <c r="B317" s="525"/>
      <c r="C317" s="525">
        <v>5.5</v>
      </c>
      <c r="D317" s="525">
        <f>C317/12</f>
        <v>0.4583333333333333</v>
      </c>
      <c r="E317" s="252" t="s">
        <v>1084</v>
      </c>
      <c r="J317" s="1"/>
      <c r="K317" s="1"/>
      <c r="L317" s="1"/>
      <c r="M317" s="1"/>
      <c r="N317" s="1"/>
      <c r="O317" s="1"/>
      <c r="P317" s="1"/>
    </row>
    <row r="318" spans="1:16" ht="63.75">
      <c r="A318" s="1082" t="s">
        <v>325</v>
      </c>
      <c r="B318" s="525"/>
      <c r="C318" s="525">
        <v>7</v>
      </c>
      <c r="D318" s="525">
        <f>C318/12</f>
        <v>0.5833333333333334</v>
      </c>
      <c r="E318" s="252" t="s">
        <v>1085</v>
      </c>
      <c r="J318" s="1"/>
      <c r="K318" s="1"/>
      <c r="L318" s="1"/>
      <c r="M318" s="1"/>
      <c r="N318" s="1"/>
      <c r="O318" s="1"/>
      <c r="P318" s="1"/>
    </row>
    <row r="319" spans="1:16" ht="76.5">
      <c r="A319" s="1082" t="s">
        <v>326</v>
      </c>
      <c r="B319" s="525"/>
      <c r="C319" s="525">
        <v>5.5</v>
      </c>
      <c r="D319" s="525">
        <f>C319/12</f>
        <v>0.4583333333333333</v>
      </c>
      <c r="E319" s="252" t="s">
        <v>1086</v>
      </c>
      <c r="J319" s="1"/>
      <c r="K319" s="1"/>
      <c r="L319" s="1"/>
      <c r="M319" s="1"/>
      <c r="N319" s="1"/>
      <c r="O319" s="1"/>
      <c r="P319" s="1"/>
    </row>
    <row r="320" spans="1:16" ht="76.5">
      <c r="A320" s="1082" t="s">
        <v>327</v>
      </c>
      <c r="B320" s="525">
        <v>140</v>
      </c>
      <c r="C320" s="525"/>
      <c r="D320" s="525">
        <f>B320/365</f>
        <v>0.3835616438356164</v>
      </c>
      <c r="E320" s="252" t="s">
        <v>1087</v>
      </c>
      <c r="J320" s="1"/>
      <c r="K320" s="1"/>
      <c r="L320" s="1"/>
      <c r="M320" s="1"/>
      <c r="N320" s="1"/>
      <c r="O320" s="1"/>
      <c r="P320" s="1"/>
    </row>
    <row r="321" spans="1:16" ht="76.5">
      <c r="A321" s="1082" t="s">
        <v>328</v>
      </c>
      <c r="B321" s="525">
        <v>90</v>
      </c>
      <c r="C321" s="525"/>
      <c r="D321" s="525">
        <f>B321/365</f>
        <v>0.2465753424657534</v>
      </c>
      <c r="E321" s="252" t="s">
        <v>1088</v>
      </c>
      <c r="J321" s="1"/>
      <c r="K321" s="1"/>
      <c r="L321" s="1"/>
      <c r="M321" s="1"/>
      <c r="N321" s="1"/>
      <c r="O321" s="1"/>
      <c r="P321" s="1"/>
    </row>
    <row r="322" spans="1:16" ht="76.5">
      <c r="A322" s="1082" t="s">
        <v>329</v>
      </c>
      <c r="B322" s="525"/>
      <c r="C322" s="525">
        <v>8.5</v>
      </c>
      <c r="D322" s="525">
        <f>C322/12</f>
        <v>0.7083333333333334</v>
      </c>
      <c r="E322" s="252" t="s">
        <v>1089</v>
      </c>
      <c r="J322" s="1"/>
      <c r="K322" s="1"/>
      <c r="L322" s="1"/>
      <c r="M322" s="1"/>
      <c r="N322" s="1"/>
      <c r="O322" s="1"/>
      <c r="P322" s="1"/>
    </row>
    <row r="323" spans="1:16" ht="76.5">
      <c r="A323" s="1082" t="s">
        <v>330</v>
      </c>
      <c r="B323" s="525">
        <v>110</v>
      </c>
      <c r="C323" s="525"/>
      <c r="D323" s="525">
        <f>B323/365</f>
        <v>0.3013698630136986</v>
      </c>
      <c r="E323" s="252" t="s">
        <v>1086</v>
      </c>
      <c r="J323" s="1"/>
      <c r="K323" s="1"/>
      <c r="L323" s="1"/>
      <c r="M323" s="1"/>
      <c r="N323" s="1"/>
      <c r="O323" s="1"/>
      <c r="P323" s="1"/>
    </row>
    <row r="324" spans="1:16" ht="51.75">
      <c r="A324" s="1082" t="s">
        <v>331</v>
      </c>
      <c r="B324" s="525"/>
      <c r="C324" s="525">
        <v>6</v>
      </c>
      <c r="D324" s="525">
        <f>C324/12</f>
        <v>0.5</v>
      </c>
      <c r="E324" s="1052" t="s">
        <v>650</v>
      </c>
      <c r="J324" s="1"/>
      <c r="K324" s="1"/>
      <c r="L324" s="1"/>
      <c r="M324" s="1"/>
      <c r="N324" s="1"/>
      <c r="O324" s="1"/>
      <c r="P324" s="1"/>
    </row>
    <row r="325" spans="1:16" ht="63.75">
      <c r="A325" s="1082" t="s">
        <v>302</v>
      </c>
      <c r="B325" s="525">
        <v>150</v>
      </c>
      <c r="C325" s="525"/>
      <c r="D325" s="525">
        <f>B325/365</f>
        <v>0.410958904109589</v>
      </c>
      <c r="E325" s="252" t="s">
        <v>1090</v>
      </c>
      <c r="J325" s="1"/>
      <c r="K325" s="1"/>
      <c r="L325" s="1"/>
      <c r="M325" s="1"/>
      <c r="N325" s="1"/>
      <c r="O325" s="1"/>
      <c r="P325" s="1"/>
    </row>
    <row r="326" spans="1:16" ht="51.75">
      <c r="A326" s="1082" t="s">
        <v>305</v>
      </c>
      <c r="B326" s="525"/>
      <c r="C326" s="525">
        <f>(4+10)/2</f>
        <v>7</v>
      </c>
      <c r="D326" s="525">
        <f>C326/12</f>
        <v>0.5833333333333334</v>
      </c>
      <c r="E326" s="1052" t="s">
        <v>650</v>
      </c>
      <c r="J326" s="1"/>
      <c r="K326" s="1"/>
      <c r="L326" s="1"/>
      <c r="M326" s="1"/>
      <c r="N326" s="1"/>
      <c r="O326" s="1"/>
      <c r="P326" s="1"/>
    </row>
    <row r="327" spans="1:16" ht="64.5">
      <c r="A327" s="1082" t="s">
        <v>307</v>
      </c>
      <c r="B327" s="525"/>
      <c r="C327" s="525">
        <v>5</v>
      </c>
      <c r="D327" s="525">
        <f>C327/12</f>
        <v>0.4166666666666667</v>
      </c>
      <c r="E327" s="1052" t="s">
        <v>1091</v>
      </c>
      <c r="J327" s="1"/>
      <c r="K327" s="1"/>
      <c r="L327" s="1"/>
      <c r="M327" s="1"/>
      <c r="N327" s="1"/>
      <c r="O327" s="1"/>
      <c r="P327" s="1"/>
    </row>
    <row r="328" spans="1:16" ht="89.25">
      <c r="A328" s="1082" t="s">
        <v>322</v>
      </c>
      <c r="B328" s="525"/>
      <c r="C328" s="525"/>
      <c r="D328" s="525">
        <v>6</v>
      </c>
      <c r="E328" s="252" t="s">
        <v>1092</v>
      </c>
      <c r="J328" s="1"/>
      <c r="K328" s="1"/>
      <c r="L328" s="1"/>
      <c r="M328" s="1"/>
      <c r="N328" s="1"/>
      <c r="O328" s="1"/>
      <c r="P328" s="1"/>
    </row>
    <row r="330" spans="1:9" ht="15">
      <c r="A330" s="510" t="s">
        <v>462</v>
      </c>
      <c r="B330" s="511"/>
      <c r="C330" s="511"/>
      <c r="D330" s="512"/>
      <c r="E330" s="512"/>
      <c r="F330" s="512"/>
      <c r="G330" s="512"/>
      <c r="H330" s="512"/>
      <c r="I330" s="512"/>
    </row>
    <row r="331" spans="1:6" ht="25.5">
      <c r="A331" s="1048" t="s">
        <v>169</v>
      </c>
      <c r="B331" s="1048" t="s">
        <v>183</v>
      </c>
      <c r="C331" s="1048" t="s">
        <v>184</v>
      </c>
      <c r="D331" s="1048" t="s">
        <v>187</v>
      </c>
      <c r="E331" s="1048" t="s">
        <v>188</v>
      </c>
      <c r="F331" s="1048" t="s">
        <v>189</v>
      </c>
    </row>
    <row r="332" spans="1:8" ht="15">
      <c r="A332" s="1063" t="s">
        <v>161</v>
      </c>
      <c r="B332" s="245">
        <v>0.07</v>
      </c>
      <c r="C332" s="245">
        <v>0.3</v>
      </c>
      <c r="D332" s="245"/>
      <c r="E332" s="245"/>
      <c r="F332" s="245"/>
      <c r="H332" s="508" t="s">
        <v>989</v>
      </c>
    </row>
    <row r="333" spans="1:6" ht="15">
      <c r="A333" s="1063" t="s">
        <v>564</v>
      </c>
      <c r="B333" s="245"/>
      <c r="C333" s="245">
        <v>0.45</v>
      </c>
      <c r="D333" s="245"/>
      <c r="E333" s="245"/>
      <c r="F333" s="245"/>
    </row>
    <row r="334" spans="1:6" ht="15">
      <c r="A334" s="1063" t="s">
        <v>46</v>
      </c>
      <c r="B334" s="245"/>
      <c r="C334" s="245">
        <v>0.12</v>
      </c>
      <c r="D334" s="245"/>
      <c r="E334" s="245"/>
      <c r="F334" s="245"/>
    </row>
    <row r="335" spans="1:6" ht="15">
      <c r="A335" s="1063" t="s">
        <v>45</v>
      </c>
      <c r="B335" s="245"/>
      <c r="C335" s="245">
        <v>0.12</v>
      </c>
      <c r="D335" s="245"/>
      <c r="E335" s="245"/>
      <c r="F335" s="245"/>
    </row>
    <row r="336" spans="1:6" ht="15">
      <c r="A336" s="1063" t="s">
        <v>72</v>
      </c>
      <c r="B336" s="245"/>
      <c r="C336" s="245">
        <v>0.12</v>
      </c>
      <c r="D336" s="245"/>
      <c r="E336" s="245"/>
      <c r="F336" s="245"/>
    </row>
    <row r="337" spans="1:6" ht="15">
      <c r="A337" s="1063" t="s">
        <v>150</v>
      </c>
      <c r="B337" s="245"/>
      <c r="C337" s="245">
        <v>0.12</v>
      </c>
      <c r="D337" s="245"/>
      <c r="E337" s="245"/>
      <c r="F337" s="245"/>
    </row>
    <row r="338" spans="1:6" ht="15">
      <c r="A338" s="1063" t="s">
        <v>47</v>
      </c>
      <c r="B338" s="245"/>
      <c r="C338" s="245">
        <v>0.45</v>
      </c>
      <c r="D338" s="245"/>
      <c r="E338" s="245"/>
      <c r="F338" s="245"/>
    </row>
    <row r="339" spans="1:6" ht="15">
      <c r="A339" s="1063" t="s">
        <v>43</v>
      </c>
      <c r="B339" s="245"/>
      <c r="C339" s="245">
        <v>0.12</v>
      </c>
      <c r="D339" s="245"/>
      <c r="E339" s="245"/>
      <c r="F339" s="245"/>
    </row>
    <row r="340" spans="1:6" ht="15">
      <c r="A340" s="1063" t="s">
        <v>44</v>
      </c>
      <c r="B340" s="245"/>
      <c r="C340" s="245">
        <v>0.12</v>
      </c>
      <c r="D340" s="245"/>
      <c r="E340" s="245"/>
      <c r="F340" s="245"/>
    </row>
    <row r="341" spans="1:6" ht="15">
      <c r="A341" s="1063" t="s">
        <v>42</v>
      </c>
      <c r="B341" s="245"/>
      <c r="C341" s="245"/>
      <c r="D341" s="245"/>
      <c r="E341" s="245">
        <v>0.4</v>
      </c>
      <c r="F341" s="245">
        <v>0.55</v>
      </c>
    </row>
    <row r="342" spans="1:6" ht="15">
      <c r="A342" s="1063" t="s">
        <v>74</v>
      </c>
      <c r="B342" s="245"/>
      <c r="C342" s="245">
        <v>0.12</v>
      </c>
      <c r="D342" s="245"/>
      <c r="E342" s="245"/>
      <c r="F342" s="245"/>
    </row>
    <row r="343" ht="15">
      <c r="A343" s="214" t="s">
        <v>201</v>
      </c>
    </row>
    <row r="345" spans="1:9" ht="15">
      <c r="A345" s="510" t="s">
        <v>461</v>
      </c>
      <c r="B345" s="511"/>
      <c r="C345" s="511"/>
      <c r="D345" s="512"/>
      <c r="E345" s="512"/>
      <c r="F345" s="512"/>
      <c r="G345" s="512"/>
      <c r="H345" s="512"/>
      <c r="I345" s="512"/>
    </row>
    <row r="346" spans="1:6" ht="25.5">
      <c r="A346" s="1048" t="s">
        <v>169</v>
      </c>
      <c r="B346" s="1048" t="s">
        <v>1024</v>
      </c>
      <c r="C346" s="1048" t="s">
        <v>1025</v>
      </c>
      <c r="D346" s="1048" t="s">
        <v>1026</v>
      </c>
      <c r="E346" s="1048" t="s">
        <v>1027</v>
      </c>
      <c r="F346" s="1048" t="s">
        <v>1028</v>
      </c>
    </row>
    <row r="347" spans="1:8" ht="15">
      <c r="A347" s="1063" t="s">
        <v>161</v>
      </c>
      <c r="B347" s="1084">
        <v>22</v>
      </c>
      <c r="C347" s="1084">
        <v>40</v>
      </c>
      <c r="D347" s="1084"/>
      <c r="E347" s="1084"/>
      <c r="F347" s="1084"/>
      <c r="H347" s="508" t="s">
        <v>989</v>
      </c>
    </row>
    <row r="348" spans="1:6" ht="15">
      <c r="A348" s="1063" t="s">
        <v>564</v>
      </c>
      <c r="B348" s="1084"/>
      <c r="C348" s="1084">
        <v>50</v>
      </c>
      <c r="D348" s="1084"/>
      <c r="E348" s="1084"/>
      <c r="F348" s="1084"/>
    </row>
    <row r="349" spans="1:6" ht="15">
      <c r="A349" s="1063" t="s">
        <v>46</v>
      </c>
      <c r="B349" s="1084"/>
      <c r="C349" s="1084">
        <v>15</v>
      </c>
      <c r="D349" s="1084"/>
      <c r="E349" s="1084"/>
      <c r="F349" s="1084"/>
    </row>
    <row r="350" spans="1:6" ht="15">
      <c r="A350" s="1063" t="s">
        <v>45</v>
      </c>
      <c r="B350" s="1084"/>
      <c r="C350" s="1084">
        <v>15</v>
      </c>
      <c r="D350" s="1084"/>
      <c r="E350" s="1084"/>
      <c r="F350" s="1084"/>
    </row>
    <row r="351" spans="1:6" ht="15">
      <c r="A351" s="1063" t="s">
        <v>72</v>
      </c>
      <c r="B351" s="1084"/>
      <c r="C351" s="1084">
        <v>15</v>
      </c>
      <c r="D351" s="1084"/>
      <c r="E351" s="1084"/>
      <c r="F351" s="1084"/>
    </row>
    <row r="352" spans="1:6" ht="15">
      <c r="A352" s="1063" t="s">
        <v>150</v>
      </c>
      <c r="B352" s="1084"/>
      <c r="C352" s="1084">
        <v>15</v>
      </c>
      <c r="D352" s="1084"/>
      <c r="E352" s="1084"/>
      <c r="F352" s="1084"/>
    </row>
    <row r="353" spans="1:6" ht="15">
      <c r="A353" s="1063" t="s">
        <v>47</v>
      </c>
      <c r="B353" s="1084"/>
      <c r="C353" s="1084">
        <v>50</v>
      </c>
      <c r="D353" s="1084"/>
      <c r="E353" s="1084"/>
      <c r="F353" s="1084"/>
    </row>
    <row r="354" spans="1:6" ht="15">
      <c r="A354" s="1063" t="s">
        <v>43</v>
      </c>
      <c r="B354" s="1084"/>
      <c r="C354" s="1084">
        <v>15</v>
      </c>
      <c r="D354" s="1084"/>
      <c r="E354" s="1084"/>
      <c r="F354" s="1084"/>
    </row>
    <row r="355" spans="1:6" ht="15">
      <c r="A355" s="1063" t="s">
        <v>44</v>
      </c>
      <c r="B355" s="1084"/>
      <c r="C355" s="1084">
        <v>15</v>
      </c>
      <c r="D355" s="1084"/>
      <c r="E355" s="1084"/>
      <c r="F355" s="1084"/>
    </row>
    <row r="356" spans="1:6" ht="15">
      <c r="A356" s="1063" t="s">
        <v>42</v>
      </c>
      <c r="B356" s="1084"/>
      <c r="C356" s="1084"/>
      <c r="D356" s="1084"/>
      <c r="E356" s="1084">
        <v>50</v>
      </c>
      <c r="F356" s="1084">
        <v>55.00000000000001</v>
      </c>
    </row>
    <row r="357" spans="1:6" ht="15">
      <c r="A357" s="1063" t="s">
        <v>74</v>
      </c>
      <c r="B357" s="1084"/>
      <c r="C357" s="1084">
        <v>15</v>
      </c>
      <c r="D357" s="1084"/>
      <c r="E357" s="1084"/>
      <c r="F357" s="1084"/>
    </row>
    <row r="358" ht="15">
      <c r="A358" s="214" t="s">
        <v>202</v>
      </c>
    </row>
    <row r="359" spans="1:4" ht="15">
      <c r="A359" s="226"/>
      <c r="B359" s="226"/>
      <c r="C359" s="226"/>
      <c r="D359" s="226"/>
    </row>
    <row r="360" spans="1:9" ht="15">
      <c r="A360" s="510" t="s">
        <v>418</v>
      </c>
      <c r="B360" s="511"/>
      <c r="C360" s="511"/>
      <c r="D360" s="512"/>
      <c r="E360" s="512"/>
      <c r="F360" s="512"/>
      <c r="G360" s="512"/>
      <c r="H360" s="512"/>
      <c r="I360" s="512"/>
    </row>
    <row r="361" spans="1:8" ht="25.5">
      <c r="A361" s="1274" t="s">
        <v>451</v>
      </c>
      <c r="B361" s="1275"/>
      <c r="C361" s="1213"/>
      <c r="D361" s="1048" t="s">
        <v>499</v>
      </c>
      <c r="E361" s="1048" t="s">
        <v>500</v>
      </c>
      <c r="F361" s="1048" t="s">
        <v>501</v>
      </c>
      <c r="G361" s="1048" t="s">
        <v>502</v>
      </c>
      <c r="H361" s="1048" t="s">
        <v>81</v>
      </c>
    </row>
    <row r="362" spans="1:10" ht="15">
      <c r="A362" s="1271" t="s">
        <v>452</v>
      </c>
      <c r="B362" s="1272"/>
      <c r="C362" s="1273"/>
      <c r="D362" s="1085"/>
      <c r="E362" s="1085"/>
      <c r="F362" s="1085"/>
      <c r="G362" s="1085"/>
      <c r="H362" s="1230" t="s">
        <v>1020</v>
      </c>
      <c r="J362" s="508" t="s">
        <v>989</v>
      </c>
    </row>
    <row r="363" spans="1:8" ht="15">
      <c r="A363" s="1270" t="s">
        <v>453</v>
      </c>
      <c r="B363" s="1270" t="s">
        <v>454</v>
      </c>
      <c r="C363" s="1270"/>
      <c r="D363" s="1085">
        <v>0</v>
      </c>
      <c r="E363" s="1085">
        <v>0</v>
      </c>
      <c r="F363" s="1085">
        <v>0</v>
      </c>
      <c r="G363" s="1085">
        <v>0</v>
      </c>
      <c r="H363" s="1231"/>
    </row>
    <row r="364" spans="1:8" ht="15">
      <c r="A364" s="1270"/>
      <c r="B364" s="1270" t="s">
        <v>455</v>
      </c>
      <c r="C364" s="1086" t="s">
        <v>456</v>
      </c>
      <c r="D364" s="1085">
        <v>0.39</v>
      </c>
      <c r="E364" s="1085">
        <v>0</v>
      </c>
      <c r="F364" s="1085">
        <v>0</v>
      </c>
      <c r="G364" s="1085">
        <v>0</v>
      </c>
      <c r="H364" s="1231"/>
    </row>
    <row r="365" spans="1:8" ht="15">
      <c r="A365" s="1270"/>
      <c r="B365" s="1270"/>
      <c r="C365" s="1086" t="s">
        <v>457</v>
      </c>
      <c r="D365" s="1085">
        <v>0.4</v>
      </c>
      <c r="E365" s="1085">
        <v>1</v>
      </c>
      <c r="F365" s="1085">
        <v>1</v>
      </c>
      <c r="G365" s="1085">
        <v>1</v>
      </c>
      <c r="H365" s="1231"/>
    </row>
    <row r="366" spans="1:8" ht="15">
      <c r="A366" s="1270" t="s">
        <v>458</v>
      </c>
      <c r="B366" s="1270" t="s">
        <v>425</v>
      </c>
      <c r="C366" s="1270"/>
      <c r="D366" s="1085">
        <v>0.03</v>
      </c>
      <c r="E366" s="1085">
        <v>0</v>
      </c>
      <c r="F366" s="1085">
        <v>0</v>
      </c>
      <c r="G366" s="1085">
        <v>0</v>
      </c>
      <c r="H366" s="1231"/>
    </row>
    <row r="367" spans="1:8" ht="15">
      <c r="A367" s="1270"/>
      <c r="B367" s="1270" t="s">
        <v>426</v>
      </c>
      <c r="C367" s="1270"/>
      <c r="D367" s="1085">
        <v>0.03</v>
      </c>
      <c r="E367" s="1085">
        <v>0</v>
      </c>
      <c r="F367" s="1085">
        <v>0</v>
      </c>
      <c r="G367" s="1085">
        <v>0</v>
      </c>
      <c r="H367" s="1231"/>
    </row>
    <row r="368" spans="1:8" ht="15">
      <c r="A368" s="1270" t="s">
        <v>427</v>
      </c>
      <c r="B368" s="1270" t="s">
        <v>459</v>
      </c>
      <c r="C368" s="1270"/>
      <c r="D368" s="1085">
        <v>0.15</v>
      </c>
      <c r="E368" s="1085">
        <v>0</v>
      </c>
      <c r="F368" s="1085">
        <v>0</v>
      </c>
      <c r="G368" s="1085">
        <v>0</v>
      </c>
      <c r="H368" s="1231"/>
    </row>
    <row r="369" spans="1:8" ht="15">
      <c r="A369" s="1270"/>
      <c r="B369" s="1270" t="s">
        <v>460</v>
      </c>
      <c r="C369" s="1270"/>
      <c r="D369" s="1085"/>
      <c r="E369" s="1085"/>
      <c r="F369" s="1085"/>
      <c r="G369" s="1085"/>
      <c r="H369" s="1232"/>
    </row>
    <row r="370" spans="1:9" s="6" customFormat="1" ht="12.75">
      <c r="A370" s="226"/>
      <c r="B370" s="226"/>
      <c r="C370" s="226"/>
      <c r="D370" s="226"/>
      <c r="E370" s="226"/>
      <c r="F370" s="226"/>
      <c r="G370" s="224"/>
      <c r="H370" s="224"/>
      <c r="I370" s="224"/>
    </row>
    <row r="371" spans="1:9" s="6" customFormat="1" ht="12.75">
      <c r="A371" s="510" t="s">
        <v>432</v>
      </c>
      <c r="B371" s="511"/>
      <c r="C371" s="511"/>
      <c r="D371" s="512"/>
      <c r="E371" s="512"/>
      <c r="F371" s="512"/>
      <c r="G371" s="512"/>
      <c r="H371" s="512"/>
      <c r="I371" s="512"/>
    </row>
    <row r="372" spans="1:9" s="6" customFormat="1" ht="12.75">
      <c r="A372" s="1087" t="s">
        <v>429</v>
      </c>
      <c r="B372" s="1087" t="s">
        <v>503</v>
      </c>
      <c r="C372" s="1087" t="s">
        <v>433</v>
      </c>
      <c r="D372" s="1087" t="s">
        <v>430</v>
      </c>
      <c r="E372" s="226"/>
      <c r="F372" s="226"/>
      <c r="G372" s="224"/>
      <c r="H372" s="224"/>
      <c r="I372" s="224"/>
    </row>
    <row r="373" spans="1:9" s="6" customFormat="1" ht="15" customHeight="1">
      <c r="A373" s="1088" t="s">
        <v>497</v>
      </c>
      <c r="B373" s="1089"/>
      <c r="C373" s="1090">
        <f>B374*C374+B375*C375+B376*C376+B377*C377</f>
        <v>147.18545521859198</v>
      </c>
      <c r="D373" s="1263" t="s">
        <v>1020</v>
      </c>
      <c r="E373" s="224"/>
      <c r="F373" s="508" t="s">
        <v>989</v>
      </c>
      <c r="G373" s="224"/>
      <c r="H373" s="224"/>
      <c r="I373" s="224"/>
    </row>
    <row r="374" spans="1:9" s="6" customFormat="1" ht="12.75" customHeight="1">
      <c r="A374" s="1089" t="s">
        <v>504</v>
      </c>
      <c r="B374" s="1091">
        <f>'3C7 INFO PROC'!B4/'3C7 INFO PROC'!$B$3</f>
        <v>0.4354258229972066</v>
      </c>
      <c r="C374" s="1092">
        <v>138.33333333333334</v>
      </c>
      <c r="D374" s="1264"/>
      <c r="E374" s="224"/>
      <c r="F374" s="226"/>
      <c r="G374" s="224"/>
      <c r="H374" s="224"/>
      <c r="I374" s="224"/>
    </row>
    <row r="375" spans="1:9" s="6" customFormat="1" ht="12.75">
      <c r="A375" s="1089" t="s">
        <v>505</v>
      </c>
      <c r="B375" s="1091">
        <f>'3C7 INFO PROC'!B14/'3C7 INFO PROC'!$B$3</f>
        <v>0.10826953694787923</v>
      </c>
      <c r="C375" s="1092">
        <v>120</v>
      </c>
      <c r="D375" s="1264"/>
      <c r="E375" s="224"/>
      <c r="F375" s="226"/>
      <c r="G375" s="224"/>
      <c r="H375" s="224"/>
      <c r="I375" s="224"/>
    </row>
    <row r="376" spans="1:9" s="6" customFormat="1" ht="12.75">
      <c r="A376" s="1089" t="s">
        <v>506</v>
      </c>
      <c r="B376" s="1091">
        <f>'3C7 INFO PROC'!B18/'3C7 INFO PROC'!$B$3</f>
        <v>0.4087814969825819</v>
      </c>
      <c r="C376" s="1092">
        <v>160</v>
      </c>
      <c r="D376" s="1264"/>
      <c r="E376" s="224"/>
      <c r="F376" s="226"/>
      <c r="G376" s="224"/>
      <c r="H376" s="224"/>
      <c r="I376" s="224"/>
    </row>
    <row r="377" spans="1:9" s="6" customFormat="1" ht="12.75">
      <c r="A377" s="1089" t="s">
        <v>507</v>
      </c>
      <c r="B377" s="1091">
        <f>'3C7 INFO PROC'!B24/'3C7 INFO PROC'!$B$3</f>
        <v>0.04752314307233223</v>
      </c>
      <c r="C377" s="1092">
        <v>180</v>
      </c>
      <c r="D377" s="1265"/>
      <c r="E377" s="224"/>
      <c r="F377" s="226"/>
      <c r="G377" s="224"/>
      <c r="H377" s="224"/>
      <c r="I377" s="224"/>
    </row>
    <row r="379" spans="1:9" s="6" customFormat="1" ht="12.75">
      <c r="A379" s="510" t="s">
        <v>992</v>
      </c>
      <c r="B379" s="511"/>
      <c r="C379" s="511"/>
      <c r="D379" s="512"/>
      <c r="E379" s="512"/>
      <c r="F379" s="512"/>
      <c r="G379" s="512"/>
      <c r="H379" s="512"/>
      <c r="I379" s="512"/>
    </row>
    <row r="380" spans="1:6" s="6" customFormat="1" ht="14.25">
      <c r="A380" s="1087" t="s">
        <v>434</v>
      </c>
      <c r="B380" s="1087"/>
      <c r="C380" s="1087" t="s">
        <v>811</v>
      </c>
      <c r="D380" s="1087" t="s">
        <v>430</v>
      </c>
      <c r="E380" s="226"/>
      <c r="F380" s="226"/>
    </row>
    <row r="381" spans="1:6" s="6" customFormat="1" ht="15" customHeight="1">
      <c r="A381" s="1241" t="s">
        <v>419</v>
      </c>
      <c r="B381" s="1242"/>
      <c r="C381" s="1093">
        <v>0</v>
      </c>
      <c r="D381" s="1253" t="s">
        <v>679</v>
      </c>
      <c r="E381" s="226"/>
      <c r="F381" s="508" t="s">
        <v>989</v>
      </c>
    </row>
    <row r="382" spans="1:6" s="6" customFormat="1" ht="25.5">
      <c r="A382" s="1243" t="s">
        <v>420</v>
      </c>
      <c r="B382" s="1094" t="s">
        <v>421</v>
      </c>
      <c r="C382" s="1093">
        <v>1</v>
      </c>
      <c r="D382" s="1254"/>
      <c r="E382" s="226"/>
      <c r="F382" s="226"/>
    </row>
    <row r="383" spans="1:6" s="6" customFormat="1" ht="25.5">
      <c r="A383" s="1243"/>
      <c r="B383" s="1095" t="s">
        <v>422</v>
      </c>
      <c r="C383" s="1093">
        <v>0.71</v>
      </c>
      <c r="D383" s="1254"/>
      <c r="E383" s="226"/>
      <c r="F383" s="226"/>
    </row>
    <row r="384" spans="1:6" s="6" customFormat="1" ht="25.5">
      <c r="A384" s="1243"/>
      <c r="B384" s="1095" t="s">
        <v>423</v>
      </c>
      <c r="C384" s="1093">
        <v>0.55</v>
      </c>
      <c r="D384" s="1254"/>
      <c r="E384" s="226"/>
      <c r="F384" s="226"/>
    </row>
    <row r="385" spans="1:6" s="6" customFormat="1" ht="25.5">
      <c r="A385" s="1244" t="s">
        <v>424</v>
      </c>
      <c r="B385" s="1094" t="s">
        <v>435</v>
      </c>
      <c r="C385" s="1093">
        <v>0.54</v>
      </c>
      <c r="D385" s="1254"/>
      <c r="E385" s="226"/>
      <c r="F385" s="226"/>
    </row>
    <row r="386" spans="1:6" s="6" customFormat="1" ht="25.5">
      <c r="A386" s="1245"/>
      <c r="B386" s="1094" t="s">
        <v>436</v>
      </c>
      <c r="C386" s="1093">
        <v>0.16</v>
      </c>
      <c r="D386" s="1254"/>
      <c r="E386" s="226"/>
      <c r="F386" s="226"/>
    </row>
    <row r="387" spans="1:6" s="6" customFormat="1" ht="12.75">
      <c r="A387" s="1246"/>
      <c r="B387" s="1094" t="s">
        <v>427</v>
      </c>
      <c r="C387" s="1093">
        <v>0.06</v>
      </c>
      <c r="D387" s="1255"/>
      <c r="E387" s="226"/>
      <c r="F387" s="226"/>
    </row>
    <row r="388" spans="1:6" s="6" customFormat="1" ht="12.75">
      <c r="A388" s="226"/>
      <c r="B388" s="226"/>
      <c r="C388" s="226"/>
      <c r="D388" s="226"/>
      <c r="E388" s="226"/>
      <c r="F388" s="226"/>
    </row>
    <row r="389" spans="1:9" s="6" customFormat="1" ht="12.75">
      <c r="A389" s="510" t="s">
        <v>993</v>
      </c>
      <c r="B389" s="511"/>
      <c r="C389" s="511"/>
      <c r="D389" s="512"/>
      <c r="E389" s="512"/>
      <c r="F389" s="512"/>
      <c r="G389" s="512"/>
      <c r="H389" s="512"/>
      <c r="I389" s="512"/>
    </row>
    <row r="390" spans="1:6" s="6" customFormat="1" ht="12.75">
      <c r="A390" s="1247" t="s">
        <v>437</v>
      </c>
      <c r="B390" s="1248"/>
      <c r="C390" s="1251" t="s">
        <v>438</v>
      </c>
      <c r="D390" s="1252"/>
      <c r="E390" s="1240" t="s">
        <v>430</v>
      </c>
      <c r="F390" s="226"/>
    </row>
    <row r="391" spans="1:6" s="6" customFormat="1" ht="12.75">
      <c r="A391" s="1249"/>
      <c r="B391" s="1250"/>
      <c r="C391" s="1096" t="s">
        <v>439</v>
      </c>
      <c r="D391" s="1096" t="s">
        <v>440</v>
      </c>
      <c r="E391" s="1240"/>
      <c r="F391" s="226"/>
    </row>
    <row r="392" spans="1:7" s="6" customFormat="1" ht="15">
      <c r="A392" s="1239" t="s">
        <v>441</v>
      </c>
      <c r="B392" s="1239"/>
      <c r="C392" s="1293">
        <v>1.22</v>
      </c>
      <c r="D392" s="1089">
        <v>1</v>
      </c>
      <c r="E392" s="1253" t="s">
        <v>680</v>
      </c>
      <c r="F392" s="226"/>
      <c r="G392" s="508" t="s">
        <v>989</v>
      </c>
    </row>
    <row r="393" spans="1:6" s="6" customFormat="1" ht="12.75">
      <c r="A393" s="1239" t="s">
        <v>1018</v>
      </c>
      <c r="B393" s="1239"/>
      <c r="C393" s="1294"/>
      <c r="D393" s="1089">
        <v>0.89</v>
      </c>
      <c r="E393" s="1254"/>
      <c r="F393" s="226"/>
    </row>
    <row r="394" spans="1:6" s="6" customFormat="1" ht="12.75">
      <c r="A394" s="1239" t="s">
        <v>1019</v>
      </c>
      <c r="B394" s="1239"/>
      <c r="C394" s="1294"/>
      <c r="D394" s="1089">
        <v>2.41</v>
      </c>
      <c r="E394" s="1254"/>
      <c r="F394" s="226"/>
    </row>
    <row r="395" spans="1:6" s="6" customFormat="1" ht="12.75">
      <c r="A395" s="1239" t="s">
        <v>442</v>
      </c>
      <c r="B395" s="1239"/>
      <c r="C395" s="1295"/>
      <c r="D395" s="1089">
        <v>0.59</v>
      </c>
      <c r="E395" s="1255"/>
      <c r="F395" s="226"/>
    </row>
    <row r="397" spans="1:9" ht="15">
      <c r="A397" s="510" t="s">
        <v>443</v>
      </c>
      <c r="B397" s="511"/>
      <c r="C397" s="511"/>
      <c r="D397" s="512"/>
      <c r="E397" s="512"/>
      <c r="F397" s="512"/>
      <c r="G397" s="512"/>
      <c r="H397" s="512"/>
      <c r="I397" s="512"/>
    </row>
    <row r="398" spans="1:4" ht="25.5">
      <c r="A398" s="1276" t="s">
        <v>444</v>
      </c>
      <c r="B398" s="1277"/>
      <c r="C398" s="1097" t="s">
        <v>445</v>
      </c>
      <c r="D398" s="1097" t="s">
        <v>430</v>
      </c>
    </row>
    <row r="399" spans="1:6" ht="15">
      <c r="A399" s="1278" t="s">
        <v>446</v>
      </c>
      <c r="B399" s="1279"/>
      <c r="C399" s="1098">
        <v>1</v>
      </c>
      <c r="D399" s="1253" t="s">
        <v>674</v>
      </c>
      <c r="F399" s="508" t="s">
        <v>989</v>
      </c>
    </row>
    <row r="400" spans="1:4" ht="15">
      <c r="A400" s="1278" t="s">
        <v>447</v>
      </c>
      <c r="B400" s="1279"/>
      <c r="C400" s="1098">
        <v>0.19</v>
      </c>
      <c r="D400" s="1254"/>
    </row>
    <row r="401" spans="1:4" ht="15">
      <c r="A401" s="1278" t="s">
        <v>448</v>
      </c>
      <c r="B401" s="1279"/>
      <c r="C401" s="1098">
        <v>0.17</v>
      </c>
      <c r="D401" s="1254"/>
    </row>
    <row r="402" spans="1:4" ht="15">
      <c r="A402" s="1278" t="s">
        <v>449</v>
      </c>
      <c r="B402" s="1279"/>
      <c r="C402" s="1098">
        <v>0.21</v>
      </c>
      <c r="D402" s="1254"/>
    </row>
    <row r="403" spans="1:4" ht="15">
      <c r="A403" s="1278" t="s">
        <v>450</v>
      </c>
      <c r="B403" s="1279"/>
      <c r="C403" s="1098">
        <v>0.45</v>
      </c>
      <c r="D403" s="1255"/>
    </row>
    <row r="404" spans="1:6" s="6" customFormat="1" ht="12.75">
      <c r="A404" s="226"/>
      <c r="B404" s="226"/>
      <c r="C404" s="226"/>
      <c r="D404" s="226"/>
      <c r="E404" s="226"/>
      <c r="F404" s="226"/>
    </row>
  </sheetData>
  <mergeCells count="142">
    <mergeCell ref="A398:B398"/>
    <mergeCell ref="A399:B399"/>
    <mergeCell ref="A400:B400"/>
    <mergeCell ref="A401:B401"/>
    <mergeCell ref="A402:B402"/>
    <mergeCell ref="A403:B403"/>
    <mergeCell ref="C88:C89"/>
    <mergeCell ref="C229:C252"/>
    <mergeCell ref="A178:I178"/>
    <mergeCell ref="A179:I179"/>
    <mergeCell ref="A181:I181"/>
    <mergeCell ref="A182:I182"/>
    <mergeCell ref="A180:I180"/>
    <mergeCell ref="A217:D217"/>
    <mergeCell ref="A218:D218"/>
    <mergeCell ref="D399:D403"/>
    <mergeCell ref="H362:H369"/>
    <mergeCell ref="A363:A365"/>
    <mergeCell ref="E392:E395"/>
    <mergeCell ref="A392:B392"/>
    <mergeCell ref="C392:C395"/>
    <mergeCell ref="A393:B393"/>
    <mergeCell ref="A394:B394"/>
    <mergeCell ref="A95:B95"/>
    <mergeCell ref="A9:C9"/>
    <mergeCell ref="A13:C13"/>
    <mergeCell ref="A19:C19"/>
    <mergeCell ref="A11:C11"/>
    <mergeCell ref="A12:C12"/>
    <mergeCell ref="A18:C18"/>
    <mergeCell ref="D373:D377"/>
    <mergeCell ref="A122:C122"/>
    <mergeCell ref="C113:C114"/>
    <mergeCell ref="A368:A369"/>
    <mergeCell ref="B368:C368"/>
    <mergeCell ref="B369:C369"/>
    <mergeCell ref="A362:C362"/>
    <mergeCell ref="B366:C366"/>
    <mergeCell ref="B367:C367"/>
    <mergeCell ref="A211:A215"/>
    <mergeCell ref="A361:C361"/>
    <mergeCell ref="B364:B365"/>
    <mergeCell ref="A366:A367"/>
    <mergeCell ref="B363:C363"/>
    <mergeCell ref="A21:C21"/>
    <mergeCell ref="A30:C30"/>
    <mergeCell ref="A22:C22"/>
    <mergeCell ref="A31:C31"/>
    <mergeCell ref="D34:E34"/>
    <mergeCell ref="D35:E35"/>
    <mergeCell ref="D36:E36"/>
    <mergeCell ref="D37:E37"/>
    <mergeCell ref="D38:E38"/>
    <mergeCell ref="D39:E40"/>
    <mergeCell ref="A395:B395"/>
    <mergeCell ref="E390:E391"/>
    <mergeCell ref="A381:B381"/>
    <mergeCell ref="A382:A384"/>
    <mergeCell ref="A385:A387"/>
    <mergeCell ref="A390:B391"/>
    <mergeCell ref="C390:D390"/>
    <mergeCell ref="D381:D387"/>
    <mergeCell ref="A216:B216"/>
    <mergeCell ref="C222:C225"/>
    <mergeCell ref="A199:A203"/>
    <mergeCell ref="A210:B210"/>
    <mergeCell ref="A198:B198"/>
    <mergeCell ref="D48:E48"/>
    <mergeCell ref="D49:E49"/>
    <mergeCell ref="D50:E50"/>
    <mergeCell ref="D54:E54"/>
    <mergeCell ref="D53:E53"/>
    <mergeCell ref="D41:E41"/>
    <mergeCell ref="D47:E47"/>
    <mergeCell ref="D46:E46"/>
    <mergeCell ref="A72:B72"/>
    <mergeCell ref="A73:B73"/>
    <mergeCell ref="A74:B74"/>
    <mergeCell ref="A77:B77"/>
    <mergeCell ref="A67:B67"/>
    <mergeCell ref="A68:B68"/>
    <mergeCell ref="A69:B69"/>
    <mergeCell ref="A70:B70"/>
    <mergeCell ref="A71:B71"/>
    <mergeCell ref="D58:D64"/>
    <mergeCell ref="A57:B57"/>
    <mergeCell ref="A58:B58"/>
    <mergeCell ref="A59:B59"/>
    <mergeCell ref="A60:B60"/>
    <mergeCell ref="A61:B61"/>
    <mergeCell ref="A62:B62"/>
    <mergeCell ref="A63:B63"/>
    <mergeCell ref="A64:B64"/>
    <mergeCell ref="A96:B96"/>
    <mergeCell ref="A97:B97"/>
    <mergeCell ref="A98:B98"/>
    <mergeCell ref="A99:B99"/>
    <mergeCell ref="A83:B83"/>
    <mergeCell ref="A84:B84"/>
    <mergeCell ref="D78:D84"/>
    <mergeCell ref="A93:B93"/>
    <mergeCell ref="A94:B94"/>
    <mergeCell ref="A92:B92"/>
    <mergeCell ref="A78:B78"/>
    <mergeCell ref="A79:B79"/>
    <mergeCell ref="A80:B80"/>
    <mergeCell ref="A81:B81"/>
    <mergeCell ref="A82:B82"/>
    <mergeCell ref="C108:D108"/>
    <mergeCell ref="D137:E137"/>
    <mergeCell ref="D138:E138"/>
    <mergeCell ref="D139:E139"/>
    <mergeCell ref="D140:E140"/>
    <mergeCell ref="C102:D102"/>
    <mergeCell ref="C103:D103"/>
    <mergeCell ref="C104:D104"/>
    <mergeCell ref="C107:D107"/>
    <mergeCell ref="C109:D109"/>
    <mergeCell ref="E152:F152"/>
    <mergeCell ref="E153:F153"/>
    <mergeCell ref="E154:F154"/>
    <mergeCell ref="E155:F155"/>
    <mergeCell ref="E156:F156"/>
    <mergeCell ref="D146:E146"/>
    <mergeCell ref="D147:E147"/>
    <mergeCell ref="D148:E148"/>
    <mergeCell ref="D136:E136"/>
    <mergeCell ref="E151:F151"/>
    <mergeCell ref="D141:E141"/>
    <mergeCell ref="D142:E142"/>
    <mergeCell ref="D143:E143"/>
    <mergeCell ref="D144:E144"/>
    <mergeCell ref="D145:E145"/>
    <mergeCell ref="C185:D185"/>
    <mergeCell ref="C186:D186"/>
    <mergeCell ref="C187:D190"/>
    <mergeCell ref="B205:C205"/>
    <mergeCell ref="B206:C206"/>
    <mergeCell ref="E157:F157"/>
    <mergeCell ref="E158:F158"/>
    <mergeCell ref="E159:F159"/>
    <mergeCell ref="E160:F162"/>
  </mergeCells>
  <hyperlinks>
    <hyperlink ref="E307" r:id="rId1" display="https://cdn.www.gob.pe/uploads/document/file/419901/ficha-tecnica-08-cultivo-choclo.pdf"/>
    <hyperlink ref="E327" r:id="rId2" display="https://repositorio.minagri.gob.pe/bitstream/MINAGRI/291/1/ficha%20tecnica%20camote.pdf"/>
    <hyperlink ref="E301" r:id="rId3" display="https://cdn.www.gob.pe/uploads/document/file/419902/ficha-tecnica-09-cultivo-mad.pdf"/>
    <hyperlink ref="E309" r:id="rId4" display="https://cdn.www.gob.pe/uploads/document/file/419900/ficha-tecnica-07-cultivo-amilaceo.pdf"/>
    <hyperlink ref="E305" r:id="rId5" display="https://cdn.www.gob.pe/uploads/document/file/419896/ficha-tecnica-03-cultivo-algodon.pdf"/>
    <hyperlink ref="E303" r:id="rId6" display="https://cdn.www.gob.pe/uploads/document/file/419903/ficha-tecnica-10-cultivo-quinua.pdf"/>
    <hyperlink ref="E302" r:id="rId7" display="https://cdn.www.gob.pe/uploads/document/file/419898/ficha-tecnica-05-cultivo-cebolla.pdf"/>
    <hyperlink ref="E313" r:id="rId8" display="https://www.minagri.gob.pe/portal/download/pdf/direccionesyoficinas/dgca/Cartilla-de-difusion-Palma.pdf"/>
    <hyperlink ref="E318" r:id="rId9" display="https://cdn.www.gob.pe/uploads/document/file/419899/ficha-tecnica-06-cultivo-frijol.pdf"/>
    <hyperlink ref="E320" r:id="rId10" display="http://minagri.gob.pe/portal/download/pdf/sectoragrario/agricola/lineasdecultivosemergentes/PALLAR.pdf"/>
    <hyperlink ref="E325" r:id="rId11" display="https://cdn.www.gob.pe/uploads/document/file/419894/ficha-tecnica-01-cultivo-de-la-papa.pdf"/>
    <hyperlink ref="E319" r:id="rId12" display="http://minagri.gob.pe/portal/download/pdf/sectoragrario/agricola/lineasdecultivosemergentes/HABA.pdf"/>
    <hyperlink ref="E328" r:id="rId13" display="http://www.agrolalibertad.gob.pe/sites/default/files/Cultivo-alfalfa.pdf"/>
    <hyperlink ref="E321" r:id="rId14" display="http://minagri.gob.pe/portal/download/pdf/sectoragrario/agricola/lineasdecultivosemergentes/FRIJOL_CASTILLA.pdf"/>
    <hyperlink ref="E322" r:id="rId15" display="http://minagri.gob.pe/portal/download/pdf/sectoragrario/agricola/lineasdecultivosemergentes/TARWI.pdf"/>
    <hyperlink ref="E312" r:id="rId16" display="http://repositorio.minagri.gob.pe/bitstream/MINAGRI/292/1/ficha%20tecnica%20cebada.pdf"/>
    <hyperlink ref="E310" r:id="rId17" display="https://www.agrorural.gob.pe/wp-content/uploads/transparencia/dab/material/ficha%20tecnica%20tomate.pdf"/>
    <hyperlink ref="E311" r:id="rId18" display="https://www.minagri.gob.pe/portal/download/pdf/ais-2015/ficha04-trigo.pdf"/>
    <hyperlink ref="E317" r:id="rId19" display="http://minagri.gob.pe/portal/download/pdf/sectoragrario/agricola/lineasdecultivosemergentes/ARVEJA.pdf"/>
    <hyperlink ref="E316" r:id="rId20" display="http://minagri.gob.pe/portal/download/pdf/sectoragrario/agricola/lineasdecultivosemergentes/ARVEJA_VERDE.pdf"/>
    <hyperlink ref="E323" r:id="rId21" display="http://minagri.gob.pe/portal/download/pdf/sectoragrario/agricola/lineasdecultivosemergentes/HABA.pdf"/>
    <hyperlink ref="E304" r:id="rId22" display="https://repositorio.minagri.gob.pe/bitstream/MINAGRI/472/1/INIA-Cultivo_Alcachofa.pdf"/>
    <hyperlink ref="E308" r:id="rId23" display="http://minagri.gob.pe/portal/download/pdf/ais-2015/ficha18-esparrago.pdf"/>
    <hyperlink ref="E300" r:id="rId24" display="http://minagri.gob.pe/portal/download/pdf/ais-2015/ficha16-platano.pdf"/>
    <hyperlink ref="E298" r:id="rId25" display="https://www.minagri.gob.pe/portal/download/pdf/ais-2015/ficha15-azucar.pdf"/>
  </hyperlinks>
  <printOptions/>
  <pageMargins left="0.7" right="0.7" top="0.75" bottom="0.75" header="0.3" footer="0.3"/>
  <pageSetup horizontalDpi="300" verticalDpi="300" orientation="portrait" r:id="rId29"/>
  <drawing r:id="rId28"/>
  <legacyDrawing r:id="rId27"/>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5A7F2B"/>
  </sheetPr>
  <dimension ref="A1:W50"/>
  <sheetViews>
    <sheetView workbookViewId="0" topLeftCell="A1">
      <selection activeCell="H12" sqref="H12"/>
    </sheetView>
  </sheetViews>
  <sheetFormatPr defaultColWidth="11.421875" defaultRowHeight="15"/>
  <cols>
    <col min="1" max="1" width="18.7109375" style="103" customWidth="1"/>
    <col min="2" max="3" width="31.57421875" style="103" customWidth="1"/>
    <col min="4" max="4" width="11.8515625" style="103" customWidth="1"/>
    <col min="5" max="5" width="16.421875" style="103" customWidth="1"/>
    <col min="6" max="6" width="17.00390625" style="103" customWidth="1"/>
    <col min="7" max="20" width="11.421875" style="1" customWidth="1"/>
    <col min="21" max="21" width="13.00390625" style="1" customWidth="1"/>
    <col min="22" max="16384" width="11.421875" style="1" customWidth="1"/>
  </cols>
  <sheetData>
    <row r="1" ht="15">
      <c r="A1" s="227" t="s">
        <v>218</v>
      </c>
    </row>
    <row r="2" spans="1:5" ht="25.5">
      <c r="A2" s="194" t="s">
        <v>159</v>
      </c>
      <c r="B2" s="194" t="s">
        <v>193</v>
      </c>
      <c r="C2" s="194" t="s">
        <v>180</v>
      </c>
      <c r="E2" s="508" t="s">
        <v>989</v>
      </c>
    </row>
    <row r="3" spans="1:3" ht="51">
      <c r="A3" s="243" t="s">
        <v>161</v>
      </c>
      <c r="B3" s="270">
        <v>87</v>
      </c>
      <c r="C3" s="243" t="s">
        <v>675</v>
      </c>
    </row>
    <row r="4" spans="1:3" ht="51">
      <c r="A4" s="243" t="s">
        <v>564</v>
      </c>
      <c r="B4" s="270">
        <v>56</v>
      </c>
      <c r="C4" s="243" t="s">
        <v>477</v>
      </c>
    </row>
    <row r="5" spans="1:3" ht="38.25">
      <c r="A5" s="239" t="s">
        <v>46</v>
      </c>
      <c r="B5" s="269">
        <v>5</v>
      </c>
      <c r="C5" s="239" t="s">
        <v>478</v>
      </c>
    </row>
    <row r="6" spans="1:3" ht="25.5">
      <c r="A6" s="239" t="s">
        <v>45</v>
      </c>
      <c r="B6" s="269">
        <v>5</v>
      </c>
      <c r="C6" s="239" t="s">
        <v>479</v>
      </c>
    </row>
    <row r="7" spans="1:3" ht="25.5">
      <c r="A7" s="239" t="s">
        <v>72</v>
      </c>
      <c r="B7" s="269">
        <v>18</v>
      </c>
      <c r="C7" s="239" t="s">
        <v>479</v>
      </c>
    </row>
    <row r="8" spans="1:3" ht="25.5">
      <c r="A8" s="239" t="s">
        <v>150</v>
      </c>
      <c r="B8" s="269">
        <v>10</v>
      </c>
      <c r="C8" s="239" t="s">
        <v>479</v>
      </c>
    </row>
    <row r="9" spans="1:3" ht="25.5">
      <c r="A9" s="239" t="s">
        <v>47</v>
      </c>
      <c r="B9" s="269">
        <v>1</v>
      </c>
      <c r="C9" s="239" t="s">
        <v>479</v>
      </c>
    </row>
    <row r="10" spans="1:3" ht="25.5">
      <c r="A10" s="239" t="s">
        <v>43</v>
      </c>
      <c r="B10" s="269">
        <v>8</v>
      </c>
      <c r="C10" s="239" t="s">
        <v>479</v>
      </c>
    </row>
    <row r="11" spans="1:3" ht="25.5">
      <c r="A11" s="239" t="s">
        <v>44</v>
      </c>
      <c r="B11" s="269">
        <v>8</v>
      </c>
      <c r="C11" s="239" t="s">
        <v>676</v>
      </c>
    </row>
    <row r="12" spans="1:3" ht="63.75">
      <c r="A12" s="239" t="s">
        <v>74</v>
      </c>
      <c r="B12" s="269">
        <f>(POWER('FACTORES DE CONVERSIÓN'!B147,0.75)/POWER('FACTORES DE CONVERSIÓN'!B148,0.75))*'3A1_3A2 FACTORES DE EMISIÓN'!B13</f>
        <v>0.042624143937572384</v>
      </c>
      <c r="C12" s="239" t="s">
        <v>356</v>
      </c>
    </row>
    <row r="13" spans="1:3" ht="25.5" hidden="1">
      <c r="A13" s="243" t="s">
        <v>173</v>
      </c>
      <c r="B13" s="270">
        <v>0.08</v>
      </c>
      <c r="C13" s="243" t="s">
        <v>355</v>
      </c>
    </row>
    <row r="15" ht="15">
      <c r="A15" s="227" t="s">
        <v>915</v>
      </c>
    </row>
    <row r="16" spans="1:21" ht="25.5">
      <c r="A16" s="119" t="s">
        <v>508</v>
      </c>
      <c r="B16" s="119" t="s">
        <v>510</v>
      </c>
      <c r="C16" s="119" t="s">
        <v>510</v>
      </c>
      <c r="D16" s="119" t="s">
        <v>510</v>
      </c>
      <c r="E16" s="119" t="s">
        <v>510</v>
      </c>
      <c r="F16" s="119" t="s">
        <v>511</v>
      </c>
      <c r="G16" s="119" t="s">
        <v>512</v>
      </c>
      <c r="H16" s="119" t="s">
        <v>513</v>
      </c>
      <c r="I16" s="119" t="s">
        <v>514</v>
      </c>
      <c r="J16" s="119" t="s">
        <v>510</v>
      </c>
      <c r="K16" s="119" t="s">
        <v>510</v>
      </c>
      <c r="L16" s="119" t="s">
        <v>515</v>
      </c>
      <c r="M16" s="119" t="s">
        <v>516</v>
      </c>
      <c r="N16" s="119"/>
      <c r="O16" s="119" t="s">
        <v>517</v>
      </c>
      <c r="P16" s="119" t="s">
        <v>518</v>
      </c>
      <c r="Q16" s="119" t="s">
        <v>519</v>
      </c>
      <c r="R16" s="119" t="s">
        <v>520</v>
      </c>
      <c r="S16" s="119"/>
      <c r="T16" s="119"/>
      <c r="U16" s="119"/>
    </row>
    <row r="17" spans="1:23" ht="51">
      <c r="A17" s="302" t="s">
        <v>521</v>
      </c>
      <c r="B17" s="302" t="s">
        <v>522</v>
      </c>
      <c r="C17" s="302" t="s">
        <v>523</v>
      </c>
      <c r="D17" s="302" t="s">
        <v>524</v>
      </c>
      <c r="E17" s="302" t="s">
        <v>525</v>
      </c>
      <c r="F17" s="302" t="s">
        <v>340</v>
      </c>
      <c r="G17" s="302" t="s">
        <v>526</v>
      </c>
      <c r="H17" s="302" t="s">
        <v>527</v>
      </c>
      <c r="I17" s="302" t="s">
        <v>528</v>
      </c>
      <c r="J17" s="302" t="s">
        <v>529</v>
      </c>
      <c r="K17" s="302" t="s">
        <v>552</v>
      </c>
      <c r="L17" s="302" t="s">
        <v>530</v>
      </c>
      <c r="M17" s="302" t="s">
        <v>531</v>
      </c>
      <c r="N17" s="302" t="s">
        <v>532</v>
      </c>
      <c r="O17" s="302" t="s">
        <v>533</v>
      </c>
      <c r="P17" s="302" t="s">
        <v>534</v>
      </c>
      <c r="Q17" s="302" t="s">
        <v>535</v>
      </c>
      <c r="R17" s="302" t="s">
        <v>536</v>
      </c>
      <c r="S17" s="302" t="s">
        <v>537</v>
      </c>
      <c r="T17" s="302" t="s">
        <v>538</v>
      </c>
      <c r="U17" s="302" t="s">
        <v>539</v>
      </c>
      <c r="W17" s="508" t="s">
        <v>989</v>
      </c>
    </row>
    <row r="18" spans="1:21" ht="25.5">
      <c r="A18" s="259" t="s">
        <v>541</v>
      </c>
      <c r="B18" s="707">
        <f>'FACTORES DE CONVERSIÓN'!C68</f>
        <v>520</v>
      </c>
      <c r="C18" s="260">
        <f>$B$18*'FACTORES DE CONVERSIÓN'!$B$89</f>
        <v>520</v>
      </c>
      <c r="D18" s="260">
        <v>0</v>
      </c>
      <c r="E18" s="708">
        <f>'FACTORES DE CONVERSIÓN'!C93</f>
        <v>65.23273125</v>
      </c>
      <c r="F18" s="260">
        <f>'FACTORES DE CONVERSIÓN'!B124</f>
        <v>0.322</v>
      </c>
      <c r="G18" s="260">
        <f aca="true" t="shared" si="0" ref="G18:G24">(B18)^0.75*F18</f>
        <v>35.063751471714795</v>
      </c>
      <c r="H18" s="260">
        <f>G18*'FACTORES DE CONVERSIÓN'!B127</f>
        <v>12.622950529817325</v>
      </c>
      <c r="I18" s="260">
        <f>22.02*(B18/('FACTORES DE CONVERSIÓN'!$B$132*C18))^0.75*D18^1.097</f>
        <v>0</v>
      </c>
      <c r="J18" s="260">
        <f>'FACTORES DE CONVERSIÓN'!B108</f>
        <v>5.98</v>
      </c>
      <c r="K18" s="707">
        <f>'FACTORES DE CONVERSIÓN'!B103</f>
        <v>3.34</v>
      </c>
      <c r="L18" s="260">
        <f>J18*(1.47+0.4*K18)</f>
        <v>16.779880000000002</v>
      </c>
      <c r="M18" s="260">
        <v>0</v>
      </c>
      <c r="N18" s="260">
        <f>'FACTORES DE CONVERSIÓN'!B133</f>
        <v>0.1</v>
      </c>
      <c r="O18" s="260">
        <f>G18*N18*'FACTORES DE CONVERSIÓN'!B113</f>
        <v>2.064553686654567</v>
      </c>
      <c r="P18" s="260">
        <f aca="true" t="shared" si="1" ref="P18:P24">+(1.123-(0.004092*E18)+(0.00001126*E18*E18)-(25.4/E18))</f>
        <v>0.5146073648330505</v>
      </c>
      <c r="Q18" s="260">
        <f aca="true" t="shared" si="2" ref="Q18:Q24">+(1.164-(0.00516*E18)+(0.00001308*E18*E18)-(37.4/E18))</f>
        <v>0.3097267395725882</v>
      </c>
      <c r="R18" s="260">
        <f>+(((G18+H18+I18+L18+M18+O18)/P18)+I18/Q18)/(E18/100)</f>
        <v>198.1907481385629</v>
      </c>
      <c r="S18" s="260">
        <f aca="true" t="shared" si="3" ref="S18:S24">+P18*18.45*E18/100</f>
        <v>6.193525504978927</v>
      </c>
      <c r="T18" s="260">
        <f aca="true" t="shared" si="4" ref="T18:T24">(B18)^0.75*(((0.0119*S18*S18)+0.1938)/S18)</f>
        <v>11.433145330686587</v>
      </c>
      <c r="U18" s="260">
        <f>+(R18*'FACTORES DE CONVERSIÓN'!$B$118/100)*31/55.65</f>
        <v>8.694216781550164</v>
      </c>
    </row>
    <row r="19" spans="1:21" ht="38.25">
      <c r="A19" s="259" t="s">
        <v>542</v>
      </c>
      <c r="B19" s="260">
        <f>'FACTORES DE CONVERSIÓN'!C69</f>
        <v>431.50694444444446</v>
      </c>
      <c r="C19" s="260">
        <f>$B$19*'FACTORES DE CONVERSIÓN'!$B$89</f>
        <v>431.50694444444446</v>
      </c>
      <c r="D19" s="260">
        <v>0</v>
      </c>
      <c r="E19" s="307">
        <f>'FACTORES DE CONVERSIÓN'!C94</f>
        <v>59.8</v>
      </c>
      <c r="F19" s="260">
        <f>'FACTORES DE CONVERSIÓN'!B124</f>
        <v>0.322</v>
      </c>
      <c r="G19" s="260">
        <f t="shared" si="0"/>
        <v>30.48573805978922</v>
      </c>
      <c r="H19" s="260">
        <f>G19*'FACTORES DE CONVERSIÓN'!$B$127</f>
        <v>10.974865701524118</v>
      </c>
      <c r="I19" s="260">
        <f>22.02*(B19/('FACTORES DE CONVERSIÓN'!$B$132*C19))^0.75*D19^1.097</f>
        <v>0</v>
      </c>
      <c r="J19" s="260">
        <f>'FACTORES DE CONVERSIÓN'!$B$109</f>
        <v>2.35</v>
      </c>
      <c r="K19" s="260">
        <f>'FACTORES DE CONVERSIÓN'!$B$104</f>
        <v>4.08125</v>
      </c>
      <c r="L19" s="260">
        <f>J19*(1.47+0.4*K19)</f>
        <v>7.290875000000001</v>
      </c>
      <c r="M19" s="260">
        <v>0</v>
      </c>
      <c r="N19" s="260">
        <f>'FACTORES DE CONVERSIÓN'!$B$133</f>
        <v>0.1</v>
      </c>
      <c r="O19" s="260">
        <f>G19*N19*'FACTORES DE CONVERSIÓN'!$B$114</f>
        <v>1.6797641670943861</v>
      </c>
      <c r="P19" s="260">
        <f t="shared" si="1"/>
        <v>0.4938154465204014</v>
      </c>
      <c r="Q19" s="260">
        <f t="shared" si="2"/>
        <v>0.2767885429993311</v>
      </c>
      <c r="R19" s="260">
        <f aca="true" t="shared" si="5" ref="R19:R24">+(((G19+H19+L19+M19+O19)/P19)+(I19/Q19))/(E19/100)</f>
        <v>170.7787448707193</v>
      </c>
      <c r="S19" s="260">
        <f t="shared" si="3"/>
        <v>5.44831520300424</v>
      </c>
      <c r="T19" s="260">
        <f t="shared" si="4"/>
        <v>9.506019304300823</v>
      </c>
      <c r="U19" s="260">
        <f>+(R19*'FACTORES DE CONVERSIÓN'!$B$119/100)*31/55.65</f>
        <v>6.659296969801634</v>
      </c>
    </row>
    <row r="20" spans="1:21" ht="12.75">
      <c r="A20" s="259" t="s">
        <v>543</v>
      </c>
      <c r="B20" s="260">
        <f>'FACTORES DE CONVERSIÓN'!C70</f>
        <v>472.44791666666674</v>
      </c>
      <c r="C20" s="260">
        <f>$B$19*'FACTORES DE CONVERSIÓN'!$B$89</f>
        <v>431.50694444444446</v>
      </c>
      <c r="D20" s="260">
        <v>0</v>
      </c>
      <c r="E20" s="307">
        <f>'FACTORES DE CONVERSIÓN'!C95</f>
        <v>53.72</v>
      </c>
      <c r="F20" s="260">
        <f>'FACTORES DE CONVERSIÓN'!B126</f>
        <v>0.37</v>
      </c>
      <c r="G20" s="260">
        <f t="shared" si="0"/>
        <v>37.49446643452426</v>
      </c>
      <c r="H20" s="260">
        <f>G20*'FACTORES DE CONVERSIÓN'!$B$127</f>
        <v>13.498007916428735</v>
      </c>
      <c r="I20" s="260">
        <f>22.02*(B20/('FACTORES DE CONVERSIÓN'!$B$130*C20))^0.75*D20^1.097</f>
        <v>0</v>
      </c>
      <c r="J20" s="260">
        <v>0</v>
      </c>
      <c r="K20" s="260">
        <v>0</v>
      </c>
      <c r="L20" s="260">
        <v>0</v>
      </c>
      <c r="M20" s="260">
        <v>0</v>
      </c>
      <c r="N20" s="309">
        <v>0</v>
      </c>
      <c r="O20" s="260">
        <v>0</v>
      </c>
      <c r="P20" s="260">
        <f t="shared" si="1"/>
        <v>0.4628502601755115</v>
      </c>
      <c r="Q20" s="260">
        <f t="shared" si="2"/>
        <v>0.2283490346264304</v>
      </c>
      <c r="R20" s="260">
        <f t="shared" si="5"/>
        <v>205.08295663103704</v>
      </c>
      <c r="S20" s="260">
        <f t="shared" si="3"/>
        <v>4.587466297687954</v>
      </c>
      <c r="T20" s="260">
        <f t="shared" si="4"/>
        <v>9.813050834017886</v>
      </c>
      <c r="U20" s="260">
        <f>+(R20*'FACTORES DE CONVERSIÓN'!$B$119/100)*31/55.65</f>
        <v>7.996945478694527</v>
      </c>
    </row>
    <row r="21" spans="1:21" ht="38.25">
      <c r="A21" s="259" t="s">
        <v>681</v>
      </c>
      <c r="B21" s="260">
        <f>'FACTORES DE CONVERSIÓN'!C71</f>
        <v>300</v>
      </c>
      <c r="C21" s="260">
        <f>$B$18*'FACTORES DE CONVERSIÓN'!$B$89</f>
        <v>520</v>
      </c>
      <c r="D21" s="260">
        <f>'FACTORES DE CONVERSIÓN'!C81</f>
        <v>0.4</v>
      </c>
      <c r="E21" s="307">
        <f>'FACTORES DE CONVERSIÓN'!C96</f>
        <v>56</v>
      </c>
      <c r="F21" s="260">
        <f>'FACTORES DE CONVERSIÓN'!B124</f>
        <v>0.322</v>
      </c>
      <c r="G21" s="260">
        <f t="shared" si="0"/>
        <v>23.211158260541723</v>
      </c>
      <c r="H21" s="260">
        <f>G21*'FACTORES DE CONVERSIÓN'!$B$127</f>
        <v>8.35601697379502</v>
      </c>
      <c r="I21" s="260">
        <f>22.02*(B21/('FACTORES DE CONVERSIÓN'!$B$132*C21))^0.75*D21^1.097</f>
        <v>6.306640394845599</v>
      </c>
      <c r="J21" s="260">
        <v>0</v>
      </c>
      <c r="K21" s="260">
        <v>0</v>
      </c>
      <c r="L21" s="260">
        <v>0</v>
      </c>
      <c r="M21" s="260">
        <v>0</v>
      </c>
      <c r="N21" s="260">
        <v>0</v>
      </c>
      <c r="O21" s="260">
        <v>0</v>
      </c>
      <c r="P21" s="260">
        <f t="shared" si="1"/>
        <v>0.4755879314285714</v>
      </c>
      <c r="Q21" s="260">
        <f t="shared" si="2"/>
        <v>0.2482017371428571</v>
      </c>
      <c r="R21" s="260">
        <f t="shared" si="5"/>
        <v>163.90069193356635</v>
      </c>
      <c r="S21" s="260">
        <f t="shared" si="3"/>
        <v>4.91377450752</v>
      </c>
      <c r="T21" s="260">
        <f t="shared" si="4"/>
        <v>7.058071054332559</v>
      </c>
      <c r="U21" s="260">
        <f>+(R21*'FACTORES DE CONVERSIÓN'!$B$119/100)*31/55.65</f>
        <v>6.391096163447242</v>
      </c>
    </row>
    <row r="22" spans="1:21" ht="38.25">
      <c r="A22" s="259" t="s">
        <v>682</v>
      </c>
      <c r="B22" s="260">
        <f>'FACTORES DE CONVERSIÓN'!C72</f>
        <v>300</v>
      </c>
      <c r="C22" s="260">
        <f>$B$19*'FACTORES DE CONVERSIÓN'!$B$89</f>
        <v>431.50694444444446</v>
      </c>
      <c r="D22" s="260">
        <f>'FACTORES DE CONVERSIÓN'!C82</f>
        <v>0.4</v>
      </c>
      <c r="E22" s="307">
        <f>'FACTORES DE CONVERSIÓN'!C97</f>
        <v>53.72</v>
      </c>
      <c r="F22" s="260">
        <f>'FACTORES DE CONVERSIÓN'!B124</f>
        <v>0.322</v>
      </c>
      <c r="G22" s="260">
        <f t="shared" si="0"/>
        <v>23.211158260541723</v>
      </c>
      <c r="H22" s="260">
        <f>G22*'FACTORES DE CONVERSIÓN'!$B$127</f>
        <v>8.35601697379502</v>
      </c>
      <c r="I22" s="260">
        <f>22.02*(B22/('FACTORES DE CONVERSIÓN'!$B$132*C22))^0.75*D22^1.097</f>
        <v>7.253702403158163</v>
      </c>
      <c r="J22" s="260">
        <v>0</v>
      </c>
      <c r="K22" s="260">
        <v>0</v>
      </c>
      <c r="L22" s="260">
        <v>0</v>
      </c>
      <c r="M22" s="260">
        <v>0</v>
      </c>
      <c r="N22" s="260">
        <v>0</v>
      </c>
      <c r="O22" s="260">
        <v>0</v>
      </c>
      <c r="P22" s="260">
        <f t="shared" si="1"/>
        <v>0.4628502601755115</v>
      </c>
      <c r="Q22" s="260">
        <f t="shared" si="2"/>
        <v>0.2283490346264304</v>
      </c>
      <c r="R22" s="260">
        <f t="shared" si="5"/>
        <v>186.09001627503858</v>
      </c>
      <c r="S22" s="260">
        <f t="shared" si="3"/>
        <v>4.587466297687954</v>
      </c>
      <c r="T22" s="260">
        <f t="shared" si="4"/>
        <v>6.980387561409429</v>
      </c>
      <c r="U22" s="260">
        <f>+(R22*'FACTORES DE CONVERSIÓN'!$B$119/100)*31/55.65</f>
        <v>7.256340257265655</v>
      </c>
    </row>
    <row r="23" spans="1:21" ht="25.5">
      <c r="A23" s="259" t="s">
        <v>544</v>
      </c>
      <c r="B23" s="260">
        <f>'FACTORES DE CONVERSIÓN'!C73</f>
        <v>300</v>
      </c>
      <c r="C23" s="260">
        <f>$B$19*'FACTORES DE CONVERSIÓN'!$B$89</f>
        <v>431.50694444444446</v>
      </c>
      <c r="D23" s="260">
        <f>'FACTORES DE CONVERSIÓN'!C83</f>
        <v>0.4</v>
      </c>
      <c r="E23" s="307">
        <f>'FACTORES DE CONVERSIÓN'!C98</f>
        <v>53.72</v>
      </c>
      <c r="F23" s="260">
        <f>'FACTORES DE CONVERSIÓN'!B126</f>
        <v>0.37</v>
      </c>
      <c r="G23" s="260">
        <f t="shared" si="0"/>
        <v>26.67120669689577</v>
      </c>
      <c r="H23" s="260">
        <f>G23*'FACTORES DE CONVERSIÓN'!$B$127</f>
        <v>9.601634410882477</v>
      </c>
      <c r="I23" s="260">
        <f>22.02*(B23/('FACTORES DE CONVERSIÓN'!$B$130*C23))^0.75*D23^1.097</f>
        <v>5.351694200307943</v>
      </c>
      <c r="J23" s="260">
        <v>0</v>
      </c>
      <c r="K23" s="260">
        <v>0</v>
      </c>
      <c r="L23" s="260">
        <v>0</v>
      </c>
      <c r="M23" s="260">
        <v>0</v>
      </c>
      <c r="N23" s="309">
        <v>0</v>
      </c>
      <c r="O23" s="260">
        <v>0</v>
      </c>
      <c r="P23" s="260">
        <f t="shared" si="1"/>
        <v>0.4628502601755115</v>
      </c>
      <c r="Q23" s="260">
        <f t="shared" si="2"/>
        <v>0.2283490346264304</v>
      </c>
      <c r="R23" s="260">
        <f t="shared" si="5"/>
        <v>189.5102007272698</v>
      </c>
      <c r="S23" s="260">
        <f t="shared" si="3"/>
        <v>4.587466297687954</v>
      </c>
      <c r="T23" s="260">
        <f t="shared" si="4"/>
        <v>6.980387561409429</v>
      </c>
      <c r="U23" s="260">
        <f>+(R23*'FACTORES DE CONVERSIÓN'!$B$119/100)*31/55.65</f>
        <v>7.389705940308633</v>
      </c>
    </row>
    <row r="24" spans="1:21" ht="63.75">
      <c r="A24" s="260" t="s">
        <v>658</v>
      </c>
      <c r="B24" s="260">
        <f>'FACTORES DE CONVERSIÓN'!C74</f>
        <v>80</v>
      </c>
      <c r="C24" s="260">
        <f>$B$19*'FACTORES DE CONVERSIÓN'!$B$89</f>
        <v>431.50694444444446</v>
      </c>
      <c r="D24" s="260">
        <f>'FACTORES DE CONVERSIÓN'!C84</f>
        <v>0.5</v>
      </c>
      <c r="E24" s="307">
        <f>'FACTORES DE CONVERSIÓN'!C99</f>
        <v>63.25</v>
      </c>
      <c r="F24" s="260">
        <f>'FACTORES DE CONVERSIÓN'!B125</f>
        <v>0.386</v>
      </c>
      <c r="G24" s="260">
        <f t="shared" si="0"/>
        <v>10.325350308835953</v>
      </c>
      <c r="H24" s="260">
        <f>G24*'FACTORES DE CONVERSIÓN'!$B$127</f>
        <v>3.7171261111809426</v>
      </c>
      <c r="I24" s="260">
        <f>22.02*(B24/('FACTORES DE CONVERSIÓN'!$B$130*C24*0.5+'FACTORES DE CONVERSIÓN'!$B$132*C24*0.5))^0.75*D24^1.097</f>
        <v>2.908466444142982</v>
      </c>
      <c r="J24" s="260">
        <v>0</v>
      </c>
      <c r="K24" s="260">
        <v>0</v>
      </c>
      <c r="L24" s="260">
        <v>0</v>
      </c>
      <c r="M24" s="260">
        <v>0</v>
      </c>
      <c r="N24" s="260">
        <v>0</v>
      </c>
      <c r="O24" s="260">
        <v>0</v>
      </c>
      <c r="P24" s="260">
        <f t="shared" si="1"/>
        <v>0.5076463060820158</v>
      </c>
      <c r="Q24" s="260">
        <f t="shared" si="2"/>
        <v>0.29865300967391295</v>
      </c>
      <c r="R24" s="260">
        <f t="shared" si="5"/>
        <v>59.13129468565741</v>
      </c>
      <c r="S24" s="260">
        <f t="shared" si="3"/>
        <v>5.924042024612344</v>
      </c>
      <c r="T24" s="260">
        <f t="shared" si="4"/>
        <v>2.760834167664042</v>
      </c>
      <c r="U24" s="260">
        <f>+(R24*'FACTORES DE CONVERSIÓN'!$B$119/100)*31/55.65</f>
        <v>2.3057485978055094</v>
      </c>
    </row>
    <row r="25" ht="12.75"/>
    <row r="26" spans="1:5" ht="12.75">
      <c r="A26" s="227" t="s">
        <v>995</v>
      </c>
      <c r="B26" s="119"/>
      <c r="C26" s="119"/>
      <c r="D26" s="119"/>
      <c r="E26" s="271"/>
    </row>
    <row r="27" spans="1:22" ht="12.75">
      <c r="A27" s="1297" t="s">
        <v>169</v>
      </c>
      <c r="B27" s="1212" t="s">
        <v>152</v>
      </c>
      <c r="C27" s="1275"/>
      <c r="D27" s="1213"/>
      <c r="E27" s="1297" t="s">
        <v>170</v>
      </c>
      <c r="F27" s="1237" t="s">
        <v>81</v>
      </c>
      <c r="G27" s="1237"/>
      <c r="H27" s="1237"/>
      <c r="I27" s="1237"/>
      <c r="J27" s="1237"/>
      <c r="T27" s="1">
        <v>8.69</v>
      </c>
      <c r="U27" s="1">
        <v>8.06</v>
      </c>
      <c r="V27" s="1">
        <v>9.38</v>
      </c>
    </row>
    <row r="28" spans="1:22" ht="25.5">
      <c r="A28" s="1298"/>
      <c r="B28" s="194" t="s">
        <v>155</v>
      </c>
      <c r="C28" s="194" t="s">
        <v>171</v>
      </c>
      <c r="D28" s="194" t="s">
        <v>172</v>
      </c>
      <c r="E28" s="1298"/>
      <c r="F28" s="1237"/>
      <c r="G28" s="1237"/>
      <c r="H28" s="1237"/>
      <c r="I28" s="1237"/>
      <c r="J28" s="1237"/>
      <c r="K28" s="508" t="s">
        <v>989</v>
      </c>
      <c r="U28" s="710">
        <f>(U27-T27)/T27</f>
        <v>-0.07249712313003441</v>
      </c>
      <c r="V28" s="710">
        <f>(V27-T27)/T27</f>
        <v>0.07940161104718083</v>
      </c>
    </row>
    <row r="29" spans="1:10" ht="12.75" customHeight="1">
      <c r="A29" s="272" t="s">
        <v>161</v>
      </c>
      <c r="B29" s="273">
        <v>1</v>
      </c>
      <c r="C29" s="274">
        <v>1</v>
      </c>
      <c r="D29" s="275">
        <v>2</v>
      </c>
      <c r="E29" s="221">
        <f>(B29*'3A1_3A2_3C6 INFO PROC'!B161)+(C29*'3A1_3A2_3C6 INFO PROC'!C161)+(D29*'3A1_3A2_3C6 INFO PROC'!D161)</f>
        <v>1.0431408099424149</v>
      </c>
      <c r="F29" s="1296" t="s">
        <v>174</v>
      </c>
      <c r="G29" s="1296"/>
      <c r="H29" s="1296"/>
      <c r="I29" s="1296"/>
      <c r="J29" s="1296"/>
    </row>
    <row r="30" spans="1:10" ht="12.75" customHeight="1">
      <c r="A30" s="272" t="s">
        <v>162</v>
      </c>
      <c r="B30" s="273">
        <v>1</v>
      </c>
      <c r="C30" s="274">
        <v>1</v>
      </c>
      <c r="D30" s="275">
        <v>1</v>
      </c>
      <c r="E30" s="221">
        <f>(B30*'3A1_3A2_3C6 INFO PROC'!B162)+(C30*'3A1_3A2_3C6 INFO PROC'!C162)+(D30*'3A1_3A2_3C6 INFO PROC'!D162)</f>
        <v>0.9999999999999999</v>
      </c>
      <c r="F30" s="1296" t="s">
        <v>174</v>
      </c>
      <c r="G30" s="1296"/>
      <c r="H30" s="1296"/>
      <c r="I30" s="1296"/>
      <c r="J30" s="1296"/>
    </row>
    <row r="31" spans="1:10" ht="12.75" customHeight="1">
      <c r="A31" s="272" t="s">
        <v>46</v>
      </c>
      <c r="B31" s="273">
        <v>0.1</v>
      </c>
      <c r="C31" s="274">
        <v>0.15</v>
      </c>
      <c r="D31" s="275">
        <v>0.2</v>
      </c>
      <c r="E31" s="221">
        <f>(B31*'3A1_3A2_3C6 INFO PROC'!B163)+(C31*'3A1_3A2_3C6 INFO PROC'!C163)+(D31*'3A1_3A2_3C6 INFO PROC'!D163)</f>
        <v>0.11613509318546644</v>
      </c>
      <c r="F31" s="1296" t="s">
        <v>174</v>
      </c>
      <c r="G31" s="1296"/>
      <c r="H31" s="1296"/>
      <c r="I31" s="1296"/>
      <c r="J31" s="1296"/>
    </row>
    <row r="32" spans="1:10" ht="12.75" customHeight="1">
      <c r="A32" s="272" t="s">
        <v>45</v>
      </c>
      <c r="B32" s="273">
        <v>0.11</v>
      </c>
      <c r="C32" s="274">
        <v>0.17</v>
      </c>
      <c r="D32" s="275">
        <v>0.22</v>
      </c>
      <c r="E32" s="221">
        <f>(B32*'3A1_3A2_3C6 INFO PROC'!B164)+(C32*'3A1_3A2_3C6 INFO PROC'!C164)+(D32*'3A1_3A2_3C6 INFO PROC'!D164)</f>
        <v>0.16507287016688185</v>
      </c>
      <c r="F32" s="1296" t="s">
        <v>174</v>
      </c>
      <c r="G32" s="1296"/>
      <c r="H32" s="1296"/>
      <c r="I32" s="1296"/>
      <c r="J32" s="1296"/>
    </row>
    <row r="33" spans="1:10" ht="12.75" customHeight="1">
      <c r="A33" s="272" t="s">
        <v>72</v>
      </c>
      <c r="B33" s="273">
        <v>1.09</v>
      </c>
      <c r="C33" s="274">
        <v>1.64</v>
      </c>
      <c r="D33" s="275">
        <v>2.19</v>
      </c>
      <c r="E33" s="221">
        <f>(B33*'3A1_3A2_3C6 INFO PROC'!B165)+(C33*'3A1_3A2_3C6 INFO PROC'!C165)+(D33*'3A1_3A2_3C6 INFO PROC'!D165)</f>
        <v>1.434538180057618</v>
      </c>
      <c r="F33" s="1296" t="s">
        <v>174</v>
      </c>
      <c r="G33" s="1296"/>
      <c r="H33" s="1296"/>
      <c r="I33" s="1296"/>
      <c r="J33" s="1296"/>
    </row>
    <row r="34" spans="1:10" ht="12.75" customHeight="1">
      <c r="A34" s="272" t="s">
        <v>150</v>
      </c>
      <c r="B34" s="273">
        <v>0.6</v>
      </c>
      <c r="C34" s="274">
        <v>0.9</v>
      </c>
      <c r="D34" s="275">
        <v>1.2</v>
      </c>
      <c r="E34" s="221">
        <f>(B34*'3A1_3A2_3C6 INFO PROC'!B166)+(C34*'3A1_3A2_3C6 INFO PROC'!C166)+(D34*'3A1_3A2_3C6 INFO PROC'!D166)</f>
        <v>0.7976472845502857</v>
      </c>
      <c r="F34" s="1296" t="s">
        <v>174</v>
      </c>
      <c r="G34" s="1296"/>
      <c r="H34" s="1296"/>
      <c r="I34" s="1296"/>
      <c r="J34" s="1296"/>
    </row>
    <row r="35" spans="1:10" ht="12.75" customHeight="1">
      <c r="A35" s="272" t="s">
        <v>47</v>
      </c>
      <c r="B35" s="273">
        <v>1</v>
      </c>
      <c r="C35" s="274">
        <v>1</v>
      </c>
      <c r="D35" s="275">
        <v>2</v>
      </c>
      <c r="E35" s="221">
        <f>(B35*'3A1_3A2_3C6 INFO PROC'!B167)+(C35*'3A1_3A2_3C6 INFO PROC'!C167)+(D35*'3A1_3A2_3C6 INFO PROC'!D167)</f>
        <v>1.1056570440308169</v>
      </c>
      <c r="F35" s="1296" t="s">
        <v>174</v>
      </c>
      <c r="G35" s="1296"/>
      <c r="H35" s="1296"/>
      <c r="I35" s="1296"/>
      <c r="J35" s="1296"/>
    </row>
    <row r="36" spans="1:10" ht="26.25" customHeight="1">
      <c r="A36" s="272" t="s">
        <v>43</v>
      </c>
      <c r="B36" s="273">
        <f>((POWER('FACTORES DE CONVERSIÓN'!$B$144,0.75))/(POWER('FACTORES DE CONVERSIÓN'!$B$139,0.75)))*'3A1_3A2 FACTORES DE EMISIÓN'!B31</f>
        <v>0.17009647902831893</v>
      </c>
      <c r="C36" s="274">
        <f>((POWER('FACTORES DE CONVERSIÓN'!$B$144,0.75))/(POWER('FACTORES DE CONVERSIÓN'!$B$139,0.75)))*'3A1_3A2 FACTORES DE EMISIÓN'!C31</f>
        <v>0.2551447185424784</v>
      </c>
      <c r="D36" s="275">
        <f>((POWER('FACTORES DE CONVERSIÓN'!$B$144,0.75))/(POWER('FACTORES DE CONVERSIÓN'!$B$139,0.75)))*'3A1_3A2 FACTORES DE EMISIÓN'!D31</f>
        <v>0.34019295805663785</v>
      </c>
      <c r="E36" s="221">
        <f>(B36*'3A1_3A2_3C6 INFO PROC'!B168)+(C36*'3A1_3A2_3C6 INFO PROC'!C168)+(D36*'3A1_3A2_3C6 INFO PROC'!D168)</f>
        <v>0.18916547297166783</v>
      </c>
      <c r="F36" s="1296" t="s">
        <v>356</v>
      </c>
      <c r="G36" s="1296"/>
      <c r="H36" s="1296"/>
      <c r="I36" s="1296"/>
      <c r="J36" s="1296"/>
    </row>
    <row r="37" spans="1:10" ht="26.25" customHeight="1">
      <c r="A37" s="272" t="s">
        <v>44</v>
      </c>
      <c r="B37" s="273">
        <f>((POWER('FACTORES DE CONVERSIÓN'!$B$145,0.75))/(POWER('FACTORES DE CONVERSIÓN'!$B$139,0.75)))*'3A1_3A2 FACTORES DE EMISIÓN'!B31</f>
        <v>0.2779830875170403</v>
      </c>
      <c r="C37" s="274">
        <f>((POWER('FACTORES DE CONVERSIÓN'!$B$145,0.75))/(POWER('FACTORES DE CONVERSIÓN'!$B$139,0.75)))*'3A1_3A2 FACTORES DE EMISIÓN'!C31</f>
        <v>0.4169746312755605</v>
      </c>
      <c r="D37" s="275">
        <f>((POWER('FACTORES DE CONVERSIÓN'!$B$145,0.75))/(POWER('FACTORES DE CONVERSIÓN'!$B$139,0.75)))*'3A1_3A2 FACTORES DE EMISIÓN'!D31</f>
        <v>0.5559661750340806</v>
      </c>
      <c r="E37" s="221">
        <f>(B37*'3A1_3A2_3C6 INFO PROC'!B169)+(C37*'3A1_3A2_3C6 INFO PROC'!C169)+(D37*'3A1_3A2_3C6 INFO PROC'!D169)</f>
        <v>0.31307923310949143</v>
      </c>
      <c r="F37" s="1296" t="s">
        <v>356</v>
      </c>
      <c r="G37" s="1296"/>
      <c r="H37" s="1296"/>
      <c r="I37" s="1296"/>
      <c r="J37" s="1296"/>
    </row>
    <row r="38" spans="1:10" ht="12.75" customHeight="1">
      <c r="A38" s="272" t="s">
        <v>42</v>
      </c>
      <c r="B38" s="273">
        <v>0.01</v>
      </c>
      <c r="C38" s="274">
        <v>0.02</v>
      </c>
      <c r="D38" s="275">
        <v>0.02</v>
      </c>
      <c r="E38" s="221">
        <f>(B38*'3A1_3A2_3C6 INFO PROC'!B170)+(C38*'3A1_3A2_3C6 INFO PROC'!C170)+(D38*'3A1_3A2_3C6 INFO PROC'!D170)</f>
        <v>0.01937076616802405</v>
      </c>
      <c r="F38" s="1296" t="s">
        <v>174</v>
      </c>
      <c r="G38" s="1296"/>
      <c r="H38" s="1296"/>
      <c r="I38" s="1296"/>
      <c r="J38" s="1296"/>
    </row>
    <row r="39" spans="1:10" ht="12.75" customHeight="1">
      <c r="A39" s="272" t="s">
        <v>74</v>
      </c>
      <c r="B39" s="273">
        <f>((POWER('[1]FACTORES DE CONVERSIÓN'!$C$10,0.75))/(POWER('[1]FACTORES DE CONVERSIÓN'!$N$14,0.75)))*B40</f>
        <v>0.042624143937572384</v>
      </c>
      <c r="C39" s="274">
        <f>((POWER('[1]FACTORES DE CONVERSIÓN'!$C$10,0.75))/(POWER('[1]FACTORES DE CONVERSIÓN'!$N$14,0.75)))*C40</f>
        <v>0.042624143937572384</v>
      </c>
      <c r="D39" s="275">
        <f>((POWER('[1]FACTORES DE CONVERSIÓN'!$C$10,0.75))/(POWER('[1]FACTORES DE CONVERSIÓN'!$N$14,0.75)))*D40</f>
        <v>0.042624143937572384</v>
      </c>
      <c r="E39" s="221">
        <f>(B39*'3A1_3A2_3C6 INFO PROC'!B171)+(C39*'3A1_3A2_3C6 INFO PROC'!C171)+(D39*'3A1_3A2_3C6 INFO PROC'!D171)</f>
        <v>0.0426241439375724</v>
      </c>
      <c r="F39" s="1296" t="s">
        <v>174</v>
      </c>
      <c r="G39" s="1296"/>
      <c r="H39" s="1296"/>
      <c r="I39" s="1296"/>
      <c r="J39" s="1296"/>
    </row>
    <row r="40" spans="1:6" ht="63.75" hidden="1">
      <c r="A40" s="235" t="s">
        <v>173</v>
      </c>
      <c r="B40" s="276">
        <v>0.08</v>
      </c>
      <c r="C40" s="277">
        <v>0.08</v>
      </c>
      <c r="D40" s="278">
        <v>0.08</v>
      </c>
      <c r="E40" s="242">
        <f>(B40*'3A1_3A2_3C6 INFO PROC'!B172)+(C40*'3A1_3A2_3C6 INFO PROC'!C172)+(D40*'3A1_3A2_3C6 INFO PROC'!D172)</f>
        <v>0</v>
      </c>
      <c r="F40" s="572" t="s">
        <v>174</v>
      </c>
    </row>
    <row r="41" ht="12.75"/>
    <row r="42" ht="14.25">
      <c r="A42" s="227" t="s">
        <v>964</v>
      </c>
    </row>
    <row r="43" spans="1:5" ht="51">
      <c r="A43" s="194" t="s">
        <v>179</v>
      </c>
      <c r="B43" s="194" t="s">
        <v>191</v>
      </c>
      <c r="C43" s="194" t="s">
        <v>180</v>
      </c>
      <c r="E43" s="508" t="s">
        <v>989</v>
      </c>
    </row>
    <row r="44" spans="1:3" ht="102">
      <c r="A44" s="235" t="s">
        <v>181</v>
      </c>
      <c r="B44" s="270" t="s">
        <v>182</v>
      </c>
      <c r="C44" s="243" t="s">
        <v>677</v>
      </c>
    </row>
    <row r="45" spans="1:3" ht="25.5">
      <c r="A45" s="272" t="s">
        <v>183</v>
      </c>
      <c r="B45" s="250">
        <v>0</v>
      </c>
      <c r="C45" s="239" t="s">
        <v>677</v>
      </c>
    </row>
    <row r="46" spans="1:3" ht="25.5">
      <c r="A46" s="272" t="s">
        <v>184</v>
      </c>
      <c r="B46" s="250">
        <v>0.01</v>
      </c>
      <c r="C46" s="239" t="s">
        <v>677</v>
      </c>
    </row>
    <row r="47" spans="1:3" ht="191.25">
      <c r="A47" s="235" t="s">
        <v>185</v>
      </c>
      <c r="B47" s="270" t="s">
        <v>186</v>
      </c>
      <c r="C47" s="243" t="s">
        <v>677</v>
      </c>
    </row>
    <row r="48" spans="1:3" ht="25.5">
      <c r="A48" s="272" t="s">
        <v>187</v>
      </c>
      <c r="B48" s="250">
        <v>0.02</v>
      </c>
      <c r="C48" s="239" t="s">
        <v>677</v>
      </c>
    </row>
    <row r="49" spans="1:3" ht="25.5">
      <c r="A49" s="272" t="s">
        <v>188</v>
      </c>
      <c r="B49" s="250">
        <v>0.001</v>
      </c>
      <c r="C49" s="239" t="s">
        <v>677</v>
      </c>
    </row>
    <row r="50" spans="1:3" ht="25.5">
      <c r="A50" s="272" t="s">
        <v>189</v>
      </c>
      <c r="B50" s="250">
        <v>0.001</v>
      </c>
      <c r="C50" s="239" t="s">
        <v>677</v>
      </c>
    </row>
  </sheetData>
  <mergeCells count="15">
    <mergeCell ref="F39:J39"/>
    <mergeCell ref="A27:A28"/>
    <mergeCell ref="B27:D27"/>
    <mergeCell ref="E27:E28"/>
    <mergeCell ref="F27:J28"/>
    <mergeCell ref="F34:J34"/>
    <mergeCell ref="F35:J35"/>
    <mergeCell ref="F36:J36"/>
    <mergeCell ref="F37:J37"/>
    <mergeCell ref="F38:J38"/>
    <mergeCell ref="F29:J29"/>
    <mergeCell ref="F30:J30"/>
    <mergeCell ref="F31:J31"/>
    <mergeCell ref="F32:J32"/>
    <mergeCell ref="F33:J33"/>
  </mergeCells>
  <printOptions/>
  <pageMargins left="0.7" right="0.7" top="0.75" bottom="0.75" header="0.3" footer="0.3"/>
  <pageSetup horizontalDpi="300" verticalDpi="300" orientation="portrait" r:id="rId4"/>
  <drawing r:id="rId3"/>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5A7F2B"/>
  </sheetPr>
  <dimension ref="A1:F6"/>
  <sheetViews>
    <sheetView workbookViewId="0" topLeftCell="A1"/>
  </sheetViews>
  <sheetFormatPr defaultColWidth="10.8515625" defaultRowHeight="15"/>
  <cols>
    <col min="1" max="1" width="13.57421875" style="103" customWidth="1"/>
    <col min="2" max="2" width="20.57421875" style="103" bestFit="1" customWidth="1"/>
    <col min="3" max="3" width="17.28125" style="103" bestFit="1" customWidth="1"/>
    <col min="4" max="4" width="30.140625" style="103" customWidth="1"/>
    <col min="5" max="13" width="10.8515625" style="103" customWidth="1"/>
  </cols>
  <sheetData>
    <row r="1" ht="12.75">
      <c r="A1" s="227" t="s">
        <v>480</v>
      </c>
    </row>
    <row r="2" spans="1:6" ht="51">
      <c r="A2" s="194" t="s">
        <v>226</v>
      </c>
      <c r="B2" s="194" t="s">
        <v>358</v>
      </c>
      <c r="C2" s="194" t="s">
        <v>359</v>
      </c>
      <c r="D2" s="194" t="s">
        <v>180</v>
      </c>
      <c r="F2" s="508" t="s">
        <v>989</v>
      </c>
    </row>
    <row r="3" spans="1:4" ht="25.5">
      <c r="A3" s="279" t="s">
        <v>837</v>
      </c>
      <c r="B3" s="280">
        <v>2.7</v>
      </c>
      <c r="C3" s="280">
        <v>2.3</v>
      </c>
      <c r="D3" s="239" t="s">
        <v>481</v>
      </c>
    </row>
    <row r="4" spans="1:4" ht="25.5">
      <c r="A4" s="279" t="s">
        <v>16</v>
      </c>
      <c r="B4" s="280">
        <v>92</v>
      </c>
      <c r="C4" s="280">
        <v>65</v>
      </c>
      <c r="D4" s="239" t="s">
        <v>481</v>
      </c>
    </row>
    <row r="5" spans="1:4" ht="25.5">
      <c r="A5" s="279" t="s">
        <v>838</v>
      </c>
      <c r="B5" s="280">
        <v>0.07</v>
      </c>
      <c r="C5" s="280">
        <v>0.21</v>
      </c>
      <c r="D5" s="239" t="s">
        <v>481</v>
      </c>
    </row>
    <row r="6" spans="1:4" ht="25.5">
      <c r="A6" s="279" t="s">
        <v>963</v>
      </c>
      <c r="B6" s="280">
        <v>2.5</v>
      </c>
      <c r="C6" s="280">
        <v>3.9</v>
      </c>
      <c r="D6" s="239" t="s">
        <v>481</v>
      </c>
    </row>
  </sheetData>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5A7F2B"/>
  </sheetPr>
  <dimension ref="A1:E4"/>
  <sheetViews>
    <sheetView workbookViewId="0" topLeftCell="A1"/>
  </sheetViews>
  <sheetFormatPr defaultColWidth="10.8515625" defaultRowHeight="15"/>
  <cols>
    <col min="1" max="1" width="10.8515625" style="103" customWidth="1"/>
    <col min="2" max="2" width="20.28125" style="103" bestFit="1" customWidth="1"/>
    <col min="3" max="3" width="39.57421875" style="103" customWidth="1"/>
    <col min="4" max="7" width="10.8515625" style="103" customWidth="1"/>
  </cols>
  <sheetData>
    <row r="1" spans="1:3" ht="12.75">
      <c r="A1" s="281" t="s">
        <v>225</v>
      </c>
      <c r="B1" s="151"/>
      <c r="C1" s="151"/>
    </row>
    <row r="2" spans="1:5" ht="38.25">
      <c r="A2" s="194" t="s">
        <v>226</v>
      </c>
      <c r="B2" s="194" t="s">
        <v>229</v>
      </c>
      <c r="C2" s="194" t="s">
        <v>180</v>
      </c>
      <c r="E2" s="508" t="s">
        <v>989</v>
      </c>
    </row>
    <row r="3" spans="1:3" ht="25.5">
      <c r="A3" s="279" t="s">
        <v>1104</v>
      </c>
      <c r="B3" s="280">
        <v>0.12</v>
      </c>
      <c r="C3" s="239" t="s">
        <v>482</v>
      </c>
    </row>
    <row r="4" spans="1:3" ht="25.5">
      <c r="A4" s="279" t="s">
        <v>1105</v>
      </c>
      <c r="B4" s="280">
        <v>0.13</v>
      </c>
      <c r="C4" s="239" t="s">
        <v>482</v>
      </c>
    </row>
  </sheetData>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5A7F2B"/>
  </sheetPr>
  <dimension ref="A1:E3"/>
  <sheetViews>
    <sheetView workbookViewId="0" topLeftCell="A1"/>
  </sheetViews>
  <sheetFormatPr defaultColWidth="10.8515625" defaultRowHeight="15"/>
  <cols>
    <col min="1" max="1" width="10.8515625" style="103" customWidth="1"/>
    <col min="2" max="2" width="18.28125" style="103" bestFit="1" customWidth="1"/>
    <col min="3" max="3" width="41.8515625" style="103" bestFit="1" customWidth="1"/>
    <col min="4" max="7" width="10.8515625" style="103" customWidth="1"/>
  </cols>
  <sheetData>
    <row r="1" spans="1:3" ht="12.75">
      <c r="A1" s="281" t="s">
        <v>233</v>
      </c>
      <c r="B1" s="151"/>
      <c r="C1" s="151"/>
    </row>
    <row r="2" spans="1:5" ht="51">
      <c r="A2" s="194" t="s">
        <v>236</v>
      </c>
      <c r="B2" s="194" t="s">
        <v>234</v>
      </c>
      <c r="C2" s="194" t="s">
        <v>180</v>
      </c>
      <c r="E2" s="508" t="s">
        <v>989</v>
      </c>
    </row>
    <row r="3" spans="1:3" ht="25.5">
      <c r="A3" s="279" t="s">
        <v>231</v>
      </c>
      <c r="B3" s="280">
        <v>0.2</v>
      </c>
      <c r="C3" s="239" t="s">
        <v>483</v>
      </c>
    </row>
    <row r="4" ht="12.75"/>
    <row r="5" ht="12.7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99"/>
  </sheetPr>
  <dimension ref="A2:AMH50"/>
  <sheetViews>
    <sheetView zoomScale="93" zoomScaleNormal="93" workbookViewId="0" topLeftCell="A4">
      <selection activeCell="K7" sqref="K7"/>
    </sheetView>
  </sheetViews>
  <sheetFormatPr defaultColWidth="9.140625" defaultRowHeight="15"/>
  <cols>
    <col min="1" max="1" width="3.28125" style="60" customWidth="1"/>
    <col min="2" max="2" width="3.57421875" style="97" customWidth="1"/>
    <col min="3" max="3" width="5.28125" style="98" bestFit="1" customWidth="1"/>
    <col min="4" max="4" width="43.140625" style="97" bestFit="1" customWidth="1"/>
    <col min="5" max="5" width="12.140625" style="97" customWidth="1"/>
    <col min="6" max="6" width="5.00390625" style="97" hidden="1" customWidth="1"/>
    <col min="7" max="7" width="13.7109375" style="97" customWidth="1"/>
    <col min="8" max="8" width="24.7109375" style="97" customWidth="1"/>
    <col min="9" max="9" width="11.7109375" style="97" customWidth="1"/>
    <col min="10" max="10" width="17.00390625" style="97" customWidth="1"/>
    <col min="11" max="11" width="18.7109375" style="97" customWidth="1"/>
    <col min="12" max="12" width="16.7109375" style="97" customWidth="1"/>
    <col min="13" max="13" width="12.421875" style="97" customWidth="1"/>
    <col min="14" max="14" width="37.28125" style="97" customWidth="1"/>
    <col min="15" max="15" width="30.140625" style="97" customWidth="1"/>
    <col min="16" max="16" width="26.7109375" style="97" customWidth="1"/>
    <col min="17" max="17" width="11.8515625" style="97" customWidth="1"/>
    <col min="18" max="18" width="39.140625" style="97" customWidth="1"/>
    <col min="19" max="19" width="15.57421875" style="97" customWidth="1"/>
    <col min="20" max="20" width="44.28125" style="97" customWidth="1"/>
    <col min="21" max="21" width="19.57421875" style="97" customWidth="1"/>
    <col min="22" max="1022" width="9.140625" style="97" customWidth="1"/>
    <col min="1023" max="16384" width="9.140625" style="24" customWidth="1"/>
  </cols>
  <sheetData>
    <row r="2" spans="1:17" ht="18.75">
      <c r="A2" s="96"/>
      <c r="B2" s="101" t="s">
        <v>793</v>
      </c>
      <c r="C2" s="101"/>
      <c r="D2" s="101"/>
      <c r="E2" s="101"/>
      <c r="F2" s="101"/>
      <c r="G2" s="101"/>
      <c r="H2" s="101"/>
      <c r="I2" s="101"/>
      <c r="J2" s="101"/>
      <c r="K2" s="101"/>
      <c r="L2" s="101"/>
      <c r="M2" s="101"/>
      <c r="N2" s="101"/>
      <c r="O2" s="101"/>
      <c r="P2" s="101"/>
      <c r="Q2" s="101"/>
    </row>
    <row r="3" s="97" customFormat="1" ht="9" customHeight="1" thickBot="1">
      <c r="A3" s="96"/>
    </row>
    <row r="4" spans="2:21" s="100" customFormat="1" ht="51">
      <c r="B4" s="1156" t="s">
        <v>792</v>
      </c>
      <c r="C4" s="1157"/>
      <c r="D4" s="611" t="s">
        <v>787</v>
      </c>
      <c r="E4" s="1158" t="s">
        <v>791</v>
      </c>
      <c r="F4" s="1158"/>
      <c r="G4" s="611" t="s">
        <v>894</v>
      </c>
      <c r="H4" s="611" t="s">
        <v>80</v>
      </c>
      <c r="I4" s="611" t="s">
        <v>141</v>
      </c>
      <c r="J4" s="611" t="s">
        <v>784</v>
      </c>
      <c r="K4" s="611" t="s">
        <v>783</v>
      </c>
      <c r="L4" s="611" t="s">
        <v>790</v>
      </c>
      <c r="M4" s="611" t="s">
        <v>789</v>
      </c>
      <c r="N4" s="611" t="s">
        <v>788</v>
      </c>
      <c r="O4" s="611" t="s">
        <v>782</v>
      </c>
      <c r="P4" s="611" t="s">
        <v>786</v>
      </c>
      <c r="Q4" s="611" t="s">
        <v>785</v>
      </c>
      <c r="R4" s="611" t="s">
        <v>80</v>
      </c>
      <c r="S4" s="611" t="s">
        <v>784</v>
      </c>
      <c r="T4" s="611" t="s">
        <v>783</v>
      </c>
      <c r="U4" s="492" t="s">
        <v>782</v>
      </c>
    </row>
    <row r="5" spans="2:1022" ht="15">
      <c r="B5" s="493">
        <v>3</v>
      </c>
      <c r="C5" s="494"/>
      <c r="D5" s="495" t="s">
        <v>574</v>
      </c>
      <c r="E5" s="496"/>
      <c r="F5" s="497"/>
      <c r="G5" s="498"/>
      <c r="H5" s="498"/>
      <c r="I5" s="498"/>
      <c r="J5" s="498"/>
      <c r="K5" s="498"/>
      <c r="L5" s="498"/>
      <c r="M5" s="498"/>
      <c r="N5" s="498"/>
      <c r="O5" s="499"/>
      <c r="P5" s="496"/>
      <c r="Q5" s="498"/>
      <c r="R5" s="498"/>
      <c r="S5" s="498"/>
      <c r="T5" s="498"/>
      <c r="U5" s="500"/>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c r="NL5" s="24"/>
      <c r="NM5" s="24"/>
      <c r="NN5" s="24"/>
      <c r="NO5" s="24"/>
      <c r="NP5" s="24"/>
      <c r="NQ5" s="24"/>
      <c r="NR5" s="24"/>
      <c r="NS5" s="24"/>
      <c r="NT5" s="24"/>
      <c r="NU5" s="24"/>
      <c r="NV5" s="24"/>
      <c r="NW5" s="24"/>
      <c r="NX5" s="24"/>
      <c r="NY5" s="24"/>
      <c r="NZ5" s="24"/>
      <c r="OA5" s="24"/>
      <c r="OB5" s="24"/>
      <c r="OC5" s="24"/>
      <c r="OD5" s="24"/>
      <c r="OE5" s="24"/>
      <c r="OF5" s="24"/>
      <c r="OG5" s="24"/>
      <c r="OH5" s="24"/>
      <c r="OI5" s="24"/>
      <c r="OJ5" s="24"/>
      <c r="OK5" s="24"/>
      <c r="OL5" s="24"/>
      <c r="OM5" s="24"/>
      <c r="ON5" s="24"/>
      <c r="OO5" s="24"/>
      <c r="OP5" s="24"/>
      <c r="OQ5" s="24"/>
      <c r="OR5" s="24"/>
      <c r="OS5" s="24"/>
      <c r="OT5" s="24"/>
      <c r="OU5" s="24"/>
      <c r="OV5" s="24"/>
      <c r="OW5" s="24"/>
      <c r="OX5" s="24"/>
      <c r="OY5" s="24"/>
      <c r="OZ5" s="24"/>
      <c r="PA5" s="24"/>
      <c r="PB5" s="24"/>
      <c r="PC5" s="24"/>
      <c r="PD5" s="24"/>
      <c r="PE5" s="24"/>
      <c r="PF5" s="24"/>
      <c r="PG5" s="24"/>
      <c r="PH5" s="24"/>
      <c r="PI5" s="24"/>
      <c r="PJ5" s="24"/>
      <c r="PK5" s="24"/>
      <c r="PL5" s="24"/>
      <c r="PM5" s="24"/>
      <c r="PN5" s="24"/>
      <c r="PO5" s="24"/>
      <c r="PP5" s="24"/>
      <c r="PQ5" s="24"/>
      <c r="PR5" s="24"/>
      <c r="PS5" s="24"/>
      <c r="PT5" s="24"/>
      <c r="PU5" s="24"/>
      <c r="PV5" s="24"/>
      <c r="PW5" s="24"/>
      <c r="PX5" s="24"/>
      <c r="PY5" s="24"/>
      <c r="PZ5" s="24"/>
      <c r="QA5" s="24"/>
      <c r="QB5" s="24"/>
      <c r="QC5" s="24"/>
      <c r="QD5" s="24"/>
      <c r="QE5" s="24"/>
      <c r="QF5" s="24"/>
      <c r="QG5" s="24"/>
      <c r="QH5" s="24"/>
      <c r="QI5" s="24"/>
      <c r="QJ5" s="24"/>
      <c r="QK5" s="24"/>
      <c r="QL5" s="24"/>
      <c r="QM5" s="24"/>
      <c r="QN5" s="24"/>
      <c r="QO5" s="24"/>
      <c r="QP5" s="24"/>
      <c r="QQ5" s="24"/>
      <c r="QR5" s="24"/>
      <c r="QS5" s="24"/>
      <c r="QT5" s="24"/>
      <c r="QU5" s="24"/>
      <c r="QV5" s="24"/>
      <c r="QW5" s="24"/>
      <c r="QX5" s="24"/>
      <c r="QY5" s="24"/>
      <c r="QZ5" s="24"/>
      <c r="RA5" s="24"/>
      <c r="RB5" s="24"/>
      <c r="RC5" s="24"/>
      <c r="RD5" s="24"/>
      <c r="RE5" s="24"/>
      <c r="RF5" s="24"/>
      <c r="RG5" s="24"/>
      <c r="RH5" s="24"/>
      <c r="RI5" s="24"/>
      <c r="RJ5" s="24"/>
      <c r="RK5" s="24"/>
      <c r="RL5" s="24"/>
      <c r="RM5" s="24"/>
      <c r="RN5" s="24"/>
      <c r="RO5" s="24"/>
      <c r="RP5" s="24"/>
      <c r="RQ5" s="24"/>
      <c r="RR5" s="24"/>
      <c r="RS5" s="24"/>
      <c r="RT5" s="24"/>
      <c r="RU5" s="24"/>
      <c r="RV5" s="24"/>
      <c r="RW5" s="24"/>
      <c r="RX5" s="24"/>
      <c r="RY5" s="24"/>
      <c r="RZ5" s="24"/>
      <c r="SA5" s="24"/>
      <c r="SB5" s="24"/>
      <c r="SC5" s="24"/>
      <c r="SD5" s="24"/>
      <c r="SE5" s="24"/>
      <c r="SF5" s="24"/>
      <c r="SG5" s="24"/>
      <c r="SH5" s="24"/>
      <c r="SI5" s="24"/>
      <c r="SJ5" s="24"/>
      <c r="SK5" s="24"/>
      <c r="SL5" s="24"/>
      <c r="SM5" s="24"/>
      <c r="SN5" s="24"/>
      <c r="SO5" s="24"/>
      <c r="SP5" s="24"/>
      <c r="SQ5" s="24"/>
      <c r="SR5" s="24"/>
      <c r="SS5" s="24"/>
      <c r="ST5" s="24"/>
      <c r="SU5" s="24"/>
      <c r="SV5" s="24"/>
      <c r="SW5" s="24"/>
      <c r="SX5" s="24"/>
      <c r="SY5" s="24"/>
      <c r="SZ5" s="24"/>
      <c r="TA5" s="24"/>
      <c r="TB5" s="24"/>
      <c r="TC5" s="24"/>
      <c r="TD5" s="24"/>
      <c r="TE5" s="24"/>
      <c r="TF5" s="24"/>
      <c r="TG5" s="24"/>
      <c r="TH5" s="24"/>
      <c r="TI5" s="24"/>
      <c r="TJ5" s="24"/>
      <c r="TK5" s="24"/>
      <c r="TL5" s="24"/>
      <c r="TM5" s="24"/>
      <c r="TN5" s="24"/>
      <c r="TO5" s="24"/>
      <c r="TP5" s="24"/>
      <c r="TQ5" s="24"/>
      <c r="TR5" s="24"/>
      <c r="TS5" s="24"/>
      <c r="TT5" s="24"/>
      <c r="TU5" s="24"/>
      <c r="TV5" s="24"/>
      <c r="TW5" s="24"/>
      <c r="TX5" s="24"/>
      <c r="TY5" s="24"/>
      <c r="TZ5" s="24"/>
      <c r="UA5" s="24"/>
      <c r="UB5" s="24"/>
      <c r="UC5" s="24"/>
      <c r="UD5" s="24"/>
      <c r="UE5" s="24"/>
      <c r="UF5" s="24"/>
      <c r="UG5" s="24"/>
      <c r="UH5" s="24"/>
      <c r="UI5" s="24"/>
      <c r="UJ5" s="24"/>
      <c r="UK5" s="24"/>
      <c r="UL5" s="24"/>
      <c r="UM5" s="24"/>
      <c r="UN5" s="24"/>
      <c r="UO5" s="24"/>
      <c r="UP5" s="24"/>
      <c r="UQ5" s="24"/>
      <c r="UR5" s="24"/>
      <c r="US5" s="24"/>
      <c r="UT5" s="24"/>
      <c r="UU5" s="24"/>
      <c r="UV5" s="24"/>
      <c r="UW5" s="24"/>
      <c r="UX5" s="24"/>
      <c r="UY5" s="24"/>
      <c r="UZ5" s="24"/>
      <c r="VA5" s="24"/>
      <c r="VB5" s="24"/>
      <c r="VC5" s="24"/>
      <c r="VD5" s="24"/>
      <c r="VE5" s="24"/>
      <c r="VF5" s="24"/>
      <c r="VG5" s="24"/>
      <c r="VH5" s="24"/>
      <c r="VI5" s="24"/>
      <c r="VJ5" s="24"/>
      <c r="VK5" s="24"/>
      <c r="VL5" s="24"/>
      <c r="VM5" s="24"/>
      <c r="VN5" s="24"/>
      <c r="VO5" s="24"/>
      <c r="VP5" s="24"/>
      <c r="VQ5" s="24"/>
      <c r="VR5" s="24"/>
      <c r="VS5" s="24"/>
      <c r="VT5" s="24"/>
      <c r="VU5" s="24"/>
      <c r="VV5" s="24"/>
      <c r="VW5" s="24"/>
      <c r="VX5" s="24"/>
      <c r="VY5" s="24"/>
      <c r="VZ5" s="24"/>
      <c r="WA5" s="24"/>
      <c r="WB5" s="24"/>
      <c r="WC5" s="24"/>
      <c r="WD5" s="24"/>
      <c r="WE5" s="24"/>
      <c r="WF5" s="24"/>
      <c r="WG5" s="24"/>
      <c r="WH5" s="24"/>
      <c r="WI5" s="24"/>
      <c r="WJ5" s="24"/>
      <c r="WK5" s="24"/>
      <c r="WL5" s="24"/>
      <c r="WM5" s="24"/>
      <c r="WN5" s="24"/>
      <c r="WO5" s="24"/>
      <c r="WP5" s="24"/>
      <c r="WQ5" s="24"/>
      <c r="WR5" s="24"/>
      <c r="WS5" s="24"/>
      <c r="WT5" s="24"/>
      <c r="WU5" s="24"/>
      <c r="WV5" s="24"/>
      <c r="WW5" s="24"/>
      <c r="WX5" s="24"/>
      <c r="WY5" s="24"/>
      <c r="WZ5" s="24"/>
      <c r="XA5" s="24"/>
      <c r="XB5" s="24"/>
      <c r="XC5" s="24"/>
      <c r="XD5" s="24"/>
      <c r="XE5" s="24"/>
      <c r="XF5" s="24"/>
      <c r="XG5" s="24"/>
      <c r="XH5" s="24"/>
      <c r="XI5" s="24"/>
      <c r="XJ5" s="24"/>
      <c r="XK5" s="24"/>
      <c r="XL5" s="24"/>
      <c r="XM5" s="24"/>
      <c r="XN5" s="24"/>
      <c r="XO5" s="24"/>
      <c r="XP5" s="24"/>
      <c r="XQ5" s="24"/>
      <c r="XR5" s="24"/>
      <c r="XS5" s="24"/>
      <c r="XT5" s="24"/>
      <c r="XU5" s="24"/>
      <c r="XV5" s="24"/>
      <c r="XW5" s="24"/>
      <c r="XX5" s="24"/>
      <c r="XY5" s="24"/>
      <c r="XZ5" s="24"/>
      <c r="YA5" s="24"/>
      <c r="YB5" s="24"/>
      <c r="YC5" s="24"/>
      <c r="YD5" s="24"/>
      <c r="YE5" s="24"/>
      <c r="YF5" s="24"/>
      <c r="YG5" s="24"/>
      <c r="YH5" s="24"/>
      <c r="YI5" s="24"/>
      <c r="YJ5" s="24"/>
      <c r="YK5" s="24"/>
      <c r="YL5" s="24"/>
      <c r="YM5" s="24"/>
      <c r="YN5" s="24"/>
      <c r="YO5" s="24"/>
      <c r="YP5" s="24"/>
      <c r="YQ5" s="24"/>
      <c r="YR5" s="24"/>
      <c r="YS5" s="24"/>
      <c r="YT5" s="24"/>
      <c r="YU5" s="24"/>
      <c r="YV5" s="24"/>
      <c r="YW5" s="24"/>
      <c r="YX5" s="24"/>
      <c r="YY5" s="24"/>
      <c r="YZ5" s="24"/>
      <c r="ZA5" s="24"/>
      <c r="ZB5" s="24"/>
      <c r="ZC5" s="24"/>
      <c r="ZD5" s="24"/>
      <c r="ZE5" s="24"/>
      <c r="ZF5" s="24"/>
      <c r="ZG5" s="24"/>
      <c r="ZH5" s="24"/>
      <c r="ZI5" s="24"/>
      <c r="ZJ5" s="24"/>
      <c r="ZK5" s="24"/>
      <c r="ZL5" s="24"/>
      <c r="ZM5" s="24"/>
      <c r="ZN5" s="24"/>
      <c r="ZO5" s="24"/>
      <c r="ZP5" s="24"/>
      <c r="ZQ5" s="24"/>
      <c r="ZR5" s="24"/>
      <c r="ZS5" s="24"/>
      <c r="ZT5" s="24"/>
      <c r="ZU5" s="24"/>
      <c r="ZV5" s="24"/>
      <c r="ZW5" s="24"/>
      <c r="ZX5" s="24"/>
      <c r="ZY5" s="24"/>
      <c r="ZZ5" s="24"/>
      <c r="AAA5" s="24"/>
      <c r="AAB5" s="24"/>
      <c r="AAC5" s="24"/>
      <c r="AAD5" s="24"/>
      <c r="AAE5" s="24"/>
      <c r="AAF5" s="24"/>
      <c r="AAG5" s="24"/>
      <c r="AAH5" s="24"/>
      <c r="AAI5" s="24"/>
      <c r="AAJ5" s="24"/>
      <c r="AAK5" s="24"/>
      <c r="AAL5" s="24"/>
      <c r="AAM5" s="24"/>
      <c r="AAN5" s="24"/>
      <c r="AAO5" s="24"/>
      <c r="AAP5" s="24"/>
      <c r="AAQ5" s="24"/>
      <c r="AAR5" s="24"/>
      <c r="AAS5" s="24"/>
      <c r="AAT5" s="24"/>
      <c r="AAU5" s="24"/>
      <c r="AAV5" s="24"/>
      <c r="AAW5" s="24"/>
      <c r="AAX5" s="24"/>
      <c r="AAY5" s="24"/>
      <c r="AAZ5" s="24"/>
      <c r="ABA5" s="24"/>
      <c r="ABB5" s="24"/>
      <c r="ABC5" s="24"/>
      <c r="ABD5" s="24"/>
      <c r="ABE5" s="24"/>
      <c r="ABF5" s="24"/>
      <c r="ABG5" s="24"/>
      <c r="ABH5" s="24"/>
      <c r="ABI5" s="24"/>
      <c r="ABJ5" s="24"/>
      <c r="ABK5" s="24"/>
      <c r="ABL5" s="24"/>
      <c r="ABM5" s="24"/>
      <c r="ABN5" s="24"/>
      <c r="ABO5" s="24"/>
      <c r="ABP5" s="24"/>
      <c r="ABQ5" s="24"/>
      <c r="ABR5" s="24"/>
      <c r="ABS5" s="24"/>
      <c r="ABT5" s="24"/>
      <c r="ABU5" s="24"/>
      <c r="ABV5" s="24"/>
      <c r="ABW5" s="24"/>
      <c r="ABX5" s="24"/>
      <c r="ABY5" s="24"/>
      <c r="ABZ5" s="24"/>
      <c r="ACA5" s="24"/>
      <c r="ACB5" s="24"/>
      <c r="ACC5" s="24"/>
      <c r="ACD5" s="24"/>
      <c r="ACE5" s="24"/>
      <c r="ACF5" s="24"/>
      <c r="ACG5" s="24"/>
      <c r="ACH5" s="24"/>
      <c r="ACI5" s="24"/>
      <c r="ACJ5" s="24"/>
      <c r="ACK5" s="24"/>
      <c r="ACL5" s="24"/>
      <c r="ACM5" s="24"/>
      <c r="ACN5" s="24"/>
      <c r="ACO5" s="24"/>
      <c r="ACP5" s="24"/>
      <c r="ACQ5" s="24"/>
      <c r="ACR5" s="24"/>
      <c r="ACS5" s="24"/>
      <c r="ACT5" s="24"/>
      <c r="ACU5" s="24"/>
      <c r="ACV5" s="24"/>
      <c r="ACW5" s="24"/>
      <c r="ACX5" s="24"/>
      <c r="ACY5" s="24"/>
      <c r="ACZ5" s="24"/>
      <c r="ADA5" s="24"/>
      <c r="ADB5" s="24"/>
      <c r="ADC5" s="24"/>
      <c r="ADD5" s="24"/>
      <c r="ADE5" s="24"/>
      <c r="ADF5" s="24"/>
      <c r="ADG5" s="24"/>
      <c r="ADH5" s="24"/>
      <c r="ADI5" s="24"/>
      <c r="ADJ5" s="24"/>
      <c r="ADK5" s="24"/>
      <c r="ADL5" s="24"/>
      <c r="ADM5" s="24"/>
      <c r="ADN5" s="24"/>
      <c r="ADO5" s="24"/>
      <c r="ADP5" s="24"/>
      <c r="ADQ5" s="24"/>
      <c r="ADR5" s="24"/>
      <c r="ADS5" s="24"/>
      <c r="ADT5" s="24"/>
      <c r="ADU5" s="24"/>
      <c r="ADV5" s="24"/>
      <c r="ADW5" s="24"/>
      <c r="ADX5" s="24"/>
      <c r="ADY5" s="24"/>
      <c r="ADZ5" s="24"/>
      <c r="AEA5" s="24"/>
      <c r="AEB5" s="24"/>
      <c r="AEC5" s="24"/>
      <c r="AED5" s="24"/>
      <c r="AEE5" s="24"/>
      <c r="AEF5" s="24"/>
      <c r="AEG5" s="24"/>
      <c r="AEH5" s="24"/>
      <c r="AEI5" s="24"/>
      <c r="AEJ5" s="24"/>
      <c r="AEK5" s="24"/>
      <c r="AEL5" s="24"/>
      <c r="AEM5" s="24"/>
      <c r="AEN5" s="24"/>
      <c r="AEO5" s="24"/>
      <c r="AEP5" s="24"/>
      <c r="AEQ5" s="24"/>
      <c r="AER5" s="24"/>
      <c r="AES5" s="24"/>
      <c r="AET5" s="24"/>
      <c r="AEU5" s="24"/>
      <c r="AEV5" s="24"/>
      <c r="AEW5" s="24"/>
      <c r="AEX5" s="24"/>
      <c r="AEY5" s="24"/>
      <c r="AEZ5" s="24"/>
      <c r="AFA5" s="24"/>
      <c r="AFB5" s="24"/>
      <c r="AFC5" s="24"/>
      <c r="AFD5" s="24"/>
      <c r="AFE5" s="24"/>
      <c r="AFF5" s="24"/>
      <c r="AFG5" s="24"/>
      <c r="AFH5" s="24"/>
      <c r="AFI5" s="24"/>
      <c r="AFJ5" s="24"/>
      <c r="AFK5" s="24"/>
      <c r="AFL5" s="24"/>
      <c r="AFM5" s="24"/>
      <c r="AFN5" s="24"/>
      <c r="AFO5" s="24"/>
      <c r="AFP5" s="24"/>
      <c r="AFQ5" s="24"/>
      <c r="AFR5" s="24"/>
      <c r="AFS5" s="24"/>
      <c r="AFT5" s="24"/>
      <c r="AFU5" s="24"/>
      <c r="AFV5" s="24"/>
      <c r="AFW5" s="24"/>
      <c r="AFX5" s="24"/>
      <c r="AFY5" s="24"/>
      <c r="AFZ5" s="24"/>
      <c r="AGA5" s="24"/>
      <c r="AGB5" s="24"/>
      <c r="AGC5" s="24"/>
      <c r="AGD5" s="24"/>
      <c r="AGE5" s="24"/>
      <c r="AGF5" s="24"/>
      <c r="AGG5" s="24"/>
      <c r="AGH5" s="24"/>
      <c r="AGI5" s="24"/>
      <c r="AGJ5" s="24"/>
      <c r="AGK5" s="24"/>
      <c r="AGL5" s="24"/>
      <c r="AGM5" s="24"/>
      <c r="AGN5" s="24"/>
      <c r="AGO5" s="24"/>
      <c r="AGP5" s="24"/>
      <c r="AGQ5" s="24"/>
      <c r="AGR5" s="24"/>
      <c r="AGS5" s="24"/>
      <c r="AGT5" s="24"/>
      <c r="AGU5" s="24"/>
      <c r="AGV5" s="24"/>
      <c r="AGW5" s="24"/>
      <c r="AGX5" s="24"/>
      <c r="AGY5" s="24"/>
      <c r="AGZ5" s="24"/>
      <c r="AHA5" s="24"/>
      <c r="AHB5" s="24"/>
      <c r="AHC5" s="24"/>
      <c r="AHD5" s="24"/>
      <c r="AHE5" s="24"/>
      <c r="AHF5" s="24"/>
      <c r="AHG5" s="24"/>
      <c r="AHH5" s="24"/>
      <c r="AHI5" s="24"/>
      <c r="AHJ5" s="24"/>
      <c r="AHK5" s="24"/>
      <c r="AHL5" s="24"/>
      <c r="AHM5" s="24"/>
      <c r="AHN5" s="24"/>
      <c r="AHO5" s="24"/>
      <c r="AHP5" s="24"/>
      <c r="AHQ5" s="24"/>
      <c r="AHR5" s="24"/>
      <c r="AHS5" s="24"/>
      <c r="AHT5" s="24"/>
      <c r="AHU5" s="24"/>
      <c r="AHV5" s="24"/>
      <c r="AHW5" s="24"/>
      <c r="AHX5" s="24"/>
      <c r="AHY5" s="24"/>
      <c r="AHZ5" s="24"/>
      <c r="AIA5" s="24"/>
      <c r="AIB5" s="24"/>
      <c r="AIC5" s="24"/>
      <c r="AID5" s="24"/>
      <c r="AIE5" s="24"/>
      <c r="AIF5" s="24"/>
      <c r="AIG5" s="24"/>
      <c r="AIH5" s="24"/>
      <c r="AII5" s="24"/>
      <c r="AIJ5" s="24"/>
      <c r="AIK5" s="24"/>
      <c r="AIL5" s="24"/>
      <c r="AIM5" s="24"/>
      <c r="AIN5" s="24"/>
      <c r="AIO5" s="24"/>
      <c r="AIP5" s="24"/>
      <c r="AIQ5" s="24"/>
      <c r="AIR5" s="24"/>
      <c r="AIS5" s="24"/>
      <c r="AIT5" s="24"/>
      <c r="AIU5" s="24"/>
      <c r="AIV5" s="24"/>
      <c r="AIW5" s="24"/>
      <c r="AIX5" s="24"/>
      <c r="AIY5" s="24"/>
      <c r="AIZ5" s="24"/>
      <c r="AJA5" s="24"/>
      <c r="AJB5" s="24"/>
      <c r="AJC5" s="24"/>
      <c r="AJD5" s="24"/>
      <c r="AJE5" s="24"/>
      <c r="AJF5" s="24"/>
      <c r="AJG5" s="24"/>
      <c r="AJH5" s="24"/>
      <c r="AJI5" s="24"/>
      <c r="AJJ5" s="24"/>
      <c r="AJK5" s="24"/>
      <c r="AJL5" s="24"/>
      <c r="AJM5" s="24"/>
      <c r="AJN5" s="24"/>
      <c r="AJO5" s="24"/>
      <c r="AJP5" s="24"/>
      <c r="AJQ5" s="24"/>
      <c r="AJR5" s="24"/>
      <c r="AJS5" s="24"/>
      <c r="AJT5" s="24"/>
      <c r="AJU5" s="24"/>
      <c r="AJV5" s="24"/>
      <c r="AJW5" s="24"/>
      <c r="AJX5" s="24"/>
      <c r="AJY5" s="24"/>
      <c r="AJZ5" s="24"/>
      <c r="AKA5" s="24"/>
      <c r="AKB5" s="24"/>
      <c r="AKC5" s="24"/>
      <c r="AKD5" s="24"/>
      <c r="AKE5" s="24"/>
      <c r="AKF5" s="24"/>
      <c r="AKG5" s="24"/>
      <c r="AKH5" s="24"/>
      <c r="AKI5" s="24"/>
      <c r="AKJ5" s="24"/>
      <c r="AKK5" s="24"/>
      <c r="AKL5" s="24"/>
      <c r="AKM5" s="24"/>
      <c r="AKN5" s="24"/>
      <c r="AKO5" s="24"/>
      <c r="AKP5" s="24"/>
      <c r="AKQ5" s="24"/>
      <c r="AKR5" s="24"/>
      <c r="AKS5" s="24"/>
      <c r="AKT5" s="24"/>
      <c r="AKU5" s="24"/>
      <c r="AKV5" s="24"/>
      <c r="AKW5" s="24"/>
      <c r="AKX5" s="24"/>
      <c r="AKY5" s="24"/>
      <c r="AKZ5" s="24"/>
      <c r="ALA5" s="24"/>
      <c r="ALB5" s="24"/>
      <c r="ALC5" s="24"/>
      <c r="ALD5" s="24"/>
      <c r="ALE5" s="24"/>
      <c r="ALF5" s="24"/>
      <c r="ALG5" s="24"/>
      <c r="ALH5" s="24"/>
      <c r="ALI5" s="24"/>
      <c r="ALJ5" s="24"/>
      <c r="ALK5" s="24"/>
      <c r="ALL5" s="24"/>
      <c r="ALM5" s="24"/>
      <c r="ALN5" s="24"/>
      <c r="ALO5" s="24"/>
      <c r="ALP5" s="24"/>
      <c r="ALQ5" s="24"/>
      <c r="ALR5" s="24"/>
      <c r="ALS5" s="24"/>
      <c r="ALT5" s="24"/>
      <c r="ALU5" s="24"/>
      <c r="ALV5" s="24"/>
      <c r="ALW5" s="24"/>
      <c r="ALX5" s="24"/>
      <c r="ALY5" s="24"/>
      <c r="ALZ5" s="24"/>
      <c r="AMA5" s="24"/>
      <c r="AMB5" s="24"/>
      <c r="AMC5" s="24"/>
      <c r="AMD5" s="24"/>
      <c r="AME5" s="24"/>
      <c r="AMF5" s="24"/>
      <c r="AMG5" s="24"/>
      <c r="AMH5" s="24"/>
    </row>
    <row r="6" spans="2:1022" ht="76.5" customHeight="1">
      <c r="B6" s="501"/>
      <c r="C6" s="1159" t="s">
        <v>586</v>
      </c>
      <c r="D6" s="1136" t="s">
        <v>575</v>
      </c>
      <c r="E6" s="1139" t="s">
        <v>895</v>
      </c>
      <c r="F6" s="484"/>
      <c r="G6" s="1139" t="s">
        <v>906</v>
      </c>
      <c r="H6" s="1139" t="s">
        <v>490</v>
      </c>
      <c r="I6" s="1126" t="s">
        <v>926</v>
      </c>
      <c r="J6" s="1126" t="s">
        <v>910</v>
      </c>
      <c r="K6" s="602" t="s">
        <v>145</v>
      </c>
      <c r="L6" s="1126" t="s">
        <v>781</v>
      </c>
      <c r="M6" s="1126" t="s">
        <v>911</v>
      </c>
      <c r="N6" s="1126" t="s">
        <v>913</v>
      </c>
      <c r="O6" s="1150" t="s">
        <v>914</v>
      </c>
      <c r="P6" s="1126" t="s">
        <v>916</v>
      </c>
      <c r="Q6" s="1126" t="s">
        <v>780</v>
      </c>
      <c r="R6" s="1126"/>
      <c r="S6" s="1126">
        <v>1</v>
      </c>
      <c r="T6" s="1142" t="s">
        <v>918</v>
      </c>
      <c r="U6" s="1129" t="s">
        <v>920</v>
      </c>
      <c r="W6" s="103"/>
      <c r="X6" s="119"/>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c r="IW6" s="24"/>
      <c r="IX6" s="24"/>
      <c r="IY6" s="24"/>
      <c r="IZ6" s="24"/>
      <c r="JA6" s="24"/>
      <c r="JB6" s="24"/>
      <c r="JC6" s="24"/>
      <c r="JD6" s="24"/>
      <c r="JE6" s="24"/>
      <c r="JF6" s="24"/>
      <c r="JG6" s="24"/>
      <c r="JH6" s="24"/>
      <c r="JI6" s="24"/>
      <c r="JJ6" s="24"/>
      <c r="JK6" s="24"/>
      <c r="JL6" s="24"/>
      <c r="JM6" s="24"/>
      <c r="JN6" s="24"/>
      <c r="JO6" s="24"/>
      <c r="JP6" s="24"/>
      <c r="JQ6" s="24"/>
      <c r="JR6" s="24"/>
      <c r="JS6" s="24"/>
      <c r="JT6" s="24"/>
      <c r="JU6" s="24"/>
      <c r="JV6" s="24"/>
      <c r="JW6" s="24"/>
      <c r="JX6" s="24"/>
      <c r="JY6" s="24"/>
      <c r="JZ6" s="24"/>
      <c r="KA6" s="24"/>
      <c r="KB6" s="24"/>
      <c r="KC6" s="24"/>
      <c r="KD6" s="24"/>
      <c r="KE6" s="24"/>
      <c r="KF6" s="24"/>
      <c r="KG6" s="24"/>
      <c r="KH6" s="24"/>
      <c r="KI6" s="24"/>
      <c r="KJ6" s="24"/>
      <c r="KK6" s="24"/>
      <c r="KL6" s="24"/>
      <c r="KM6" s="24"/>
      <c r="KN6" s="24"/>
      <c r="KO6" s="24"/>
      <c r="KP6" s="24"/>
      <c r="KQ6" s="24"/>
      <c r="KR6" s="24"/>
      <c r="KS6" s="24"/>
      <c r="KT6" s="24"/>
      <c r="KU6" s="24"/>
      <c r="KV6" s="24"/>
      <c r="KW6" s="24"/>
      <c r="KX6" s="24"/>
      <c r="KY6" s="24"/>
      <c r="KZ6" s="24"/>
      <c r="LA6" s="24"/>
      <c r="LB6" s="24"/>
      <c r="LC6" s="24"/>
      <c r="LD6" s="24"/>
      <c r="LE6" s="24"/>
      <c r="LF6" s="24"/>
      <c r="LG6" s="24"/>
      <c r="LH6" s="24"/>
      <c r="LI6" s="24"/>
      <c r="LJ6" s="24"/>
      <c r="LK6" s="24"/>
      <c r="LL6" s="24"/>
      <c r="LM6" s="24"/>
      <c r="LN6" s="24"/>
      <c r="LO6" s="24"/>
      <c r="LP6" s="24"/>
      <c r="LQ6" s="24"/>
      <c r="LR6" s="24"/>
      <c r="LS6" s="24"/>
      <c r="LT6" s="24"/>
      <c r="LU6" s="24"/>
      <c r="LV6" s="24"/>
      <c r="LW6" s="24"/>
      <c r="LX6" s="24"/>
      <c r="LY6" s="24"/>
      <c r="LZ6" s="24"/>
      <c r="MA6" s="24"/>
      <c r="MB6" s="24"/>
      <c r="MC6" s="24"/>
      <c r="MD6" s="24"/>
      <c r="ME6" s="24"/>
      <c r="MF6" s="24"/>
      <c r="MG6" s="24"/>
      <c r="MH6" s="24"/>
      <c r="MI6" s="24"/>
      <c r="MJ6" s="24"/>
      <c r="MK6" s="24"/>
      <c r="ML6" s="24"/>
      <c r="MM6" s="24"/>
      <c r="MN6" s="24"/>
      <c r="MO6" s="24"/>
      <c r="MP6" s="24"/>
      <c r="MQ6" s="24"/>
      <c r="MR6" s="24"/>
      <c r="MS6" s="24"/>
      <c r="MT6" s="24"/>
      <c r="MU6" s="24"/>
      <c r="MV6" s="24"/>
      <c r="MW6" s="24"/>
      <c r="MX6" s="24"/>
      <c r="MY6" s="24"/>
      <c r="MZ6" s="24"/>
      <c r="NA6" s="24"/>
      <c r="NB6" s="24"/>
      <c r="NC6" s="24"/>
      <c r="ND6" s="24"/>
      <c r="NE6" s="24"/>
      <c r="NF6" s="24"/>
      <c r="NG6" s="24"/>
      <c r="NH6" s="24"/>
      <c r="NI6" s="24"/>
      <c r="NJ6" s="24"/>
      <c r="NK6" s="24"/>
      <c r="NL6" s="24"/>
      <c r="NM6" s="24"/>
      <c r="NN6" s="24"/>
      <c r="NO6" s="24"/>
      <c r="NP6" s="24"/>
      <c r="NQ6" s="24"/>
      <c r="NR6" s="24"/>
      <c r="NS6" s="24"/>
      <c r="NT6" s="24"/>
      <c r="NU6" s="24"/>
      <c r="NV6" s="24"/>
      <c r="NW6" s="24"/>
      <c r="NX6" s="24"/>
      <c r="NY6" s="24"/>
      <c r="NZ6" s="24"/>
      <c r="OA6" s="24"/>
      <c r="OB6" s="24"/>
      <c r="OC6" s="24"/>
      <c r="OD6" s="24"/>
      <c r="OE6" s="24"/>
      <c r="OF6" s="24"/>
      <c r="OG6" s="24"/>
      <c r="OH6" s="24"/>
      <c r="OI6" s="24"/>
      <c r="OJ6" s="24"/>
      <c r="OK6" s="24"/>
      <c r="OL6" s="24"/>
      <c r="OM6" s="24"/>
      <c r="ON6" s="24"/>
      <c r="OO6" s="24"/>
      <c r="OP6" s="24"/>
      <c r="OQ6" s="24"/>
      <c r="OR6" s="24"/>
      <c r="OS6" s="24"/>
      <c r="OT6" s="24"/>
      <c r="OU6" s="24"/>
      <c r="OV6" s="24"/>
      <c r="OW6" s="24"/>
      <c r="OX6" s="24"/>
      <c r="OY6" s="24"/>
      <c r="OZ6" s="24"/>
      <c r="PA6" s="24"/>
      <c r="PB6" s="24"/>
      <c r="PC6" s="24"/>
      <c r="PD6" s="24"/>
      <c r="PE6" s="24"/>
      <c r="PF6" s="24"/>
      <c r="PG6" s="24"/>
      <c r="PH6" s="24"/>
      <c r="PI6" s="24"/>
      <c r="PJ6" s="24"/>
      <c r="PK6" s="24"/>
      <c r="PL6" s="24"/>
      <c r="PM6" s="24"/>
      <c r="PN6" s="24"/>
      <c r="PO6" s="24"/>
      <c r="PP6" s="24"/>
      <c r="PQ6" s="24"/>
      <c r="PR6" s="24"/>
      <c r="PS6" s="24"/>
      <c r="PT6" s="24"/>
      <c r="PU6" s="24"/>
      <c r="PV6" s="24"/>
      <c r="PW6" s="24"/>
      <c r="PX6" s="24"/>
      <c r="PY6" s="24"/>
      <c r="PZ6" s="24"/>
      <c r="QA6" s="24"/>
      <c r="QB6" s="24"/>
      <c r="QC6" s="24"/>
      <c r="QD6" s="24"/>
      <c r="QE6" s="24"/>
      <c r="QF6" s="24"/>
      <c r="QG6" s="24"/>
      <c r="QH6" s="24"/>
      <c r="QI6" s="24"/>
      <c r="QJ6" s="24"/>
      <c r="QK6" s="24"/>
      <c r="QL6" s="24"/>
      <c r="QM6" s="24"/>
      <c r="QN6" s="24"/>
      <c r="QO6" s="24"/>
      <c r="QP6" s="24"/>
      <c r="QQ6" s="24"/>
      <c r="QR6" s="24"/>
      <c r="QS6" s="24"/>
      <c r="QT6" s="24"/>
      <c r="QU6" s="24"/>
      <c r="QV6" s="24"/>
      <c r="QW6" s="24"/>
      <c r="QX6" s="24"/>
      <c r="QY6" s="24"/>
      <c r="QZ6" s="24"/>
      <c r="RA6" s="24"/>
      <c r="RB6" s="24"/>
      <c r="RC6" s="24"/>
      <c r="RD6" s="24"/>
      <c r="RE6" s="24"/>
      <c r="RF6" s="24"/>
      <c r="RG6" s="24"/>
      <c r="RH6" s="24"/>
      <c r="RI6" s="24"/>
      <c r="RJ6" s="24"/>
      <c r="RK6" s="24"/>
      <c r="RL6" s="24"/>
      <c r="RM6" s="24"/>
      <c r="RN6" s="24"/>
      <c r="RO6" s="24"/>
      <c r="RP6" s="24"/>
      <c r="RQ6" s="24"/>
      <c r="RR6" s="24"/>
      <c r="RS6" s="24"/>
      <c r="RT6" s="24"/>
      <c r="RU6" s="24"/>
      <c r="RV6" s="24"/>
      <c r="RW6" s="24"/>
      <c r="RX6" s="24"/>
      <c r="RY6" s="24"/>
      <c r="RZ6" s="24"/>
      <c r="SA6" s="24"/>
      <c r="SB6" s="24"/>
      <c r="SC6" s="24"/>
      <c r="SD6" s="24"/>
      <c r="SE6" s="24"/>
      <c r="SF6" s="24"/>
      <c r="SG6" s="24"/>
      <c r="SH6" s="24"/>
      <c r="SI6" s="24"/>
      <c r="SJ6" s="24"/>
      <c r="SK6" s="24"/>
      <c r="SL6" s="24"/>
      <c r="SM6" s="24"/>
      <c r="SN6" s="24"/>
      <c r="SO6" s="24"/>
      <c r="SP6" s="24"/>
      <c r="SQ6" s="24"/>
      <c r="SR6" s="24"/>
      <c r="SS6" s="24"/>
      <c r="ST6" s="24"/>
      <c r="SU6" s="24"/>
      <c r="SV6" s="24"/>
      <c r="SW6" s="24"/>
      <c r="SX6" s="24"/>
      <c r="SY6" s="24"/>
      <c r="SZ6" s="24"/>
      <c r="TA6" s="24"/>
      <c r="TB6" s="24"/>
      <c r="TC6" s="24"/>
      <c r="TD6" s="24"/>
      <c r="TE6" s="24"/>
      <c r="TF6" s="24"/>
      <c r="TG6" s="24"/>
      <c r="TH6" s="24"/>
      <c r="TI6" s="24"/>
      <c r="TJ6" s="24"/>
      <c r="TK6" s="24"/>
      <c r="TL6" s="24"/>
      <c r="TM6" s="24"/>
      <c r="TN6" s="24"/>
      <c r="TO6" s="24"/>
      <c r="TP6" s="24"/>
      <c r="TQ6" s="24"/>
      <c r="TR6" s="24"/>
      <c r="TS6" s="24"/>
      <c r="TT6" s="24"/>
      <c r="TU6" s="24"/>
      <c r="TV6" s="24"/>
      <c r="TW6" s="24"/>
      <c r="TX6" s="24"/>
      <c r="TY6" s="24"/>
      <c r="TZ6" s="24"/>
      <c r="UA6" s="24"/>
      <c r="UB6" s="24"/>
      <c r="UC6" s="24"/>
      <c r="UD6" s="24"/>
      <c r="UE6" s="24"/>
      <c r="UF6" s="24"/>
      <c r="UG6" s="24"/>
      <c r="UH6" s="24"/>
      <c r="UI6" s="24"/>
      <c r="UJ6" s="24"/>
      <c r="UK6" s="24"/>
      <c r="UL6" s="24"/>
      <c r="UM6" s="24"/>
      <c r="UN6" s="24"/>
      <c r="UO6" s="24"/>
      <c r="UP6" s="24"/>
      <c r="UQ6" s="24"/>
      <c r="UR6" s="24"/>
      <c r="US6" s="24"/>
      <c r="UT6" s="24"/>
      <c r="UU6" s="24"/>
      <c r="UV6" s="24"/>
      <c r="UW6" s="24"/>
      <c r="UX6" s="24"/>
      <c r="UY6" s="24"/>
      <c r="UZ6" s="24"/>
      <c r="VA6" s="24"/>
      <c r="VB6" s="24"/>
      <c r="VC6" s="24"/>
      <c r="VD6" s="24"/>
      <c r="VE6" s="24"/>
      <c r="VF6" s="24"/>
      <c r="VG6" s="24"/>
      <c r="VH6" s="24"/>
      <c r="VI6" s="24"/>
      <c r="VJ6" s="24"/>
      <c r="VK6" s="24"/>
      <c r="VL6" s="24"/>
      <c r="VM6" s="24"/>
      <c r="VN6" s="24"/>
      <c r="VO6" s="24"/>
      <c r="VP6" s="24"/>
      <c r="VQ6" s="24"/>
      <c r="VR6" s="24"/>
      <c r="VS6" s="24"/>
      <c r="VT6" s="24"/>
      <c r="VU6" s="24"/>
      <c r="VV6" s="24"/>
      <c r="VW6" s="24"/>
      <c r="VX6" s="24"/>
      <c r="VY6" s="24"/>
      <c r="VZ6" s="24"/>
      <c r="WA6" s="24"/>
      <c r="WB6" s="24"/>
      <c r="WC6" s="24"/>
      <c r="WD6" s="24"/>
      <c r="WE6" s="24"/>
      <c r="WF6" s="24"/>
      <c r="WG6" s="24"/>
      <c r="WH6" s="24"/>
      <c r="WI6" s="24"/>
      <c r="WJ6" s="24"/>
      <c r="WK6" s="24"/>
      <c r="WL6" s="24"/>
      <c r="WM6" s="24"/>
      <c r="WN6" s="24"/>
      <c r="WO6" s="24"/>
      <c r="WP6" s="24"/>
      <c r="WQ6" s="24"/>
      <c r="WR6" s="24"/>
      <c r="WS6" s="24"/>
      <c r="WT6" s="24"/>
      <c r="WU6" s="24"/>
      <c r="WV6" s="24"/>
      <c r="WW6" s="24"/>
      <c r="WX6" s="24"/>
      <c r="WY6" s="24"/>
      <c r="WZ6" s="24"/>
      <c r="XA6" s="24"/>
      <c r="XB6" s="24"/>
      <c r="XC6" s="24"/>
      <c r="XD6" s="24"/>
      <c r="XE6" s="24"/>
      <c r="XF6" s="24"/>
      <c r="XG6" s="24"/>
      <c r="XH6" s="24"/>
      <c r="XI6" s="24"/>
      <c r="XJ6" s="24"/>
      <c r="XK6" s="24"/>
      <c r="XL6" s="24"/>
      <c r="XM6" s="24"/>
      <c r="XN6" s="24"/>
      <c r="XO6" s="24"/>
      <c r="XP6" s="24"/>
      <c r="XQ6" s="24"/>
      <c r="XR6" s="24"/>
      <c r="XS6" s="24"/>
      <c r="XT6" s="24"/>
      <c r="XU6" s="24"/>
      <c r="XV6" s="24"/>
      <c r="XW6" s="24"/>
      <c r="XX6" s="24"/>
      <c r="XY6" s="24"/>
      <c r="XZ6" s="24"/>
      <c r="YA6" s="24"/>
      <c r="YB6" s="24"/>
      <c r="YC6" s="24"/>
      <c r="YD6" s="24"/>
      <c r="YE6" s="24"/>
      <c r="YF6" s="24"/>
      <c r="YG6" s="24"/>
      <c r="YH6" s="24"/>
      <c r="YI6" s="24"/>
      <c r="YJ6" s="24"/>
      <c r="YK6" s="24"/>
      <c r="YL6" s="24"/>
      <c r="YM6" s="24"/>
      <c r="YN6" s="24"/>
      <c r="YO6" s="24"/>
      <c r="YP6" s="24"/>
      <c r="YQ6" s="24"/>
      <c r="YR6" s="24"/>
      <c r="YS6" s="24"/>
      <c r="YT6" s="24"/>
      <c r="YU6" s="24"/>
      <c r="YV6" s="24"/>
      <c r="YW6" s="24"/>
      <c r="YX6" s="24"/>
      <c r="YY6" s="24"/>
      <c r="YZ6" s="24"/>
      <c r="ZA6" s="24"/>
      <c r="ZB6" s="24"/>
      <c r="ZC6" s="24"/>
      <c r="ZD6" s="24"/>
      <c r="ZE6" s="24"/>
      <c r="ZF6" s="24"/>
      <c r="ZG6" s="24"/>
      <c r="ZH6" s="24"/>
      <c r="ZI6" s="24"/>
      <c r="ZJ6" s="24"/>
      <c r="ZK6" s="24"/>
      <c r="ZL6" s="24"/>
      <c r="ZM6" s="24"/>
      <c r="ZN6" s="24"/>
      <c r="ZO6" s="24"/>
      <c r="ZP6" s="24"/>
      <c r="ZQ6" s="24"/>
      <c r="ZR6" s="24"/>
      <c r="ZS6" s="24"/>
      <c r="ZT6" s="24"/>
      <c r="ZU6" s="24"/>
      <c r="ZV6" s="24"/>
      <c r="ZW6" s="24"/>
      <c r="ZX6" s="24"/>
      <c r="ZY6" s="24"/>
      <c r="ZZ6" s="24"/>
      <c r="AAA6" s="24"/>
      <c r="AAB6" s="24"/>
      <c r="AAC6" s="24"/>
      <c r="AAD6" s="24"/>
      <c r="AAE6" s="24"/>
      <c r="AAF6" s="24"/>
      <c r="AAG6" s="24"/>
      <c r="AAH6" s="24"/>
      <c r="AAI6" s="24"/>
      <c r="AAJ6" s="24"/>
      <c r="AAK6" s="24"/>
      <c r="AAL6" s="24"/>
      <c r="AAM6" s="24"/>
      <c r="AAN6" s="24"/>
      <c r="AAO6" s="24"/>
      <c r="AAP6" s="24"/>
      <c r="AAQ6" s="24"/>
      <c r="AAR6" s="24"/>
      <c r="AAS6" s="24"/>
      <c r="AAT6" s="24"/>
      <c r="AAU6" s="24"/>
      <c r="AAV6" s="24"/>
      <c r="AAW6" s="24"/>
      <c r="AAX6" s="24"/>
      <c r="AAY6" s="24"/>
      <c r="AAZ6" s="24"/>
      <c r="ABA6" s="24"/>
      <c r="ABB6" s="24"/>
      <c r="ABC6" s="24"/>
      <c r="ABD6" s="24"/>
      <c r="ABE6" s="24"/>
      <c r="ABF6" s="24"/>
      <c r="ABG6" s="24"/>
      <c r="ABH6" s="24"/>
      <c r="ABI6" s="24"/>
      <c r="ABJ6" s="24"/>
      <c r="ABK6" s="24"/>
      <c r="ABL6" s="24"/>
      <c r="ABM6" s="24"/>
      <c r="ABN6" s="24"/>
      <c r="ABO6" s="24"/>
      <c r="ABP6" s="24"/>
      <c r="ABQ6" s="24"/>
      <c r="ABR6" s="24"/>
      <c r="ABS6" s="24"/>
      <c r="ABT6" s="24"/>
      <c r="ABU6" s="24"/>
      <c r="ABV6" s="24"/>
      <c r="ABW6" s="24"/>
      <c r="ABX6" s="24"/>
      <c r="ABY6" s="24"/>
      <c r="ABZ6" s="24"/>
      <c r="ACA6" s="24"/>
      <c r="ACB6" s="24"/>
      <c r="ACC6" s="24"/>
      <c r="ACD6" s="24"/>
      <c r="ACE6" s="24"/>
      <c r="ACF6" s="24"/>
      <c r="ACG6" s="24"/>
      <c r="ACH6" s="24"/>
      <c r="ACI6" s="24"/>
      <c r="ACJ6" s="24"/>
      <c r="ACK6" s="24"/>
      <c r="ACL6" s="24"/>
      <c r="ACM6" s="24"/>
      <c r="ACN6" s="24"/>
      <c r="ACO6" s="24"/>
      <c r="ACP6" s="24"/>
      <c r="ACQ6" s="24"/>
      <c r="ACR6" s="24"/>
      <c r="ACS6" s="24"/>
      <c r="ACT6" s="24"/>
      <c r="ACU6" s="24"/>
      <c r="ACV6" s="24"/>
      <c r="ACW6" s="24"/>
      <c r="ACX6" s="24"/>
      <c r="ACY6" s="24"/>
      <c r="ACZ6" s="24"/>
      <c r="ADA6" s="24"/>
      <c r="ADB6" s="24"/>
      <c r="ADC6" s="24"/>
      <c r="ADD6" s="24"/>
      <c r="ADE6" s="24"/>
      <c r="ADF6" s="24"/>
      <c r="ADG6" s="24"/>
      <c r="ADH6" s="24"/>
      <c r="ADI6" s="24"/>
      <c r="ADJ6" s="24"/>
      <c r="ADK6" s="24"/>
      <c r="ADL6" s="24"/>
      <c r="ADM6" s="24"/>
      <c r="ADN6" s="24"/>
      <c r="ADO6" s="24"/>
      <c r="ADP6" s="24"/>
      <c r="ADQ6" s="24"/>
      <c r="ADR6" s="24"/>
      <c r="ADS6" s="24"/>
      <c r="ADT6" s="24"/>
      <c r="ADU6" s="24"/>
      <c r="ADV6" s="24"/>
      <c r="ADW6" s="24"/>
      <c r="ADX6" s="24"/>
      <c r="ADY6" s="24"/>
      <c r="ADZ6" s="24"/>
      <c r="AEA6" s="24"/>
      <c r="AEB6" s="24"/>
      <c r="AEC6" s="24"/>
      <c r="AED6" s="24"/>
      <c r="AEE6" s="24"/>
      <c r="AEF6" s="24"/>
      <c r="AEG6" s="24"/>
      <c r="AEH6" s="24"/>
      <c r="AEI6" s="24"/>
      <c r="AEJ6" s="24"/>
      <c r="AEK6" s="24"/>
      <c r="AEL6" s="24"/>
      <c r="AEM6" s="24"/>
      <c r="AEN6" s="24"/>
      <c r="AEO6" s="24"/>
      <c r="AEP6" s="24"/>
      <c r="AEQ6" s="24"/>
      <c r="AER6" s="24"/>
      <c r="AES6" s="24"/>
      <c r="AET6" s="24"/>
      <c r="AEU6" s="24"/>
      <c r="AEV6" s="24"/>
      <c r="AEW6" s="24"/>
      <c r="AEX6" s="24"/>
      <c r="AEY6" s="24"/>
      <c r="AEZ6" s="24"/>
      <c r="AFA6" s="24"/>
      <c r="AFB6" s="24"/>
      <c r="AFC6" s="24"/>
      <c r="AFD6" s="24"/>
      <c r="AFE6" s="24"/>
      <c r="AFF6" s="24"/>
      <c r="AFG6" s="24"/>
      <c r="AFH6" s="24"/>
      <c r="AFI6" s="24"/>
      <c r="AFJ6" s="24"/>
      <c r="AFK6" s="24"/>
      <c r="AFL6" s="24"/>
      <c r="AFM6" s="24"/>
      <c r="AFN6" s="24"/>
      <c r="AFO6" s="24"/>
      <c r="AFP6" s="24"/>
      <c r="AFQ6" s="24"/>
      <c r="AFR6" s="24"/>
      <c r="AFS6" s="24"/>
      <c r="AFT6" s="24"/>
      <c r="AFU6" s="24"/>
      <c r="AFV6" s="24"/>
      <c r="AFW6" s="24"/>
      <c r="AFX6" s="24"/>
      <c r="AFY6" s="24"/>
      <c r="AFZ6" s="24"/>
      <c r="AGA6" s="24"/>
      <c r="AGB6" s="24"/>
      <c r="AGC6" s="24"/>
      <c r="AGD6" s="24"/>
      <c r="AGE6" s="24"/>
      <c r="AGF6" s="24"/>
      <c r="AGG6" s="24"/>
      <c r="AGH6" s="24"/>
      <c r="AGI6" s="24"/>
      <c r="AGJ6" s="24"/>
      <c r="AGK6" s="24"/>
      <c r="AGL6" s="24"/>
      <c r="AGM6" s="24"/>
      <c r="AGN6" s="24"/>
      <c r="AGO6" s="24"/>
      <c r="AGP6" s="24"/>
      <c r="AGQ6" s="24"/>
      <c r="AGR6" s="24"/>
      <c r="AGS6" s="24"/>
      <c r="AGT6" s="24"/>
      <c r="AGU6" s="24"/>
      <c r="AGV6" s="24"/>
      <c r="AGW6" s="24"/>
      <c r="AGX6" s="24"/>
      <c r="AGY6" s="24"/>
      <c r="AGZ6" s="24"/>
      <c r="AHA6" s="24"/>
      <c r="AHB6" s="24"/>
      <c r="AHC6" s="24"/>
      <c r="AHD6" s="24"/>
      <c r="AHE6" s="24"/>
      <c r="AHF6" s="24"/>
      <c r="AHG6" s="24"/>
      <c r="AHH6" s="24"/>
      <c r="AHI6" s="24"/>
      <c r="AHJ6" s="24"/>
      <c r="AHK6" s="24"/>
      <c r="AHL6" s="24"/>
      <c r="AHM6" s="24"/>
      <c r="AHN6" s="24"/>
      <c r="AHO6" s="24"/>
      <c r="AHP6" s="24"/>
      <c r="AHQ6" s="24"/>
      <c r="AHR6" s="24"/>
      <c r="AHS6" s="24"/>
      <c r="AHT6" s="24"/>
      <c r="AHU6" s="24"/>
      <c r="AHV6" s="24"/>
      <c r="AHW6" s="24"/>
      <c r="AHX6" s="24"/>
      <c r="AHY6" s="24"/>
      <c r="AHZ6" s="24"/>
      <c r="AIA6" s="24"/>
      <c r="AIB6" s="24"/>
      <c r="AIC6" s="24"/>
      <c r="AID6" s="24"/>
      <c r="AIE6" s="24"/>
      <c r="AIF6" s="24"/>
      <c r="AIG6" s="24"/>
      <c r="AIH6" s="24"/>
      <c r="AII6" s="24"/>
      <c r="AIJ6" s="24"/>
      <c r="AIK6" s="24"/>
      <c r="AIL6" s="24"/>
      <c r="AIM6" s="24"/>
      <c r="AIN6" s="24"/>
      <c r="AIO6" s="24"/>
      <c r="AIP6" s="24"/>
      <c r="AIQ6" s="24"/>
      <c r="AIR6" s="24"/>
      <c r="AIS6" s="24"/>
      <c r="AIT6" s="24"/>
      <c r="AIU6" s="24"/>
      <c r="AIV6" s="24"/>
      <c r="AIW6" s="24"/>
      <c r="AIX6" s="24"/>
      <c r="AIY6" s="24"/>
      <c r="AIZ6" s="24"/>
      <c r="AJA6" s="24"/>
      <c r="AJB6" s="24"/>
      <c r="AJC6" s="24"/>
      <c r="AJD6" s="24"/>
      <c r="AJE6" s="24"/>
      <c r="AJF6" s="24"/>
      <c r="AJG6" s="24"/>
      <c r="AJH6" s="24"/>
      <c r="AJI6" s="24"/>
      <c r="AJJ6" s="24"/>
      <c r="AJK6" s="24"/>
      <c r="AJL6" s="24"/>
      <c r="AJM6" s="24"/>
      <c r="AJN6" s="24"/>
      <c r="AJO6" s="24"/>
      <c r="AJP6" s="24"/>
      <c r="AJQ6" s="24"/>
      <c r="AJR6" s="24"/>
      <c r="AJS6" s="24"/>
      <c r="AJT6" s="24"/>
      <c r="AJU6" s="24"/>
      <c r="AJV6" s="24"/>
      <c r="AJW6" s="24"/>
      <c r="AJX6" s="24"/>
      <c r="AJY6" s="24"/>
      <c r="AJZ6" s="24"/>
      <c r="AKA6" s="24"/>
      <c r="AKB6" s="24"/>
      <c r="AKC6" s="24"/>
      <c r="AKD6" s="24"/>
      <c r="AKE6" s="24"/>
      <c r="AKF6" s="24"/>
      <c r="AKG6" s="24"/>
      <c r="AKH6" s="24"/>
      <c r="AKI6" s="24"/>
      <c r="AKJ6" s="24"/>
      <c r="AKK6" s="24"/>
      <c r="AKL6" s="24"/>
      <c r="AKM6" s="24"/>
      <c r="AKN6" s="24"/>
      <c r="AKO6" s="24"/>
      <c r="AKP6" s="24"/>
      <c r="AKQ6" s="24"/>
      <c r="AKR6" s="24"/>
      <c r="AKS6" s="24"/>
      <c r="AKT6" s="24"/>
      <c r="AKU6" s="24"/>
      <c r="AKV6" s="24"/>
      <c r="AKW6" s="24"/>
      <c r="AKX6" s="24"/>
      <c r="AKY6" s="24"/>
      <c r="AKZ6" s="24"/>
      <c r="ALA6" s="24"/>
      <c r="ALB6" s="24"/>
      <c r="ALC6" s="24"/>
      <c r="ALD6" s="24"/>
      <c r="ALE6" s="24"/>
      <c r="ALF6" s="24"/>
      <c r="ALG6" s="24"/>
      <c r="ALH6" s="24"/>
      <c r="ALI6" s="24"/>
      <c r="ALJ6" s="24"/>
      <c r="ALK6" s="24"/>
      <c r="ALL6" s="24"/>
      <c r="ALM6" s="24"/>
      <c r="ALN6" s="24"/>
      <c r="ALO6" s="24"/>
      <c r="ALP6" s="24"/>
      <c r="ALQ6" s="24"/>
      <c r="ALR6" s="24"/>
      <c r="ALS6" s="24"/>
      <c r="ALT6" s="24"/>
      <c r="ALU6" s="24"/>
      <c r="ALV6" s="24"/>
      <c r="ALW6" s="24"/>
      <c r="ALX6" s="24"/>
      <c r="ALY6" s="24"/>
      <c r="ALZ6" s="24"/>
      <c r="AMA6" s="24"/>
      <c r="AMB6" s="24"/>
      <c r="AMC6" s="24"/>
      <c r="AMD6" s="24"/>
      <c r="AME6" s="24"/>
      <c r="AMF6" s="24"/>
      <c r="AMG6" s="24"/>
      <c r="AMH6" s="24"/>
    </row>
    <row r="7" spans="2:1022" ht="111" customHeight="1">
      <c r="B7" s="603"/>
      <c r="C7" s="1135"/>
      <c r="D7" s="1137"/>
      <c r="E7" s="1140"/>
      <c r="F7" s="484"/>
      <c r="G7" s="1140"/>
      <c r="H7" s="1140"/>
      <c r="I7" s="1127"/>
      <c r="J7" s="1127"/>
      <c r="K7" s="602" t="s">
        <v>146</v>
      </c>
      <c r="L7" s="1127"/>
      <c r="M7" s="1127"/>
      <c r="N7" s="1127"/>
      <c r="O7" s="1150"/>
      <c r="P7" s="1127"/>
      <c r="Q7" s="1127"/>
      <c r="R7" s="1127"/>
      <c r="S7" s="1127"/>
      <c r="T7" s="1143"/>
      <c r="U7" s="1130"/>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c r="OH7" s="24"/>
      <c r="OI7" s="24"/>
      <c r="OJ7" s="24"/>
      <c r="OK7" s="24"/>
      <c r="OL7" s="24"/>
      <c r="OM7" s="24"/>
      <c r="ON7" s="24"/>
      <c r="OO7" s="24"/>
      <c r="OP7" s="24"/>
      <c r="OQ7" s="24"/>
      <c r="OR7" s="24"/>
      <c r="OS7" s="24"/>
      <c r="OT7" s="24"/>
      <c r="OU7" s="24"/>
      <c r="OV7" s="24"/>
      <c r="OW7" s="24"/>
      <c r="OX7" s="24"/>
      <c r="OY7" s="24"/>
      <c r="OZ7" s="24"/>
      <c r="PA7" s="24"/>
      <c r="PB7" s="24"/>
      <c r="PC7" s="24"/>
      <c r="PD7" s="24"/>
      <c r="PE7" s="24"/>
      <c r="PF7" s="24"/>
      <c r="PG7" s="24"/>
      <c r="PH7" s="24"/>
      <c r="PI7" s="24"/>
      <c r="PJ7" s="24"/>
      <c r="PK7" s="24"/>
      <c r="PL7" s="24"/>
      <c r="PM7" s="24"/>
      <c r="PN7" s="24"/>
      <c r="PO7" s="24"/>
      <c r="PP7" s="24"/>
      <c r="PQ7" s="24"/>
      <c r="PR7" s="24"/>
      <c r="PS7" s="24"/>
      <c r="PT7" s="24"/>
      <c r="PU7" s="24"/>
      <c r="PV7" s="24"/>
      <c r="PW7" s="24"/>
      <c r="PX7" s="24"/>
      <c r="PY7" s="24"/>
      <c r="PZ7" s="24"/>
      <c r="QA7" s="24"/>
      <c r="QB7" s="24"/>
      <c r="QC7" s="24"/>
      <c r="QD7" s="24"/>
      <c r="QE7" s="24"/>
      <c r="QF7" s="24"/>
      <c r="QG7" s="24"/>
      <c r="QH7" s="24"/>
      <c r="QI7" s="24"/>
      <c r="QJ7" s="24"/>
      <c r="QK7" s="24"/>
      <c r="QL7" s="24"/>
      <c r="QM7" s="24"/>
      <c r="QN7" s="24"/>
      <c r="QO7" s="24"/>
      <c r="QP7" s="24"/>
      <c r="QQ7" s="24"/>
      <c r="QR7" s="24"/>
      <c r="QS7" s="24"/>
      <c r="QT7" s="24"/>
      <c r="QU7" s="24"/>
      <c r="QV7" s="24"/>
      <c r="QW7" s="24"/>
      <c r="QX7" s="24"/>
      <c r="QY7" s="24"/>
      <c r="QZ7" s="24"/>
      <c r="RA7" s="24"/>
      <c r="RB7" s="24"/>
      <c r="RC7" s="24"/>
      <c r="RD7" s="24"/>
      <c r="RE7" s="24"/>
      <c r="RF7" s="24"/>
      <c r="RG7" s="24"/>
      <c r="RH7" s="24"/>
      <c r="RI7" s="24"/>
      <c r="RJ7" s="24"/>
      <c r="RK7" s="24"/>
      <c r="RL7" s="24"/>
      <c r="RM7" s="24"/>
      <c r="RN7" s="24"/>
      <c r="RO7" s="24"/>
      <c r="RP7" s="24"/>
      <c r="RQ7" s="24"/>
      <c r="RR7" s="24"/>
      <c r="RS7" s="24"/>
      <c r="RT7" s="24"/>
      <c r="RU7" s="24"/>
      <c r="RV7" s="24"/>
      <c r="RW7" s="24"/>
      <c r="RX7" s="24"/>
      <c r="RY7" s="24"/>
      <c r="RZ7" s="24"/>
      <c r="SA7" s="24"/>
      <c r="SB7" s="24"/>
      <c r="SC7" s="24"/>
      <c r="SD7" s="24"/>
      <c r="SE7" s="24"/>
      <c r="SF7" s="24"/>
      <c r="SG7" s="24"/>
      <c r="SH7" s="24"/>
      <c r="SI7" s="24"/>
      <c r="SJ7" s="24"/>
      <c r="SK7" s="24"/>
      <c r="SL7" s="24"/>
      <c r="SM7" s="24"/>
      <c r="SN7" s="24"/>
      <c r="SO7" s="24"/>
      <c r="SP7" s="24"/>
      <c r="SQ7" s="24"/>
      <c r="SR7" s="24"/>
      <c r="SS7" s="24"/>
      <c r="ST7" s="24"/>
      <c r="SU7" s="24"/>
      <c r="SV7" s="24"/>
      <c r="SW7" s="24"/>
      <c r="SX7" s="24"/>
      <c r="SY7" s="24"/>
      <c r="SZ7" s="24"/>
      <c r="TA7" s="24"/>
      <c r="TB7" s="24"/>
      <c r="TC7" s="24"/>
      <c r="TD7" s="24"/>
      <c r="TE7" s="24"/>
      <c r="TF7" s="24"/>
      <c r="TG7" s="24"/>
      <c r="TH7" s="24"/>
      <c r="TI7" s="24"/>
      <c r="TJ7" s="24"/>
      <c r="TK7" s="24"/>
      <c r="TL7" s="24"/>
      <c r="TM7" s="24"/>
      <c r="TN7" s="24"/>
      <c r="TO7" s="24"/>
      <c r="TP7" s="24"/>
      <c r="TQ7" s="24"/>
      <c r="TR7" s="24"/>
      <c r="TS7" s="24"/>
      <c r="TT7" s="24"/>
      <c r="TU7" s="24"/>
      <c r="TV7" s="24"/>
      <c r="TW7" s="24"/>
      <c r="TX7" s="24"/>
      <c r="TY7" s="24"/>
      <c r="TZ7" s="24"/>
      <c r="UA7" s="24"/>
      <c r="UB7" s="24"/>
      <c r="UC7" s="24"/>
      <c r="UD7" s="24"/>
      <c r="UE7" s="24"/>
      <c r="UF7" s="24"/>
      <c r="UG7" s="24"/>
      <c r="UH7" s="24"/>
      <c r="UI7" s="24"/>
      <c r="UJ7" s="24"/>
      <c r="UK7" s="24"/>
      <c r="UL7" s="24"/>
      <c r="UM7" s="24"/>
      <c r="UN7" s="24"/>
      <c r="UO7" s="24"/>
      <c r="UP7" s="24"/>
      <c r="UQ7" s="24"/>
      <c r="UR7" s="24"/>
      <c r="US7" s="24"/>
      <c r="UT7" s="24"/>
      <c r="UU7" s="24"/>
      <c r="UV7" s="24"/>
      <c r="UW7" s="24"/>
      <c r="UX7" s="24"/>
      <c r="UY7" s="24"/>
      <c r="UZ7" s="24"/>
      <c r="VA7" s="24"/>
      <c r="VB7" s="24"/>
      <c r="VC7" s="24"/>
      <c r="VD7" s="24"/>
      <c r="VE7" s="24"/>
      <c r="VF7" s="24"/>
      <c r="VG7" s="24"/>
      <c r="VH7" s="24"/>
      <c r="VI7" s="24"/>
      <c r="VJ7" s="24"/>
      <c r="VK7" s="24"/>
      <c r="VL7" s="24"/>
      <c r="VM7" s="24"/>
      <c r="VN7" s="24"/>
      <c r="VO7" s="24"/>
      <c r="VP7" s="24"/>
      <c r="VQ7" s="24"/>
      <c r="VR7" s="24"/>
      <c r="VS7" s="24"/>
      <c r="VT7" s="24"/>
      <c r="VU7" s="24"/>
      <c r="VV7" s="24"/>
      <c r="VW7" s="24"/>
      <c r="VX7" s="24"/>
      <c r="VY7" s="24"/>
      <c r="VZ7" s="24"/>
      <c r="WA7" s="24"/>
      <c r="WB7" s="24"/>
      <c r="WC7" s="24"/>
      <c r="WD7" s="24"/>
      <c r="WE7" s="24"/>
      <c r="WF7" s="24"/>
      <c r="WG7" s="24"/>
      <c r="WH7" s="24"/>
      <c r="WI7" s="24"/>
      <c r="WJ7" s="24"/>
      <c r="WK7" s="24"/>
      <c r="WL7" s="24"/>
      <c r="WM7" s="24"/>
      <c r="WN7" s="24"/>
      <c r="WO7" s="24"/>
      <c r="WP7" s="24"/>
      <c r="WQ7" s="24"/>
      <c r="WR7" s="24"/>
      <c r="WS7" s="24"/>
      <c r="WT7" s="24"/>
      <c r="WU7" s="24"/>
      <c r="WV7" s="24"/>
      <c r="WW7" s="24"/>
      <c r="WX7" s="24"/>
      <c r="WY7" s="24"/>
      <c r="WZ7" s="24"/>
      <c r="XA7" s="24"/>
      <c r="XB7" s="24"/>
      <c r="XC7" s="24"/>
      <c r="XD7" s="24"/>
      <c r="XE7" s="24"/>
      <c r="XF7" s="24"/>
      <c r="XG7" s="24"/>
      <c r="XH7" s="24"/>
      <c r="XI7" s="24"/>
      <c r="XJ7" s="24"/>
      <c r="XK7" s="24"/>
      <c r="XL7" s="24"/>
      <c r="XM7" s="24"/>
      <c r="XN7" s="24"/>
      <c r="XO7" s="24"/>
      <c r="XP7" s="24"/>
      <c r="XQ7" s="24"/>
      <c r="XR7" s="24"/>
      <c r="XS7" s="24"/>
      <c r="XT7" s="24"/>
      <c r="XU7" s="24"/>
      <c r="XV7" s="24"/>
      <c r="XW7" s="24"/>
      <c r="XX7" s="24"/>
      <c r="XY7" s="24"/>
      <c r="XZ7" s="24"/>
      <c r="YA7" s="24"/>
      <c r="YB7" s="24"/>
      <c r="YC7" s="24"/>
      <c r="YD7" s="24"/>
      <c r="YE7" s="24"/>
      <c r="YF7" s="24"/>
      <c r="YG7" s="24"/>
      <c r="YH7" s="24"/>
      <c r="YI7" s="24"/>
      <c r="YJ7" s="24"/>
      <c r="YK7" s="24"/>
      <c r="YL7" s="24"/>
      <c r="YM7" s="24"/>
      <c r="YN7" s="24"/>
      <c r="YO7" s="24"/>
      <c r="YP7" s="24"/>
      <c r="YQ7" s="24"/>
      <c r="YR7" s="24"/>
      <c r="YS7" s="24"/>
      <c r="YT7" s="24"/>
      <c r="YU7" s="24"/>
      <c r="YV7" s="24"/>
      <c r="YW7" s="24"/>
      <c r="YX7" s="24"/>
      <c r="YY7" s="24"/>
      <c r="YZ7" s="24"/>
      <c r="ZA7" s="24"/>
      <c r="ZB7" s="24"/>
      <c r="ZC7" s="24"/>
      <c r="ZD7" s="24"/>
      <c r="ZE7" s="24"/>
      <c r="ZF7" s="24"/>
      <c r="ZG7" s="24"/>
      <c r="ZH7" s="24"/>
      <c r="ZI7" s="24"/>
      <c r="ZJ7" s="24"/>
      <c r="ZK7" s="24"/>
      <c r="ZL7" s="24"/>
      <c r="ZM7" s="24"/>
      <c r="ZN7" s="24"/>
      <c r="ZO7" s="24"/>
      <c r="ZP7" s="24"/>
      <c r="ZQ7" s="24"/>
      <c r="ZR7" s="24"/>
      <c r="ZS7" s="24"/>
      <c r="ZT7" s="24"/>
      <c r="ZU7" s="24"/>
      <c r="ZV7" s="24"/>
      <c r="ZW7" s="24"/>
      <c r="ZX7" s="24"/>
      <c r="ZY7" s="24"/>
      <c r="ZZ7" s="24"/>
      <c r="AAA7" s="24"/>
      <c r="AAB7" s="24"/>
      <c r="AAC7" s="24"/>
      <c r="AAD7" s="24"/>
      <c r="AAE7" s="24"/>
      <c r="AAF7" s="24"/>
      <c r="AAG7" s="24"/>
      <c r="AAH7" s="24"/>
      <c r="AAI7" s="24"/>
      <c r="AAJ7" s="24"/>
      <c r="AAK7" s="24"/>
      <c r="AAL7" s="24"/>
      <c r="AAM7" s="24"/>
      <c r="AAN7" s="24"/>
      <c r="AAO7" s="24"/>
      <c r="AAP7" s="24"/>
      <c r="AAQ7" s="24"/>
      <c r="AAR7" s="24"/>
      <c r="AAS7" s="24"/>
      <c r="AAT7" s="24"/>
      <c r="AAU7" s="24"/>
      <c r="AAV7" s="24"/>
      <c r="AAW7" s="24"/>
      <c r="AAX7" s="24"/>
      <c r="AAY7" s="24"/>
      <c r="AAZ7" s="24"/>
      <c r="ABA7" s="24"/>
      <c r="ABB7" s="24"/>
      <c r="ABC7" s="24"/>
      <c r="ABD7" s="24"/>
      <c r="ABE7" s="24"/>
      <c r="ABF7" s="24"/>
      <c r="ABG7" s="24"/>
      <c r="ABH7" s="24"/>
      <c r="ABI7" s="24"/>
      <c r="ABJ7" s="24"/>
      <c r="ABK7" s="24"/>
      <c r="ABL7" s="24"/>
      <c r="ABM7" s="24"/>
      <c r="ABN7" s="24"/>
      <c r="ABO7" s="24"/>
      <c r="ABP7" s="24"/>
      <c r="ABQ7" s="24"/>
      <c r="ABR7" s="24"/>
      <c r="ABS7" s="24"/>
      <c r="ABT7" s="24"/>
      <c r="ABU7" s="24"/>
      <c r="ABV7" s="24"/>
      <c r="ABW7" s="24"/>
      <c r="ABX7" s="24"/>
      <c r="ABY7" s="24"/>
      <c r="ABZ7" s="24"/>
      <c r="ACA7" s="24"/>
      <c r="ACB7" s="24"/>
      <c r="ACC7" s="24"/>
      <c r="ACD7" s="24"/>
      <c r="ACE7" s="24"/>
      <c r="ACF7" s="24"/>
      <c r="ACG7" s="24"/>
      <c r="ACH7" s="24"/>
      <c r="ACI7" s="24"/>
      <c r="ACJ7" s="24"/>
      <c r="ACK7" s="24"/>
      <c r="ACL7" s="24"/>
      <c r="ACM7" s="24"/>
      <c r="ACN7" s="24"/>
      <c r="ACO7" s="24"/>
      <c r="ACP7" s="24"/>
      <c r="ACQ7" s="24"/>
      <c r="ACR7" s="24"/>
      <c r="ACS7" s="24"/>
      <c r="ACT7" s="24"/>
      <c r="ACU7" s="24"/>
      <c r="ACV7" s="24"/>
      <c r="ACW7" s="24"/>
      <c r="ACX7" s="24"/>
      <c r="ACY7" s="24"/>
      <c r="ACZ7" s="24"/>
      <c r="ADA7" s="24"/>
      <c r="ADB7" s="24"/>
      <c r="ADC7" s="24"/>
      <c r="ADD7" s="24"/>
      <c r="ADE7" s="24"/>
      <c r="ADF7" s="24"/>
      <c r="ADG7" s="24"/>
      <c r="ADH7" s="24"/>
      <c r="ADI7" s="24"/>
      <c r="ADJ7" s="24"/>
      <c r="ADK7" s="24"/>
      <c r="ADL7" s="24"/>
      <c r="ADM7" s="24"/>
      <c r="ADN7" s="24"/>
      <c r="ADO7" s="24"/>
      <c r="ADP7" s="24"/>
      <c r="ADQ7" s="24"/>
      <c r="ADR7" s="24"/>
      <c r="ADS7" s="24"/>
      <c r="ADT7" s="24"/>
      <c r="ADU7" s="24"/>
      <c r="ADV7" s="24"/>
      <c r="ADW7" s="24"/>
      <c r="ADX7" s="24"/>
      <c r="ADY7" s="24"/>
      <c r="ADZ7" s="24"/>
      <c r="AEA7" s="24"/>
      <c r="AEB7" s="24"/>
      <c r="AEC7" s="24"/>
      <c r="AED7" s="24"/>
      <c r="AEE7" s="24"/>
      <c r="AEF7" s="24"/>
      <c r="AEG7" s="24"/>
      <c r="AEH7" s="24"/>
      <c r="AEI7" s="24"/>
      <c r="AEJ7" s="24"/>
      <c r="AEK7" s="24"/>
      <c r="AEL7" s="24"/>
      <c r="AEM7" s="24"/>
      <c r="AEN7" s="24"/>
      <c r="AEO7" s="24"/>
      <c r="AEP7" s="24"/>
      <c r="AEQ7" s="24"/>
      <c r="AER7" s="24"/>
      <c r="AES7" s="24"/>
      <c r="AET7" s="24"/>
      <c r="AEU7" s="24"/>
      <c r="AEV7" s="24"/>
      <c r="AEW7" s="24"/>
      <c r="AEX7" s="24"/>
      <c r="AEY7" s="24"/>
      <c r="AEZ7" s="24"/>
      <c r="AFA7" s="24"/>
      <c r="AFB7" s="24"/>
      <c r="AFC7" s="24"/>
      <c r="AFD7" s="24"/>
      <c r="AFE7" s="24"/>
      <c r="AFF7" s="24"/>
      <c r="AFG7" s="24"/>
      <c r="AFH7" s="24"/>
      <c r="AFI7" s="24"/>
      <c r="AFJ7" s="24"/>
      <c r="AFK7" s="24"/>
      <c r="AFL7" s="24"/>
      <c r="AFM7" s="24"/>
      <c r="AFN7" s="24"/>
      <c r="AFO7" s="24"/>
      <c r="AFP7" s="24"/>
      <c r="AFQ7" s="24"/>
      <c r="AFR7" s="24"/>
      <c r="AFS7" s="24"/>
      <c r="AFT7" s="24"/>
      <c r="AFU7" s="24"/>
      <c r="AFV7" s="24"/>
      <c r="AFW7" s="24"/>
      <c r="AFX7" s="24"/>
      <c r="AFY7" s="24"/>
      <c r="AFZ7" s="24"/>
      <c r="AGA7" s="24"/>
      <c r="AGB7" s="24"/>
      <c r="AGC7" s="24"/>
      <c r="AGD7" s="24"/>
      <c r="AGE7" s="24"/>
      <c r="AGF7" s="24"/>
      <c r="AGG7" s="24"/>
      <c r="AGH7" s="24"/>
      <c r="AGI7" s="24"/>
      <c r="AGJ7" s="24"/>
      <c r="AGK7" s="24"/>
      <c r="AGL7" s="24"/>
      <c r="AGM7" s="24"/>
      <c r="AGN7" s="24"/>
      <c r="AGO7" s="24"/>
      <c r="AGP7" s="24"/>
      <c r="AGQ7" s="24"/>
      <c r="AGR7" s="24"/>
      <c r="AGS7" s="24"/>
      <c r="AGT7" s="24"/>
      <c r="AGU7" s="24"/>
      <c r="AGV7" s="24"/>
      <c r="AGW7" s="24"/>
      <c r="AGX7" s="24"/>
      <c r="AGY7" s="24"/>
      <c r="AGZ7" s="24"/>
      <c r="AHA7" s="24"/>
      <c r="AHB7" s="24"/>
      <c r="AHC7" s="24"/>
      <c r="AHD7" s="24"/>
      <c r="AHE7" s="24"/>
      <c r="AHF7" s="24"/>
      <c r="AHG7" s="24"/>
      <c r="AHH7" s="24"/>
      <c r="AHI7" s="24"/>
      <c r="AHJ7" s="24"/>
      <c r="AHK7" s="24"/>
      <c r="AHL7" s="24"/>
      <c r="AHM7" s="24"/>
      <c r="AHN7" s="24"/>
      <c r="AHO7" s="24"/>
      <c r="AHP7" s="24"/>
      <c r="AHQ7" s="24"/>
      <c r="AHR7" s="24"/>
      <c r="AHS7" s="24"/>
      <c r="AHT7" s="24"/>
      <c r="AHU7" s="24"/>
      <c r="AHV7" s="24"/>
      <c r="AHW7" s="24"/>
      <c r="AHX7" s="24"/>
      <c r="AHY7" s="24"/>
      <c r="AHZ7" s="24"/>
      <c r="AIA7" s="24"/>
      <c r="AIB7" s="24"/>
      <c r="AIC7" s="24"/>
      <c r="AID7" s="24"/>
      <c r="AIE7" s="24"/>
      <c r="AIF7" s="24"/>
      <c r="AIG7" s="24"/>
      <c r="AIH7" s="24"/>
      <c r="AII7" s="24"/>
      <c r="AIJ7" s="24"/>
      <c r="AIK7" s="24"/>
      <c r="AIL7" s="24"/>
      <c r="AIM7" s="24"/>
      <c r="AIN7" s="24"/>
      <c r="AIO7" s="24"/>
      <c r="AIP7" s="24"/>
      <c r="AIQ7" s="24"/>
      <c r="AIR7" s="24"/>
      <c r="AIS7" s="24"/>
      <c r="AIT7" s="24"/>
      <c r="AIU7" s="24"/>
      <c r="AIV7" s="24"/>
      <c r="AIW7" s="24"/>
      <c r="AIX7" s="24"/>
      <c r="AIY7" s="24"/>
      <c r="AIZ7" s="24"/>
      <c r="AJA7" s="24"/>
      <c r="AJB7" s="24"/>
      <c r="AJC7" s="24"/>
      <c r="AJD7" s="24"/>
      <c r="AJE7" s="24"/>
      <c r="AJF7" s="24"/>
      <c r="AJG7" s="24"/>
      <c r="AJH7" s="24"/>
      <c r="AJI7" s="24"/>
      <c r="AJJ7" s="24"/>
      <c r="AJK7" s="24"/>
      <c r="AJL7" s="24"/>
      <c r="AJM7" s="24"/>
      <c r="AJN7" s="24"/>
      <c r="AJO7" s="24"/>
      <c r="AJP7" s="24"/>
      <c r="AJQ7" s="24"/>
      <c r="AJR7" s="24"/>
      <c r="AJS7" s="24"/>
      <c r="AJT7" s="24"/>
      <c r="AJU7" s="24"/>
      <c r="AJV7" s="24"/>
      <c r="AJW7" s="24"/>
      <c r="AJX7" s="24"/>
      <c r="AJY7" s="24"/>
      <c r="AJZ7" s="24"/>
      <c r="AKA7" s="24"/>
      <c r="AKB7" s="24"/>
      <c r="AKC7" s="24"/>
      <c r="AKD7" s="24"/>
      <c r="AKE7" s="24"/>
      <c r="AKF7" s="24"/>
      <c r="AKG7" s="24"/>
      <c r="AKH7" s="24"/>
      <c r="AKI7" s="24"/>
      <c r="AKJ7" s="24"/>
      <c r="AKK7" s="24"/>
      <c r="AKL7" s="24"/>
      <c r="AKM7" s="24"/>
      <c r="AKN7" s="24"/>
      <c r="AKO7" s="24"/>
      <c r="AKP7" s="24"/>
      <c r="AKQ7" s="24"/>
      <c r="AKR7" s="24"/>
      <c r="AKS7" s="24"/>
      <c r="AKT7" s="24"/>
      <c r="AKU7" s="24"/>
      <c r="AKV7" s="24"/>
      <c r="AKW7" s="24"/>
      <c r="AKX7" s="24"/>
      <c r="AKY7" s="24"/>
      <c r="AKZ7" s="24"/>
      <c r="ALA7" s="24"/>
      <c r="ALB7" s="24"/>
      <c r="ALC7" s="24"/>
      <c r="ALD7" s="24"/>
      <c r="ALE7" s="24"/>
      <c r="ALF7" s="24"/>
      <c r="ALG7" s="24"/>
      <c r="ALH7" s="24"/>
      <c r="ALI7" s="24"/>
      <c r="ALJ7" s="24"/>
      <c r="ALK7" s="24"/>
      <c r="ALL7" s="24"/>
      <c r="ALM7" s="24"/>
      <c r="ALN7" s="24"/>
      <c r="ALO7" s="24"/>
      <c r="ALP7" s="24"/>
      <c r="ALQ7" s="24"/>
      <c r="ALR7" s="24"/>
      <c r="ALS7" s="24"/>
      <c r="ALT7" s="24"/>
      <c r="ALU7" s="24"/>
      <c r="ALV7" s="24"/>
      <c r="ALW7" s="24"/>
      <c r="ALX7" s="24"/>
      <c r="ALY7" s="24"/>
      <c r="ALZ7" s="24"/>
      <c r="AMA7" s="24"/>
      <c r="AMB7" s="24"/>
      <c r="AMC7" s="24"/>
      <c r="AMD7" s="24"/>
      <c r="AME7" s="24"/>
      <c r="AMF7" s="24"/>
      <c r="AMG7" s="24"/>
      <c r="AMH7" s="24"/>
    </row>
    <row r="8" spans="2:1022" ht="76.5">
      <c r="B8" s="603"/>
      <c r="C8" s="1135"/>
      <c r="D8" s="1137"/>
      <c r="E8" s="1140"/>
      <c r="F8" s="484"/>
      <c r="G8" s="99" t="s">
        <v>907</v>
      </c>
      <c r="H8" s="608" t="s">
        <v>491</v>
      </c>
      <c r="I8" s="608" t="s">
        <v>926</v>
      </c>
      <c r="J8" s="1127"/>
      <c r="K8" s="602" t="s">
        <v>145</v>
      </c>
      <c r="L8" s="1127"/>
      <c r="M8" s="1127"/>
      <c r="N8" s="1127"/>
      <c r="O8" s="1150"/>
      <c r="P8" s="1127"/>
      <c r="Q8" s="1127"/>
      <c r="R8" s="1127"/>
      <c r="S8" s="1127"/>
      <c r="T8" s="1143"/>
      <c r="U8" s="1130"/>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c r="OH8" s="24"/>
      <c r="OI8" s="24"/>
      <c r="OJ8" s="24"/>
      <c r="OK8" s="24"/>
      <c r="OL8" s="24"/>
      <c r="OM8" s="24"/>
      <c r="ON8" s="24"/>
      <c r="OO8" s="24"/>
      <c r="OP8" s="24"/>
      <c r="OQ8" s="24"/>
      <c r="OR8" s="24"/>
      <c r="OS8" s="24"/>
      <c r="OT8" s="24"/>
      <c r="OU8" s="24"/>
      <c r="OV8" s="24"/>
      <c r="OW8" s="24"/>
      <c r="OX8" s="24"/>
      <c r="OY8" s="24"/>
      <c r="OZ8" s="24"/>
      <c r="PA8" s="24"/>
      <c r="PB8" s="24"/>
      <c r="PC8" s="24"/>
      <c r="PD8" s="24"/>
      <c r="PE8" s="24"/>
      <c r="PF8" s="24"/>
      <c r="PG8" s="24"/>
      <c r="PH8" s="24"/>
      <c r="PI8" s="24"/>
      <c r="PJ8" s="24"/>
      <c r="PK8" s="24"/>
      <c r="PL8" s="24"/>
      <c r="PM8" s="24"/>
      <c r="PN8" s="24"/>
      <c r="PO8" s="24"/>
      <c r="PP8" s="24"/>
      <c r="PQ8" s="24"/>
      <c r="PR8" s="24"/>
      <c r="PS8" s="24"/>
      <c r="PT8" s="24"/>
      <c r="PU8" s="24"/>
      <c r="PV8" s="24"/>
      <c r="PW8" s="24"/>
      <c r="PX8" s="24"/>
      <c r="PY8" s="24"/>
      <c r="PZ8" s="24"/>
      <c r="QA8" s="24"/>
      <c r="QB8" s="24"/>
      <c r="QC8" s="24"/>
      <c r="QD8" s="24"/>
      <c r="QE8" s="24"/>
      <c r="QF8" s="24"/>
      <c r="QG8" s="24"/>
      <c r="QH8" s="24"/>
      <c r="QI8" s="24"/>
      <c r="QJ8" s="24"/>
      <c r="QK8" s="24"/>
      <c r="QL8" s="24"/>
      <c r="QM8" s="24"/>
      <c r="QN8" s="24"/>
      <c r="QO8" s="24"/>
      <c r="QP8" s="24"/>
      <c r="QQ8" s="24"/>
      <c r="QR8" s="24"/>
      <c r="QS8" s="24"/>
      <c r="QT8" s="24"/>
      <c r="QU8" s="24"/>
      <c r="QV8" s="24"/>
      <c r="QW8" s="24"/>
      <c r="QX8" s="24"/>
      <c r="QY8" s="24"/>
      <c r="QZ8" s="24"/>
      <c r="RA8" s="24"/>
      <c r="RB8" s="24"/>
      <c r="RC8" s="24"/>
      <c r="RD8" s="24"/>
      <c r="RE8" s="24"/>
      <c r="RF8" s="24"/>
      <c r="RG8" s="24"/>
      <c r="RH8" s="24"/>
      <c r="RI8" s="24"/>
      <c r="RJ8" s="24"/>
      <c r="RK8" s="24"/>
      <c r="RL8" s="24"/>
      <c r="RM8" s="24"/>
      <c r="RN8" s="24"/>
      <c r="RO8" s="24"/>
      <c r="RP8" s="24"/>
      <c r="RQ8" s="24"/>
      <c r="RR8" s="24"/>
      <c r="RS8" s="24"/>
      <c r="RT8" s="24"/>
      <c r="RU8" s="24"/>
      <c r="RV8" s="24"/>
      <c r="RW8" s="24"/>
      <c r="RX8" s="24"/>
      <c r="RY8" s="24"/>
      <c r="RZ8" s="24"/>
      <c r="SA8" s="24"/>
      <c r="SB8" s="24"/>
      <c r="SC8" s="24"/>
      <c r="SD8" s="24"/>
      <c r="SE8" s="24"/>
      <c r="SF8" s="24"/>
      <c r="SG8" s="24"/>
      <c r="SH8" s="24"/>
      <c r="SI8" s="24"/>
      <c r="SJ8" s="24"/>
      <c r="SK8" s="24"/>
      <c r="SL8" s="24"/>
      <c r="SM8" s="24"/>
      <c r="SN8" s="24"/>
      <c r="SO8" s="24"/>
      <c r="SP8" s="24"/>
      <c r="SQ8" s="24"/>
      <c r="SR8" s="24"/>
      <c r="SS8" s="24"/>
      <c r="ST8" s="24"/>
      <c r="SU8" s="24"/>
      <c r="SV8" s="24"/>
      <c r="SW8" s="24"/>
      <c r="SX8" s="24"/>
      <c r="SY8" s="24"/>
      <c r="SZ8" s="24"/>
      <c r="TA8" s="24"/>
      <c r="TB8" s="24"/>
      <c r="TC8" s="24"/>
      <c r="TD8" s="24"/>
      <c r="TE8" s="24"/>
      <c r="TF8" s="24"/>
      <c r="TG8" s="24"/>
      <c r="TH8" s="24"/>
      <c r="TI8" s="24"/>
      <c r="TJ8" s="24"/>
      <c r="TK8" s="24"/>
      <c r="TL8" s="24"/>
      <c r="TM8" s="24"/>
      <c r="TN8" s="24"/>
      <c r="TO8" s="24"/>
      <c r="TP8" s="24"/>
      <c r="TQ8" s="24"/>
      <c r="TR8" s="24"/>
      <c r="TS8" s="24"/>
      <c r="TT8" s="24"/>
      <c r="TU8" s="24"/>
      <c r="TV8" s="24"/>
      <c r="TW8" s="24"/>
      <c r="TX8" s="24"/>
      <c r="TY8" s="24"/>
      <c r="TZ8" s="24"/>
      <c r="UA8" s="24"/>
      <c r="UB8" s="24"/>
      <c r="UC8" s="24"/>
      <c r="UD8" s="24"/>
      <c r="UE8" s="24"/>
      <c r="UF8" s="24"/>
      <c r="UG8" s="24"/>
      <c r="UH8" s="24"/>
      <c r="UI8" s="24"/>
      <c r="UJ8" s="24"/>
      <c r="UK8" s="24"/>
      <c r="UL8" s="24"/>
      <c r="UM8" s="24"/>
      <c r="UN8" s="24"/>
      <c r="UO8" s="24"/>
      <c r="UP8" s="24"/>
      <c r="UQ8" s="24"/>
      <c r="UR8" s="24"/>
      <c r="US8" s="24"/>
      <c r="UT8" s="24"/>
      <c r="UU8" s="24"/>
      <c r="UV8" s="24"/>
      <c r="UW8" s="24"/>
      <c r="UX8" s="24"/>
      <c r="UY8" s="24"/>
      <c r="UZ8" s="24"/>
      <c r="VA8" s="24"/>
      <c r="VB8" s="24"/>
      <c r="VC8" s="24"/>
      <c r="VD8" s="24"/>
      <c r="VE8" s="24"/>
      <c r="VF8" s="24"/>
      <c r="VG8" s="24"/>
      <c r="VH8" s="24"/>
      <c r="VI8" s="24"/>
      <c r="VJ8" s="24"/>
      <c r="VK8" s="24"/>
      <c r="VL8" s="24"/>
      <c r="VM8" s="24"/>
      <c r="VN8" s="24"/>
      <c r="VO8" s="24"/>
      <c r="VP8" s="24"/>
      <c r="VQ8" s="24"/>
      <c r="VR8" s="24"/>
      <c r="VS8" s="24"/>
      <c r="VT8" s="24"/>
      <c r="VU8" s="24"/>
      <c r="VV8" s="24"/>
      <c r="VW8" s="24"/>
      <c r="VX8" s="24"/>
      <c r="VY8" s="24"/>
      <c r="VZ8" s="24"/>
      <c r="WA8" s="24"/>
      <c r="WB8" s="24"/>
      <c r="WC8" s="24"/>
      <c r="WD8" s="24"/>
      <c r="WE8" s="24"/>
      <c r="WF8" s="24"/>
      <c r="WG8" s="24"/>
      <c r="WH8" s="24"/>
      <c r="WI8" s="24"/>
      <c r="WJ8" s="24"/>
      <c r="WK8" s="24"/>
      <c r="WL8" s="24"/>
      <c r="WM8" s="24"/>
      <c r="WN8" s="24"/>
      <c r="WO8" s="24"/>
      <c r="WP8" s="24"/>
      <c r="WQ8" s="24"/>
      <c r="WR8" s="24"/>
      <c r="WS8" s="24"/>
      <c r="WT8" s="24"/>
      <c r="WU8" s="24"/>
      <c r="WV8" s="24"/>
      <c r="WW8" s="24"/>
      <c r="WX8" s="24"/>
      <c r="WY8" s="24"/>
      <c r="WZ8" s="24"/>
      <c r="XA8" s="24"/>
      <c r="XB8" s="24"/>
      <c r="XC8" s="24"/>
      <c r="XD8" s="24"/>
      <c r="XE8" s="24"/>
      <c r="XF8" s="24"/>
      <c r="XG8" s="24"/>
      <c r="XH8" s="24"/>
      <c r="XI8" s="24"/>
      <c r="XJ8" s="24"/>
      <c r="XK8" s="24"/>
      <c r="XL8" s="24"/>
      <c r="XM8" s="24"/>
      <c r="XN8" s="24"/>
      <c r="XO8" s="24"/>
      <c r="XP8" s="24"/>
      <c r="XQ8" s="24"/>
      <c r="XR8" s="24"/>
      <c r="XS8" s="24"/>
      <c r="XT8" s="24"/>
      <c r="XU8" s="24"/>
      <c r="XV8" s="24"/>
      <c r="XW8" s="24"/>
      <c r="XX8" s="24"/>
      <c r="XY8" s="24"/>
      <c r="XZ8" s="24"/>
      <c r="YA8" s="24"/>
      <c r="YB8" s="24"/>
      <c r="YC8" s="24"/>
      <c r="YD8" s="24"/>
      <c r="YE8" s="24"/>
      <c r="YF8" s="24"/>
      <c r="YG8" s="24"/>
      <c r="YH8" s="24"/>
      <c r="YI8" s="24"/>
      <c r="YJ8" s="24"/>
      <c r="YK8" s="24"/>
      <c r="YL8" s="24"/>
      <c r="YM8" s="24"/>
      <c r="YN8" s="24"/>
      <c r="YO8" s="24"/>
      <c r="YP8" s="24"/>
      <c r="YQ8" s="24"/>
      <c r="YR8" s="24"/>
      <c r="YS8" s="24"/>
      <c r="YT8" s="24"/>
      <c r="YU8" s="24"/>
      <c r="YV8" s="24"/>
      <c r="YW8" s="24"/>
      <c r="YX8" s="24"/>
      <c r="YY8" s="24"/>
      <c r="YZ8" s="24"/>
      <c r="ZA8" s="24"/>
      <c r="ZB8" s="24"/>
      <c r="ZC8" s="24"/>
      <c r="ZD8" s="24"/>
      <c r="ZE8" s="24"/>
      <c r="ZF8" s="24"/>
      <c r="ZG8" s="24"/>
      <c r="ZH8" s="24"/>
      <c r="ZI8" s="24"/>
      <c r="ZJ8" s="24"/>
      <c r="ZK8" s="24"/>
      <c r="ZL8" s="24"/>
      <c r="ZM8" s="24"/>
      <c r="ZN8" s="24"/>
      <c r="ZO8" s="24"/>
      <c r="ZP8" s="24"/>
      <c r="ZQ8" s="24"/>
      <c r="ZR8" s="24"/>
      <c r="ZS8" s="24"/>
      <c r="ZT8" s="24"/>
      <c r="ZU8" s="24"/>
      <c r="ZV8" s="24"/>
      <c r="ZW8" s="24"/>
      <c r="ZX8" s="24"/>
      <c r="ZY8" s="24"/>
      <c r="ZZ8" s="24"/>
      <c r="AAA8" s="24"/>
      <c r="AAB8" s="24"/>
      <c r="AAC8" s="24"/>
      <c r="AAD8" s="24"/>
      <c r="AAE8" s="24"/>
      <c r="AAF8" s="24"/>
      <c r="AAG8" s="24"/>
      <c r="AAH8" s="24"/>
      <c r="AAI8" s="24"/>
      <c r="AAJ8" s="24"/>
      <c r="AAK8" s="24"/>
      <c r="AAL8" s="24"/>
      <c r="AAM8" s="24"/>
      <c r="AAN8" s="24"/>
      <c r="AAO8" s="24"/>
      <c r="AAP8" s="24"/>
      <c r="AAQ8" s="24"/>
      <c r="AAR8" s="24"/>
      <c r="AAS8" s="24"/>
      <c r="AAT8" s="24"/>
      <c r="AAU8" s="24"/>
      <c r="AAV8" s="24"/>
      <c r="AAW8" s="24"/>
      <c r="AAX8" s="24"/>
      <c r="AAY8" s="24"/>
      <c r="AAZ8" s="24"/>
      <c r="ABA8" s="24"/>
      <c r="ABB8" s="24"/>
      <c r="ABC8" s="24"/>
      <c r="ABD8" s="24"/>
      <c r="ABE8" s="24"/>
      <c r="ABF8" s="24"/>
      <c r="ABG8" s="24"/>
      <c r="ABH8" s="24"/>
      <c r="ABI8" s="24"/>
      <c r="ABJ8" s="24"/>
      <c r="ABK8" s="24"/>
      <c r="ABL8" s="24"/>
      <c r="ABM8" s="24"/>
      <c r="ABN8" s="24"/>
      <c r="ABO8" s="24"/>
      <c r="ABP8" s="24"/>
      <c r="ABQ8" s="24"/>
      <c r="ABR8" s="24"/>
      <c r="ABS8" s="24"/>
      <c r="ABT8" s="24"/>
      <c r="ABU8" s="24"/>
      <c r="ABV8" s="24"/>
      <c r="ABW8" s="24"/>
      <c r="ABX8" s="24"/>
      <c r="ABY8" s="24"/>
      <c r="ABZ8" s="24"/>
      <c r="ACA8" s="24"/>
      <c r="ACB8" s="24"/>
      <c r="ACC8" s="24"/>
      <c r="ACD8" s="24"/>
      <c r="ACE8" s="24"/>
      <c r="ACF8" s="24"/>
      <c r="ACG8" s="24"/>
      <c r="ACH8" s="24"/>
      <c r="ACI8" s="24"/>
      <c r="ACJ8" s="24"/>
      <c r="ACK8" s="24"/>
      <c r="ACL8" s="24"/>
      <c r="ACM8" s="24"/>
      <c r="ACN8" s="24"/>
      <c r="ACO8" s="24"/>
      <c r="ACP8" s="24"/>
      <c r="ACQ8" s="24"/>
      <c r="ACR8" s="24"/>
      <c r="ACS8" s="24"/>
      <c r="ACT8" s="24"/>
      <c r="ACU8" s="24"/>
      <c r="ACV8" s="24"/>
      <c r="ACW8" s="24"/>
      <c r="ACX8" s="24"/>
      <c r="ACY8" s="24"/>
      <c r="ACZ8" s="24"/>
      <c r="ADA8" s="24"/>
      <c r="ADB8" s="24"/>
      <c r="ADC8" s="24"/>
      <c r="ADD8" s="24"/>
      <c r="ADE8" s="24"/>
      <c r="ADF8" s="24"/>
      <c r="ADG8" s="24"/>
      <c r="ADH8" s="24"/>
      <c r="ADI8" s="24"/>
      <c r="ADJ8" s="24"/>
      <c r="ADK8" s="24"/>
      <c r="ADL8" s="24"/>
      <c r="ADM8" s="24"/>
      <c r="ADN8" s="24"/>
      <c r="ADO8" s="24"/>
      <c r="ADP8" s="24"/>
      <c r="ADQ8" s="24"/>
      <c r="ADR8" s="24"/>
      <c r="ADS8" s="24"/>
      <c r="ADT8" s="24"/>
      <c r="ADU8" s="24"/>
      <c r="ADV8" s="24"/>
      <c r="ADW8" s="24"/>
      <c r="ADX8" s="24"/>
      <c r="ADY8" s="24"/>
      <c r="ADZ8" s="24"/>
      <c r="AEA8" s="24"/>
      <c r="AEB8" s="24"/>
      <c r="AEC8" s="24"/>
      <c r="AED8" s="24"/>
      <c r="AEE8" s="24"/>
      <c r="AEF8" s="24"/>
      <c r="AEG8" s="24"/>
      <c r="AEH8" s="24"/>
      <c r="AEI8" s="24"/>
      <c r="AEJ8" s="24"/>
      <c r="AEK8" s="24"/>
      <c r="AEL8" s="24"/>
      <c r="AEM8" s="24"/>
      <c r="AEN8" s="24"/>
      <c r="AEO8" s="24"/>
      <c r="AEP8" s="24"/>
      <c r="AEQ8" s="24"/>
      <c r="AER8" s="24"/>
      <c r="AES8" s="24"/>
      <c r="AET8" s="24"/>
      <c r="AEU8" s="24"/>
      <c r="AEV8" s="24"/>
      <c r="AEW8" s="24"/>
      <c r="AEX8" s="24"/>
      <c r="AEY8" s="24"/>
      <c r="AEZ8" s="24"/>
      <c r="AFA8" s="24"/>
      <c r="AFB8" s="24"/>
      <c r="AFC8" s="24"/>
      <c r="AFD8" s="24"/>
      <c r="AFE8" s="24"/>
      <c r="AFF8" s="24"/>
      <c r="AFG8" s="24"/>
      <c r="AFH8" s="24"/>
      <c r="AFI8" s="24"/>
      <c r="AFJ8" s="24"/>
      <c r="AFK8" s="24"/>
      <c r="AFL8" s="24"/>
      <c r="AFM8" s="24"/>
      <c r="AFN8" s="24"/>
      <c r="AFO8" s="24"/>
      <c r="AFP8" s="24"/>
      <c r="AFQ8" s="24"/>
      <c r="AFR8" s="24"/>
      <c r="AFS8" s="24"/>
      <c r="AFT8" s="24"/>
      <c r="AFU8" s="24"/>
      <c r="AFV8" s="24"/>
      <c r="AFW8" s="24"/>
      <c r="AFX8" s="24"/>
      <c r="AFY8" s="24"/>
      <c r="AFZ8" s="24"/>
      <c r="AGA8" s="24"/>
      <c r="AGB8" s="24"/>
      <c r="AGC8" s="24"/>
      <c r="AGD8" s="24"/>
      <c r="AGE8" s="24"/>
      <c r="AGF8" s="24"/>
      <c r="AGG8" s="24"/>
      <c r="AGH8" s="24"/>
      <c r="AGI8" s="24"/>
      <c r="AGJ8" s="24"/>
      <c r="AGK8" s="24"/>
      <c r="AGL8" s="24"/>
      <c r="AGM8" s="24"/>
      <c r="AGN8" s="24"/>
      <c r="AGO8" s="24"/>
      <c r="AGP8" s="24"/>
      <c r="AGQ8" s="24"/>
      <c r="AGR8" s="24"/>
      <c r="AGS8" s="24"/>
      <c r="AGT8" s="24"/>
      <c r="AGU8" s="24"/>
      <c r="AGV8" s="24"/>
      <c r="AGW8" s="24"/>
      <c r="AGX8" s="24"/>
      <c r="AGY8" s="24"/>
      <c r="AGZ8" s="24"/>
      <c r="AHA8" s="24"/>
      <c r="AHB8" s="24"/>
      <c r="AHC8" s="24"/>
      <c r="AHD8" s="24"/>
      <c r="AHE8" s="24"/>
      <c r="AHF8" s="24"/>
      <c r="AHG8" s="24"/>
      <c r="AHH8" s="24"/>
      <c r="AHI8" s="24"/>
      <c r="AHJ8" s="24"/>
      <c r="AHK8" s="24"/>
      <c r="AHL8" s="24"/>
      <c r="AHM8" s="24"/>
      <c r="AHN8" s="24"/>
      <c r="AHO8" s="24"/>
      <c r="AHP8" s="24"/>
      <c r="AHQ8" s="24"/>
      <c r="AHR8" s="24"/>
      <c r="AHS8" s="24"/>
      <c r="AHT8" s="24"/>
      <c r="AHU8" s="24"/>
      <c r="AHV8" s="24"/>
      <c r="AHW8" s="24"/>
      <c r="AHX8" s="24"/>
      <c r="AHY8" s="24"/>
      <c r="AHZ8" s="24"/>
      <c r="AIA8" s="24"/>
      <c r="AIB8" s="24"/>
      <c r="AIC8" s="24"/>
      <c r="AID8" s="24"/>
      <c r="AIE8" s="24"/>
      <c r="AIF8" s="24"/>
      <c r="AIG8" s="24"/>
      <c r="AIH8" s="24"/>
      <c r="AII8" s="24"/>
      <c r="AIJ8" s="24"/>
      <c r="AIK8" s="24"/>
      <c r="AIL8" s="24"/>
      <c r="AIM8" s="24"/>
      <c r="AIN8" s="24"/>
      <c r="AIO8" s="24"/>
      <c r="AIP8" s="24"/>
      <c r="AIQ8" s="24"/>
      <c r="AIR8" s="24"/>
      <c r="AIS8" s="24"/>
      <c r="AIT8" s="24"/>
      <c r="AIU8" s="24"/>
      <c r="AIV8" s="24"/>
      <c r="AIW8" s="24"/>
      <c r="AIX8" s="24"/>
      <c r="AIY8" s="24"/>
      <c r="AIZ8" s="24"/>
      <c r="AJA8" s="24"/>
      <c r="AJB8" s="24"/>
      <c r="AJC8" s="24"/>
      <c r="AJD8" s="24"/>
      <c r="AJE8" s="24"/>
      <c r="AJF8" s="24"/>
      <c r="AJG8" s="24"/>
      <c r="AJH8" s="24"/>
      <c r="AJI8" s="24"/>
      <c r="AJJ8" s="24"/>
      <c r="AJK8" s="24"/>
      <c r="AJL8" s="24"/>
      <c r="AJM8" s="24"/>
      <c r="AJN8" s="24"/>
      <c r="AJO8" s="24"/>
      <c r="AJP8" s="24"/>
      <c r="AJQ8" s="24"/>
      <c r="AJR8" s="24"/>
      <c r="AJS8" s="24"/>
      <c r="AJT8" s="24"/>
      <c r="AJU8" s="24"/>
      <c r="AJV8" s="24"/>
      <c r="AJW8" s="24"/>
      <c r="AJX8" s="24"/>
      <c r="AJY8" s="24"/>
      <c r="AJZ8" s="24"/>
      <c r="AKA8" s="24"/>
      <c r="AKB8" s="24"/>
      <c r="AKC8" s="24"/>
      <c r="AKD8" s="24"/>
      <c r="AKE8" s="24"/>
      <c r="AKF8" s="24"/>
      <c r="AKG8" s="24"/>
      <c r="AKH8" s="24"/>
      <c r="AKI8" s="24"/>
      <c r="AKJ8" s="24"/>
      <c r="AKK8" s="24"/>
      <c r="AKL8" s="24"/>
      <c r="AKM8" s="24"/>
      <c r="AKN8" s="24"/>
      <c r="AKO8" s="24"/>
      <c r="AKP8" s="24"/>
      <c r="AKQ8" s="24"/>
      <c r="AKR8" s="24"/>
      <c r="AKS8" s="24"/>
      <c r="AKT8" s="24"/>
      <c r="AKU8" s="24"/>
      <c r="AKV8" s="24"/>
      <c r="AKW8" s="24"/>
      <c r="AKX8" s="24"/>
      <c r="AKY8" s="24"/>
      <c r="AKZ8" s="24"/>
      <c r="ALA8" s="24"/>
      <c r="ALB8" s="24"/>
      <c r="ALC8" s="24"/>
      <c r="ALD8" s="24"/>
      <c r="ALE8" s="24"/>
      <c r="ALF8" s="24"/>
      <c r="ALG8" s="24"/>
      <c r="ALH8" s="24"/>
      <c r="ALI8" s="24"/>
      <c r="ALJ8" s="24"/>
      <c r="ALK8" s="24"/>
      <c r="ALL8" s="24"/>
      <c r="ALM8" s="24"/>
      <c r="ALN8" s="24"/>
      <c r="ALO8" s="24"/>
      <c r="ALP8" s="24"/>
      <c r="ALQ8" s="24"/>
      <c r="ALR8" s="24"/>
      <c r="ALS8" s="24"/>
      <c r="ALT8" s="24"/>
      <c r="ALU8" s="24"/>
      <c r="ALV8" s="24"/>
      <c r="ALW8" s="24"/>
      <c r="ALX8" s="24"/>
      <c r="ALY8" s="24"/>
      <c r="ALZ8" s="24"/>
      <c r="AMA8" s="24"/>
      <c r="AMB8" s="24"/>
      <c r="AMC8" s="24"/>
      <c r="AMD8" s="24"/>
      <c r="AME8" s="24"/>
      <c r="AMF8" s="24"/>
      <c r="AMG8" s="24"/>
      <c r="AMH8" s="24"/>
    </row>
    <row r="9" spans="2:1022" ht="76.5">
      <c r="B9" s="603"/>
      <c r="C9" s="1135"/>
      <c r="D9" s="1137"/>
      <c r="E9" s="1140"/>
      <c r="F9" s="484"/>
      <c r="G9" s="605" t="s">
        <v>908</v>
      </c>
      <c r="H9" s="602" t="s">
        <v>492</v>
      </c>
      <c r="I9" s="602" t="s">
        <v>109</v>
      </c>
      <c r="J9" s="1127"/>
      <c r="K9" s="602" t="s">
        <v>145</v>
      </c>
      <c r="L9" s="1127"/>
      <c r="M9" s="1127"/>
      <c r="N9" s="1127"/>
      <c r="O9" s="1150"/>
      <c r="P9" s="1128"/>
      <c r="Q9" s="1128"/>
      <c r="R9" s="1128"/>
      <c r="S9" s="1128"/>
      <c r="T9" s="1144"/>
      <c r="U9" s="1130"/>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c r="OH9" s="24"/>
      <c r="OI9" s="24"/>
      <c r="OJ9" s="24"/>
      <c r="OK9" s="24"/>
      <c r="OL9" s="24"/>
      <c r="OM9" s="24"/>
      <c r="ON9" s="24"/>
      <c r="OO9" s="24"/>
      <c r="OP9" s="24"/>
      <c r="OQ9" s="24"/>
      <c r="OR9" s="24"/>
      <c r="OS9" s="24"/>
      <c r="OT9" s="24"/>
      <c r="OU9" s="24"/>
      <c r="OV9" s="24"/>
      <c r="OW9" s="24"/>
      <c r="OX9" s="24"/>
      <c r="OY9" s="24"/>
      <c r="OZ9" s="24"/>
      <c r="PA9" s="24"/>
      <c r="PB9" s="24"/>
      <c r="PC9" s="24"/>
      <c r="PD9" s="24"/>
      <c r="PE9" s="24"/>
      <c r="PF9" s="24"/>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24"/>
      <c r="SM9" s="24"/>
      <c r="SN9" s="24"/>
      <c r="SO9" s="24"/>
      <c r="SP9" s="24"/>
      <c r="SQ9" s="24"/>
      <c r="SR9" s="24"/>
      <c r="SS9" s="24"/>
      <c r="ST9" s="24"/>
      <c r="SU9" s="24"/>
      <c r="SV9" s="24"/>
      <c r="SW9" s="24"/>
      <c r="SX9" s="24"/>
      <c r="SY9" s="24"/>
      <c r="SZ9" s="24"/>
      <c r="TA9" s="24"/>
      <c r="TB9" s="24"/>
      <c r="TC9" s="24"/>
      <c r="TD9" s="24"/>
      <c r="TE9" s="24"/>
      <c r="TF9" s="24"/>
      <c r="TG9" s="24"/>
      <c r="TH9" s="24"/>
      <c r="TI9" s="24"/>
      <c r="TJ9" s="24"/>
      <c r="TK9" s="24"/>
      <c r="TL9" s="24"/>
      <c r="TM9" s="24"/>
      <c r="TN9" s="24"/>
      <c r="TO9" s="24"/>
      <c r="TP9" s="24"/>
      <c r="TQ9" s="24"/>
      <c r="TR9" s="24"/>
      <c r="TS9" s="24"/>
      <c r="TT9" s="24"/>
      <c r="TU9" s="24"/>
      <c r="TV9" s="24"/>
      <c r="TW9" s="24"/>
      <c r="TX9" s="24"/>
      <c r="TY9" s="24"/>
      <c r="TZ9" s="24"/>
      <c r="UA9" s="24"/>
      <c r="UB9" s="24"/>
      <c r="UC9" s="24"/>
      <c r="UD9" s="24"/>
      <c r="UE9" s="24"/>
      <c r="UF9" s="24"/>
      <c r="UG9" s="24"/>
      <c r="UH9" s="24"/>
      <c r="UI9" s="24"/>
      <c r="UJ9" s="24"/>
      <c r="UK9" s="24"/>
      <c r="UL9" s="24"/>
      <c r="UM9" s="24"/>
      <c r="UN9" s="24"/>
      <c r="UO9" s="24"/>
      <c r="UP9" s="24"/>
      <c r="UQ9" s="24"/>
      <c r="UR9" s="24"/>
      <c r="US9" s="24"/>
      <c r="UT9" s="24"/>
      <c r="UU9" s="24"/>
      <c r="UV9" s="24"/>
      <c r="UW9" s="24"/>
      <c r="UX9" s="24"/>
      <c r="UY9" s="24"/>
      <c r="UZ9" s="24"/>
      <c r="VA9" s="24"/>
      <c r="VB9" s="24"/>
      <c r="VC9" s="24"/>
      <c r="VD9" s="24"/>
      <c r="VE9" s="24"/>
      <c r="VF9" s="24"/>
      <c r="VG9" s="24"/>
      <c r="VH9" s="24"/>
      <c r="VI9" s="24"/>
      <c r="VJ9" s="24"/>
      <c r="VK9" s="24"/>
      <c r="VL9" s="24"/>
      <c r="VM9" s="24"/>
      <c r="VN9" s="24"/>
      <c r="VO9" s="24"/>
      <c r="VP9" s="24"/>
      <c r="VQ9" s="24"/>
      <c r="VR9" s="24"/>
      <c r="VS9" s="24"/>
      <c r="VT9" s="24"/>
      <c r="VU9" s="24"/>
      <c r="VV9" s="24"/>
      <c r="VW9" s="24"/>
      <c r="VX9" s="24"/>
      <c r="VY9" s="24"/>
      <c r="VZ9" s="24"/>
      <c r="WA9" s="24"/>
      <c r="WB9" s="24"/>
      <c r="WC9" s="24"/>
      <c r="WD9" s="24"/>
      <c r="WE9" s="24"/>
      <c r="WF9" s="24"/>
      <c r="WG9" s="24"/>
      <c r="WH9" s="24"/>
      <c r="WI9" s="24"/>
      <c r="WJ9" s="24"/>
      <c r="WK9" s="24"/>
      <c r="WL9" s="24"/>
      <c r="WM9" s="24"/>
      <c r="WN9" s="24"/>
      <c r="WO9" s="24"/>
      <c r="WP9" s="24"/>
      <c r="WQ9" s="24"/>
      <c r="WR9" s="24"/>
      <c r="WS9" s="24"/>
      <c r="WT9" s="24"/>
      <c r="WU9" s="24"/>
      <c r="WV9" s="24"/>
      <c r="WW9" s="24"/>
      <c r="WX9" s="24"/>
      <c r="WY9" s="24"/>
      <c r="WZ9" s="24"/>
      <c r="XA9" s="24"/>
      <c r="XB9" s="24"/>
      <c r="XC9" s="24"/>
      <c r="XD9" s="24"/>
      <c r="XE9" s="24"/>
      <c r="XF9" s="24"/>
      <c r="XG9" s="24"/>
      <c r="XH9" s="24"/>
      <c r="XI9" s="24"/>
      <c r="XJ9" s="24"/>
      <c r="XK9" s="24"/>
      <c r="XL9" s="24"/>
      <c r="XM9" s="24"/>
      <c r="XN9" s="24"/>
      <c r="XO9" s="24"/>
      <c r="XP9" s="24"/>
      <c r="XQ9" s="24"/>
      <c r="XR9" s="24"/>
      <c r="XS9" s="24"/>
      <c r="XT9" s="24"/>
      <c r="XU9" s="24"/>
      <c r="XV9" s="24"/>
      <c r="XW9" s="24"/>
      <c r="XX9" s="24"/>
      <c r="XY9" s="24"/>
      <c r="XZ9" s="24"/>
      <c r="YA9" s="24"/>
      <c r="YB9" s="24"/>
      <c r="YC9" s="24"/>
      <c r="YD9" s="24"/>
      <c r="YE9" s="24"/>
      <c r="YF9" s="24"/>
      <c r="YG9" s="24"/>
      <c r="YH9" s="24"/>
      <c r="YI9" s="24"/>
      <c r="YJ9" s="24"/>
      <c r="YK9" s="24"/>
      <c r="YL9" s="24"/>
      <c r="YM9" s="24"/>
      <c r="YN9" s="24"/>
      <c r="YO9" s="24"/>
      <c r="YP9" s="24"/>
      <c r="YQ9" s="24"/>
      <c r="YR9" s="24"/>
      <c r="YS9" s="24"/>
      <c r="YT9" s="24"/>
      <c r="YU9" s="24"/>
      <c r="YV9" s="24"/>
      <c r="YW9" s="24"/>
      <c r="YX9" s="24"/>
      <c r="YY9" s="24"/>
      <c r="YZ9" s="24"/>
      <c r="ZA9" s="24"/>
      <c r="ZB9" s="24"/>
      <c r="ZC9" s="24"/>
      <c r="ZD9" s="24"/>
      <c r="ZE9" s="24"/>
      <c r="ZF9" s="24"/>
      <c r="ZG9" s="24"/>
      <c r="ZH9" s="24"/>
      <c r="ZI9" s="24"/>
      <c r="ZJ9" s="24"/>
      <c r="ZK9" s="24"/>
      <c r="ZL9" s="24"/>
      <c r="ZM9" s="24"/>
      <c r="ZN9" s="24"/>
      <c r="ZO9" s="24"/>
      <c r="ZP9" s="24"/>
      <c r="ZQ9" s="24"/>
      <c r="ZR9" s="24"/>
      <c r="ZS9" s="24"/>
      <c r="ZT9" s="24"/>
      <c r="ZU9" s="24"/>
      <c r="ZV9" s="24"/>
      <c r="ZW9" s="24"/>
      <c r="ZX9" s="24"/>
      <c r="ZY9" s="24"/>
      <c r="ZZ9" s="24"/>
      <c r="AAA9" s="24"/>
      <c r="AAB9" s="24"/>
      <c r="AAC9" s="24"/>
      <c r="AAD9" s="24"/>
      <c r="AAE9" s="24"/>
      <c r="AAF9" s="24"/>
      <c r="AAG9" s="24"/>
      <c r="AAH9" s="24"/>
      <c r="AAI9" s="24"/>
      <c r="AAJ9" s="24"/>
      <c r="AAK9" s="24"/>
      <c r="AAL9" s="24"/>
      <c r="AAM9" s="24"/>
      <c r="AAN9" s="24"/>
      <c r="AAO9" s="24"/>
      <c r="AAP9" s="24"/>
      <c r="AAQ9" s="24"/>
      <c r="AAR9" s="24"/>
      <c r="AAS9" s="24"/>
      <c r="AAT9" s="24"/>
      <c r="AAU9" s="24"/>
      <c r="AAV9" s="24"/>
      <c r="AAW9" s="24"/>
      <c r="AAX9" s="24"/>
      <c r="AAY9" s="24"/>
      <c r="AAZ9" s="24"/>
      <c r="ABA9" s="24"/>
      <c r="ABB9" s="24"/>
      <c r="ABC9" s="24"/>
      <c r="ABD9" s="24"/>
      <c r="ABE9" s="24"/>
      <c r="ABF9" s="24"/>
      <c r="ABG9" s="24"/>
      <c r="ABH9" s="24"/>
      <c r="ABI9" s="24"/>
      <c r="ABJ9" s="24"/>
      <c r="ABK9" s="24"/>
      <c r="ABL9" s="24"/>
      <c r="ABM9" s="24"/>
      <c r="ABN9" s="24"/>
      <c r="ABO9" s="24"/>
      <c r="ABP9" s="24"/>
      <c r="ABQ9" s="24"/>
      <c r="ABR9" s="24"/>
      <c r="ABS9" s="24"/>
      <c r="ABT9" s="24"/>
      <c r="ABU9" s="24"/>
      <c r="ABV9" s="24"/>
      <c r="ABW9" s="24"/>
      <c r="ABX9" s="24"/>
      <c r="ABY9" s="24"/>
      <c r="ABZ9" s="24"/>
      <c r="ACA9" s="24"/>
      <c r="ACB9" s="24"/>
      <c r="ACC9" s="24"/>
      <c r="ACD9" s="24"/>
      <c r="ACE9" s="24"/>
      <c r="ACF9" s="24"/>
      <c r="ACG9" s="24"/>
      <c r="ACH9" s="24"/>
      <c r="ACI9" s="24"/>
      <c r="ACJ9" s="24"/>
      <c r="ACK9" s="24"/>
      <c r="ACL9" s="24"/>
      <c r="ACM9" s="24"/>
      <c r="ACN9" s="24"/>
      <c r="ACO9" s="24"/>
      <c r="ACP9" s="24"/>
      <c r="ACQ9" s="24"/>
      <c r="ACR9" s="24"/>
      <c r="ACS9" s="24"/>
      <c r="ACT9" s="24"/>
      <c r="ACU9" s="24"/>
      <c r="ACV9" s="24"/>
      <c r="ACW9" s="24"/>
      <c r="ACX9" s="24"/>
      <c r="ACY9" s="24"/>
      <c r="ACZ9" s="24"/>
      <c r="ADA9" s="24"/>
      <c r="ADB9" s="24"/>
      <c r="ADC9" s="24"/>
      <c r="ADD9" s="24"/>
      <c r="ADE9" s="24"/>
      <c r="ADF9" s="24"/>
      <c r="ADG9" s="24"/>
      <c r="ADH9" s="24"/>
      <c r="ADI9" s="24"/>
      <c r="ADJ9" s="24"/>
      <c r="ADK9" s="24"/>
      <c r="ADL9" s="24"/>
      <c r="ADM9" s="24"/>
      <c r="ADN9" s="24"/>
      <c r="ADO9" s="24"/>
      <c r="ADP9" s="24"/>
      <c r="ADQ9" s="24"/>
      <c r="ADR9" s="24"/>
      <c r="ADS9" s="24"/>
      <c r="ADT9" s="24"/>
      <c r="ADU9" s="24"/>
      <c r="ADV9" s="24"/>
      <c r="ADW9" s="24"/>
      <c r="ADX9" s="24"/>
      <c r="ADY9" s="24"/>
      <c r="ADZ9" s="24"/>
      <c r="AEA9" s="24"/>
      <c r="AEB9" s="24"/>
      <c r="AEC9" s="24"/>
      <c r="AED9" s="24"/>
      <c r="AEE9" s="24"/>
      <c r="AEF9" s="24"/>
      <c r="AEG9" s="24"/>
      <c r="AEH9" s="24"/>
      <c r="AEI9" s="24"/>
      <c r="AEJ9" s="24"/>
      <c r="AEK9" s="24"/>
      <c r="AEL9" s="24"/>
      <c r="AEM9" s="24"/>
      <c r="AEN9" s="24"/>
      <c r="AEO9" s="24"/>
      <c r="AEP9" s="24"/>
      <c r="AEQ9" s="24"/>
      <c r="AER9" s="24"/>
      <c r="AES9" s="24"/>
      <c r="AET9" s="24"/>
      <c r="AEU9" s="24"/>
      <c r="AEV9" s="24"/>
      <c r="AEW9" s="24"/>
      <c r="AEX9" s="24"/>
      <c r="AEY9" s="24"/>
      <c r="AEZ9" s="24"/>
      <c r="AFA9" s="24"/>
      <c r="AFB9" s="24"/>
      <c r="AFC9" s="24"/>
      <c r="AFD9" s="24"/>
      <c r="AFE9" s="24"/>
      <c r="AFF9" s="24"/>
      <c r="AFG9" s="24"/>
      <c r="AFH9" s="24"/>
      <c r="AFI9" s="24"/>
      <c r="AFJ9" s="24"/>
      <c r="AFK9" s="24"/>
      <c r="AFL9" s="24"/>
      <c r="AFM9" s="24"/>
      <c r="AFN9" s="24"/>
      <c r="AFO9" s="24"/>
      <c r="AFP9" s="24"/>
      <c r="AFQ9" s="24"/>
      <c r="AFR9" s="24"/>
      <c r="AFS9" s="24"/>
      <c r="AFT9" s="24"/>
      <c r="AFU9" s="24"/>
      <c r="AFV9" s="24"/>
      <c r="AFW9" s="24"/>
      <c r="AFX9" s="24"/>
      <c r="AFY9" s="24"/>
      <c r="AFZ9" s="24"/>
      <c r="AGA9" s="24"/>
      <c r="AGB9" s="24"/>
      <c r="AGC9" s="24"/>
      <c r="AGD9" s="24"/>
      <c r="AGE9" s="24"/>
      <c r="AGF9" s="24"/>
      <c r="AGG9" s="24"/>
      <c r="AGH9" s="24"/>
      <c r="AGI9" s="24"/>
      <c r="AGJ9" s="24"/>
      <c r="AGK9" s="24"/>
      <c r="AGL9" s="24"/>
      <c r="AGM9" s="24"/>
      <c r="AGN9" s="24"/>
      <c r="AGO9" s="24"/>
      <c r="AGP9" s="24"/>
      <c r="AGQ9" s="24"/>
      <c r="AGR9" s="24"/>
      <c r="AGS9" s="24"/>
      <c r="AGT9" s="24"/>
      <c r="AGU9" s="24"/>
      <c r="AGV9" s="24"/>
      <c r="AGW9" s="24"/>
      <c r="AGX9" s="24"/>
      <c r="AGY9" s="24"/>
      <c r="AGZ9" s="24"/>
      <c r="AHA9" s="24"/>
      <c r="AHB9" s="24"/>
      <c r="AHC9" s="24"/>
      <c r="AHD9" s="24"/>
      <c r="AHE9" s="24"/>
      <c r="AHF9" s="24"/>
      <c r="AHG9" s="24"/>
      <c r="AHH9" s="24"/>
      <c r="AHI9" s="24"/>
      <c r="AHJ9" s="24"/>
      <c r="AHK9" s="24"/>
      <c r="AHL9" s="24"/>
      <c r="AHM9" s="24"/>
      <c r="AHN9" s="24"/>
      <c r="AHO9" s="24"/>
      <c r="AHP9" s="24"/>
      <c r="AHQ9" s="24"/>
      <c r="AHR9" s="24"/>
      <c r="AHS9" s="24"/>
      <c r="AHT9" s="24"/>
      <c r="AHU9" s="24"/>
      <c r="AHV9" s="24"/>
      <c r="AHW9" s="24"/>
      <c r="AHX9" s="24"/>
      <c r="AHY9" s="24"/>
      <c r="AHZ9" s="24"/>
      <c r="AIA9" s="24"/>
      <c r="AIB9" s="24"/>
      <c r="AIC9" s="24"/>
      <c r="AID9" s="24"/>
      <c r="AIE9" s="24"/>
      <c r="AIF9" s="24"/>
      <c r="AIG9" s="24"/>
      <c r="AIH9" s="24"/>
      <c r="AII9" s="24"/>
      <c r="AIJ9" s="24"/>
      <c r="AIK9" s="24"/>
      <c r="AIL9" s="24"/>
      <c r="AIM9" s="24"/>
      <c r="AIN9" s="24"/>
      <c r="AIO9" s="24"/>
      <c r="AIP9" s="24"/>
      <c r="AIQ9" s="24"/>
      <c r="AIR9" s="24"/>
      <c r="AIS9" s="24"/>
      <c r="AIT9" s="24"/>
      <c r="AIU9" s="24"/>
      <c r="AIV9" s="24"/>
      <c r="AIW9" s="24"/>
      <c r="AIX9" s="24"/>
      <c r="AIY9" s="24"/>
      <c r="AIZ9" s="24"/>
      <c r="AJA9" s="24"/>
      <c r="AJB9" s="24"/>
      <c r="AJC9" s="24"/>
      <c r="AJD9" s="24"/>
      <c r="AJE9" s="24"/>
      <c r="AJF9" s="24"/>
      <c r="AJG9" s="24"/>
      <c r="AJH9" s="24"/>
      <c r="AJI9" s="24"/>
      <c r="AJJ9" s="24"/>
      <c r="AJK9" s="24"/>
      <c r="AJL9" s="24"/>
      <c r="AJM9" s="24"/>
      <c r="AJN9" s="24"/>
      <c r="AJO9" s="24"/>
      <c r="AJP9" s="24"/>
      <c r="AJQ9" s="24"/>
      <c r="AJR9" s="24"/>
      <c r="AJS9" s="24"/>
      <c r="AJT9" s="24"/>
      <c r="AJU9" s="24"/>
      <c r="AJV9" s="24"/>
      <c r="AJW9" s="24"/>
      <c r="AJX9" s="24"/>
      <c r="AJY9" s="24"/>
      <c r="AJZ9" s="24"/>
      <c r="AKA9" s="24"/>
      <c r="AKB9" s="24"/>
      <c r="AKC9" s="24"/>
      <c r="AKD9" s="24"/>
      <c r="AKE9" s="24"/>
      <c r="AKF9" s="24"/>
      <c r="AKG9" s="24"/>
      <c r="AKH9" s="24"/>
      <c r="AKI9" s="24"/>
      <c r="AKJ9" s="24"/>
      <c r="AKK9" s="24"/>
      <c r="AKL9" s="24"/>
      <c r="AKM9" s="24"/>
      <c r="AKN9" s="24"/>
      <c r="AKO9" s="24"/>
      <c r="AKP9" s="24"/>
      <c r="AKQ9" s="24"/>
      <c r="AKR9" s="24"/>
      <c r="AKS9" s="24"/>
      <c r="AKT9" s="24"/>
      <c r="AKU9" s="24"/>
      <c r="AKV9" s="24"/>
      <c r="AKW9" s="24"/>
      <c r="AKX9" s="24"/>
      <c r="AKY9" s="24"/>
      <c r="AKZ9" s="24"/>
      <c r="ALA9" s="24"/>
      <c r="ALB9" s="24"/>
      <c r="ALC9" s="24"/>
      <c r="ALD9" s="24"/>
      <c r="ALE9" s="24"/>
      <c r="ALF9" s="24"/>
      <c r="ALG9" s="24"/>
      <c r="ALH9" s="24"/>
      <c r="ALI9" s="24"/>
      <c r="ALJ9" s="24"/>
      <c r="ALK9" s="24"/>
      <c r="ALL9" s="24"/>
      <c r="ALM9" s="24"/>
      <c r="ALN9" s="24"/>
      <c r="ALO9" s="24"/>
      <c r="ALP9" s="24"/>
      <c r="ALQ9" s="24"/>
      <c r="ALR9" s="24"/>
      <c r="ALS9" s="24"/>
      <c r="ALT9" s="24"/>
      <c r="ALU9" s="24"/>
      <c r="ALV9" s="24"/>
      <c r="ALW9" s="24"/>
      <c r="ALX9" s="24"/>
      <c r="ALY9" s="24"/>
      <c r="ALZ9" s="24"/>
      <c r="AMA9" s="24"/>
      <c r="AMB9" s="24"/>
      <c r="AMC9" s="24"/>
      <c r="AMD9" s="24"/>
      <c r="AME9" s="24"/>
      <c r="AMF9" s="24"/>
      <c r="AMG9" s="24"/>
      <c r="AMH9" s="24"/>
    </row>
    <row r="10" spans="2:1022" ht="158.25" customHeight="1">
      <c r="B10" s="603"/>
      <c r="C10" s="1135"/>
      <c r="D10" s="1137"/>
      <c r="E10" s="1140"/>
      <c r="F10" s="592"/>
      <c r="G10" s="612" t="s">
        <v>1106</v>
      </c>
      <c r="H10" s="612" t="s">
        <v>1107</v>
      </c>
      <c r="I10" s="612" t="s">
        <v>470</v>
      </c>
      <c r="J10" s="1152"/>
      <c r="K10" s="593" t="s">
        <v>1108</v>
      </c>
      <c r="L10" s="610" t="s">
        <v>1109</v>
      </c>
      <c r="M10" s="1152"/>
      <c r="N10" s="1127"/>
      <c r="O10" s="1126" t="s">
        <v>1110</v>
      </c>
      <c r="P10" s="1126" t="s">
        <v>1111</v>
      </c>
      <c r="Q10" s="1126" t="s">
        <v>690</v>
      </c>
      <c r="R10" s="1126" t="s">
        <v>1112</v>
      </c>
      <c r="S10" s="1126">
        <v>2</v>
      </c>
      <c r="T10" s="1126" t="s">
        <v>657</v>
      </c>
      <c r="U10" s="1130"/>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c r="KI10" s="24"/>
      <c r="KJ10" s="24"/>
      <c r="KK10" s="24"/>
      <c r="KL10" s="24"/>
      <c r="KM10" s="24"/>
      <c r="KN10" s="24"/>
      <c r="KO10" s="24"/>
      <c r="KP10" s="24"/>
      <c r="KQ10" s="24"/>
      <c r="KR10" s="24"/>
      <c r="KS10" s="24"/>
      <c r="KT10" s="24"/>
      <c r="KU10" s="24"/>
      <c r="KV10" s="24"/>
      <c r="KW10" s="24"/>
      <c r="KX10" s="24"/>
      <c r="KY10" s="24"/>
      <c r="KZ10" s="24"/>
      <c r="LA10" s="24"/>
      <c r="LB10" s="24"/>
      <c r="LC10" s="24"/>
      <c r="LD10" s="24"/>
      <c r="LE10" s="24"/>
      <c r="LF10" s="24"/>
      <c r="LG10" s="24"/>
      <c r="LH10" s="24"/>
      <c r="LI10" s="24"/>
      <c r="LJ10" s="24"/>
      <c r="LK10" s="24"/>
      <c r="LL10" s="24"/>
      <c r="LM10" s="24"/>
      <c r="LN10" s="24"/>
      <c r="LO10" s="24"/>
      <c r="LP10" s="24"/>
      <c r="LQ10" s="24"/>
      <c r="LR10" s="24"/>
      <c r="LS10" s="24"/>
      <c r="LT10" s="24"/>
      <c r="LU10" s="24"/>
      <c r="LV10" s="24"/>
      <c r="LW10" s="24"/>
      <c r="LX10" s="24"/>
      <c r="LY10" s="24"/>
      <c r="LZ10" s="24"/>
      <c r="MA10" s="24"/>
      <c r="MB10" s="24"/>
      <c r="MC10" s="24"/>
      <c r="MD10" s="24"/>
      <c r="ME10" s="24"/>
      <c r="MF10" s="24"/>
      <c r="MG10" s="24"/>
      <c r="MH10" s="24"/>
      <c r="MI10" s="24"/>
      <c r="MJ10" s="24"/>
      <c r="MK10" s="24"/>
      <c r="ML10" s="24"/>
      <c r="MM10" s="24"/>
      <c r="MN10" s="24"/>
      <c r="MO10" s="24"/>
      <c r="MP10" s="24"/>
      <c r="MQ10" s="24"/>
      <c r="MR10" s="24"/>
      <c r="MS10" s="24"/>
      <c r="MT10" s="24"/>
      <c r="MU10" s="24"/>
      <c r="MV10" s="24"/>
      <c r="MW10" s="24"/>
      <c r="MX10" s="24"/>
      <c r="MY10" s="24"/>
      <c r="MZ10" s="24"/>
      <c r="NA10" s="24"/>
      <c r="NB10" s="24"/>
      <c r="NC10" s="24"/>
      <c r="ND10" s="24"/>
      <c r="NE10" s="24"/>
      <c r="NF10" s="24"/>
      <c r="NG10" s="24"/>
      <c r="NH10" s="24"/>
      <c r="NI10" s="24"/>
      <c r="NJ10" s="24"/>
      <c r="NK10" s="24"/>
      <c r="NL10" s="24"/>
      <c r="NM10" s="24"/>
      <c r="NN10" s="24"/>
      <c r="NO10" s="24"/>
      <c r="NP10" s="24"/>
      <c r="NQ10" s="24"/>
      <c r="NR10" s="24"/>
      <c r="NS10" s="24"/>
      <c r="NT10" s="24"/>
      <c r="NU10" s="24"/>
      <c r="NV10" s="24"/>
      <c r="NW10" s="24"/>
      <c r="NX10" s="24"/>
      <c r="NY10" s="24"/>
      <c r="NZ10" s="24"/>
      <c r="OA10" s="24"/>
      <c r="OB10" s="24"/>
      <c r="OC10" s="24"/>
      <c r="OD10" s="24"/>
      <c r="OE10" s="24"/>
      <c r="OF10" s="24"/>
      <c r="OG10" s="24"/>
      <c r="OH10" s="24"/>
      <c r="OI10" s="24"/>
      <c r="OJ10" s="24"/>
      <c r="OK10" s="24"/>
      <c r="OL10" s="24"/>
      <c r="OM10" s="24"/>
      <c r="ON10" s="24"/>
      <c r="OO10" s="24"/>
      <c r="OP10" s="24"/>
      <c r="OQ10" s="24"/>
      <c r="OR10" s="24"/>
      <c r="OS10" s="24"/>
      <c r="OT10" s="24"/>
      <c r="OU10" s="24"/>
      <c r="OV10" s="24"/>
      <c r="OW10" s="24"/>
      <c r="OX10" s="24"/>
      <c r="OY10" s="24"/>
      <c r="OZ10" s="24"/>
      <c r="PA10" s="24"/>
      <c r="PB10" s="24"/>
      <c r="PC10" s="24"/>
      <c r="PD10" s="24"/>
      <c r="PE10" s="24"/>
      <c r="PF10" s="24"/>
      <c r="PG10" s="24"/>
      <c r="PH10" s="24"/>
      <c r="PI10" s="24"/>
      <c r="PJ10" s="24"/>
      <c r="PK10" s="24"/>
      <c r="PL10" s="24"/>
      <c r="PM10" s="24"/>
      <c r="PN10" s="24"/>
      <c r="PO10" s="24"/>
      <c r="PP10" s="24"/>
      <c r="PQ10" s="24"/>
      <c r="PR10" s="24"/>
      <c r="PS10" s="24"/>
      <c r="PT10" s="24"/>
      <c r="PU10" s="24"/>
      <c r="PV10" s="24"/>
      <c r="PW10" s="24"/>
      <c r="PX10" s="24"/>
      <c r="PY10" s="24"/>
      <c r="PZ10" s="24"/>
      <c r="QA10" s="24"/>
      <c r="QB10" s="24"/>
      <c r="QC10" s="24"/>
      <c r="QD10" s="24"/>
      <c r="QE10" s="24"/>
      <c r="QF10" s="24"/>
      <c r="QG10" s="24"/>
      <c r="QH10" s="24"/>
      <c r="QI10" s="24"/>
      <c r="QJ10" s="24"/>
      <c r="QK10" s="24"/>
      <c r="QL10" s="24"/>
      <c r="QM10" s="24"/>
      <c r="QN10" s="24"/>
      <c r="QO10" s="24"/>
      <c r="QP10" s="24"/>
      <c r="QQ10" s="24"/>
      <c r="QR10" s="24"/>
      <c r="QS10" s="24"/>
      <c r="QT10" s="24"/>
      <c r="QU10" s="24"/>
      <c r="QV10" s="24"/>
      <c r="QW10" s="24"/>
      <c r="QX10" s="24"/>
      <c r="QY10" s="24"/>
      <c r="QZ10" s="24"/>
      <c r="RA10" s="24"/>
      <c r="RB10" s="24"/>
      <c r="RC10" s="24"/>
      <c r="RD10" s="24"/>
      <c r="RE10" s="24"/>
      <c r="RF10" s="24"/>
      <c r="RG10" s="24"/>
      <c r="RH10" s="24"/>
      <c r="RI10" s="24"/>
      <c r="RJ10" s="24"/>
      <c r="RK10" s="24"/>
      <c r="RL10" s="24"/>
      <c r="RM10" s="24"/>
      <c r="RN10" s="24"/>
      <c r="RO10" s="24"/>
      <c r="RP10" s="24"/>
      <c r="RQ10" s="24"/>
      <c r="RR10" s="24"/>
      <c r="RS10" s="24"/>
      <c r="RT10" s="24"/>
      <c r="RU10" s="24"/>
      <c r="RV10" s="24"/>
      <c r="RW10" s="24"/>
      <c r="RX10" s="24"/>
      <c r="RY10" s="24"/>
      <c r="RZ10" s="24"/>
      <c r="SA10" s="24"/>
      <c r="SB10" s="24"/>
      <c r="SC10" s="24"/>
      <c r="SD10" s="24"/>
      <c r="SE10" s="24"/>
      <c r="SF10" s="24"/>
      <c r="SG10" s="24"/>
      <c r="SH10" s="24"/>
      <c r="SI10" s="24"/>
      <c r="SJ10" s="24"/>
      <c r="SK10" s="24"/>
      <c r="SL10" s="24"/>
      <c r="SM10" s="24"/>
      <c r="SN10" s="24"/>
      <c r="SO10" s="24"/>
      <c r="SP10" s="24"/>
      <c r="SQ10" s="24"/>
      <c r="SR10" s="24"/>
      <c r="SS10" s="24"/>
      <c r="ST10" s="24"/>
      <c r="SU10" s="24"/>
      <c r="SV10" s="24"/>
      <c r="SW10" s="24"/>
      <c r="SX10" s="24"/>
      <c r="SY10" s="24"/>
      <c r="SZ10" s="24"/>
      <c r="TA10" s="24"/>
      <c r="TB10" s="24"/>
      <c r="TC10" s="24"/>
      <c r="TD10" s="24"/>
      <c r="TE10" s="24"/>
      <c r="TF10" s="24"/>
      <c r="TG10" s="24"/>
      <c r="TH10" s="24"/>
      <c r="TI10" s="24"/>
      <c r="TJ10" s="24"/>
      <c r="TK10" s="24"/>
      <c r="TL10" s="24"/>
      <c r="TM10" s="24"/>
      <c r="TN10" s="24"/>
      <c r="TO10" s="24"/>
      <c r="TP10" s="24"/>
      <c r="TQ10" s="24"/>
      <c r="TR10" s="24"/>
      <c r="TS10" s="24"/>
      <c r="TT10" s="24"/>
      <c r="TU10" s="24"/>
      <c r="TV10" s="24"/>
      <c r="TW10" s="24"/>
      <c r="TX10" s="24"/>
      <c r="TY10" s="24"/>
      <c r="TZ10" s="24"/>
      <c r="UA10" s="24"/>
      <c r="UB10" s="24"/>
      <c r="UC10" s="24"/>
      <c r="UD10" s="24"/>
      <c r="UE10" s="24"/>
      <c r="UF10" s="24"/>
      <c r="UG10" s="24"/>
      <c r="UH10" s="24"/>
      <c r="UI10" s="24"/>
      <c r="UJ10" s="24"/>
      <c r="UK10" s="24"/>
      <c r="UL10" s="24"/>
      <c r="UM10" s="24"/>
      <c r="UN10" s="24"/>
      <c r="UO10" s="24"/>
      <c r="UP10" s="24"/>
      <c r="UQ10" s="24"/>
      <c r="UR10" s="24"/>
      <c r="US10" s="24"/>
      <c r="UT10" s="24"/>
      <c r="UU10" s="24"/>
      <c r="UV10" s="24"/>
      <c r="UW10" s="24"/>
      <c r="UX10" s="24"/>
      <c r="UY10" s="24"/>
      <c r="UZ10" s="24"/>
      <c r="VA10" s="24"/>
      <c r="VB10" s="24"/>
      <c r="VC10" s="24"/>
      <c r="VD10" s="24"/>
      <c r="VE10" s="24"/>
      <c r="VF10" s="24"/>
      <c r="VG10" s="24"/>
      <c r="VH10" s="24"/>
      <c r="VI10" s="24"/>
      <c r="VJ10" s="24"/>
      <c r="VK10" s="24"/>
      <c r="VL10" s="24"/>
      <c r="VM10" s="24"/>
      <c r="VN10" s="24"/>
      <c r="VO10" s="24"/>
      <c r="VP10" s="24"/>
      <c r="VQ10" s="24"/>
      <c r="VR10" s="24"/>
      <c r="VS10" s="24"/>
      <c r="VT10" s="24"/>
      <c r="VU10" s="24"/>
      <c r="VV10" s="24"/>
      <c r="VW10" s="24"/>
      <c r="VX10" s="24"/>
      <c r="VY10" s="24"/>
      <c r="VZ10" s="24"/>
      <c r="WA10" s="24"/>
      <c r="WB10" s="24"/>
      <c r="WC10" s="24"/>
      <c r="WD10" s="24"/>
      <c r="WE10" s="24"/>
      <c r="WF10" s="24"/>
      <c r="WG10" s="24"/>
      <c r="WH10" s="24"/>
      <c r="WI10" s="24"/>
      <c r="WJ10" s="24"/>
      <c r="WK10" s="24"/>
      <c r="WL10" s="24"/>
      <c r="WM10" s="24"/>
      <c r="WN10" s="24"/>
      <c r="WO10" s="24"/>
      <c r="WP10" s="24"/>
      <c r="WQ10" s="24"/>
      <c r="WR10" s="24"/>
      <c r="WS10" s="24"/>
      <c r="WT10" s="24"/>
      <c r="WU10" s="24"/>
      <c r="WV10" s="24"/>
      <c r="WW10" s="24"/>
      <c r="WX10" s="24"/>
      <c r="WY10" s="24"/>
      <c r="WZ10" s="24"/>
      <c r="XA10" s="24"/>
      <c r="XB10" s="24"/>
      <c r="XC10" s="24"/>
      <c r="XD10" s="24"/>
      <c r="XE10" s="24"/>
      <c r="XF10" s="24"/>
      <c r="XG10" s="24"/>
      <c r="XH10" s="24"/>
      <c r="XI10" s="24"/>
      <c r="XJ10" s="24"/>
      <c r="XK10" s="24"/>
      <c r="XL10" s="24"/>
      <c r="XM10" s="24"/>
      <c r="XN10" s="24"/>
      <c r="XO10" s="24"/>
      <c r="XP10" s="24"/>
      <c r="XQ10" s="24"/>
      <c r="XR10" s="24"/>
      <c r="XS10" s="24"/>
      <c r="XT10" s="24"/>
      <c r="XU10" s="24"/>
      <c r="XV10" s="24"/>
      <c r="XW10" s="24"/>
      <c r="XX10" s="24"/>
      <c r="XY10" s="24"/>
      <c r="XZ10" s="24"/>
      <c r="YA10" s="24"/>
      <c r="YB10" s="24"/>
      <c r="YC10" s="24"/>
      <c r="YD10" s="24"/>
      <c r="YE10" s="24"/>
      <c r="YF10" s="24"/>
      <c r="YG10" s="24"/>
      <c r="YH10" s="24"/>
      <c r="YI10" s="24"/>
      <c r="YJ10" s="24"/>
      <c r="YK10" s="24"/>
      <c r="YL10" s="24"/>
      <c r="YM10" s="24"/>
      <c r="YN10" s="24"/>
      <c r="YO10" s="24"/>
      <c r="YP10" s="24"/>
      <c r="YQ10" s="24"/>
      <c r="YR10" s="24"/>
      <c r="YS10" s="24"/>
      <c r="YT10" s="24"/>
      <c r="YU10" s="24"/>
      <c r="YV10" s="24"/>
      <c r="YW10" s="24"/>
      <c r="YX10" s="24"/>
      <c r="YY10" s="24"/>
      <c r="YZ10" s="24"/>
      <c r="ZA10" s="24"/>
      <c r="ZB10" s="24"/>
      <c r="ZC10" s="24"/>
      <c r="ZD10" s="24"/>
      <c r="ZE10" s="24"/>
      <c r="ZF10" s="24"/>
      <c r="ZG10" s="24"/>
      <c r="ZH10" s="24"/>
      <c r="ZI10" s="24"/>
      <c r="ZJ10" s="24"/>
      <c r="ZK10" s="24"/>
      <c r="ZL10" s="24"/>
      <c r="ZM10" s="24"/>
      <c r="ZN10" s="24"/>
      <c r="ZO10" s="24"/>
      <c r="ZP10" s="24"/>
      <c r="ZQ10" s="24"/>
      <c r="ZR10" s="24"/>
      <c r="ZS10" s="24"/>
      <c r="ZT10" s="24"/>
      <c r="ZU10" s="24"/>
      <c r="ZV10" s="24"/>
      <c r="ZW10" s="24"/>
      <c r="ZX10" s="24"/>
      <c r="ZY10" s="24"/>
      <c r="ZZ10" s="24"/>
      <c r="AAA10" s="24"/>
      <c r="AAB10" s="24"/>
      <c r="AAC10" s="24"/>
      <c r="AAD10" s="24"/>
      <c r="AAE10" s="24"/>
      <c r="AAF10" s="24"/>
      <c r="AAG10" s="24"/>
      <c r="AAH10" s="24"/>
      <c r="AAI10" s="24"/>
      <c r="AAJ10" s="24"/>
      <c r="AAK10" s="24"/>
      <c r="AAL10" s="24"/>
      <c r="AAM10" s="24"/>
      <c r="AAN10" s="24"/>
      <c r="AAO10" s="24"/>
      <c r="AAP10" s="24"/>
      <c r="AAQ10" s="24"/>
      <c r="AAR10" s="24"/>
      <c r="AAS10" s="24"/>
      <c r="AAT10" s="24"/>
      <c r="AAU10" s="24"/>
      <c r="AAV10" s="24"/>
      <c r="AAW10" s="24"/>
      <c r="AAX10" s="24"/>
      <c r="AAY10" s="24"/>
      <c r="AAZ10" s="24"/>
      <c r="ABA10" s="24"/>
      <c r="ABB10" s="24"/>
      <c r="ABC10" s="24"/>
      <c r="ABD10" s="24"/>
      <c r="ABE10" s="24"/>
      <c r="ABF10" s="24"/>
      <c r="ABG10" s="24"/>
      <c r="ABH10" s="24"/>
      <c r="ABI10" s="24"/>
      <c r="ABJ10" s="24"/>
      <c r="ABK10" s="24"/>
      <c r="ABL10" s="24"/>
      <c r="ABM10" s="24"/>
      <c r="ABN10" s="24"/>
      <c r="ABO10" s="24"/>
      <c r="ABP10" s="24"/>
      <c r="ABQ10" s="24"/>
      <c r="ABR10" s="24"/>
      <c r="ABS10" s="24"/>
      <c r="ABT10" s="24"/>
      <c r="ABU10" s="24"/>
      <c r="ABV10" s="24"/>
      <c r="ABW10" s="24"/>
      <c r="ABX10" s="24"/>
      <c r="ABY10" s="24"/>
      <c r="ABZ10" s="24"/>
      <c r="ACA10" s="24"/>
      <c r="ACB10" s="24"/>
      <c r="ACC10" s="24"/>
      <c r="ACD10" s="24"/>
      <c r="ACE10" s="24"/>
      <c r="ACF10" s="24"/>
      <c r="ACG10" s="24"/>
      <c r="ACH10" s="24"/>
      <c r="ACI10" s="24"/>
      <c r="ACJ10" s="24"/>
      <c r="ACK10" s="24"/>
      <c r="ACL10" s="24"/>
      <c r="ACM10" s="24"/>
      <c r="ACN10" s="24"/>
      <c r="ACO10" s="24"/>
      <c r="ACP10" s="24"/>
      <c r="ACQ10" s="24"/>
      <c r="ACR10" s="24"/>
      <c r="ACS10" s="24"/>
      <c r="ACT10" s="24"/>
      <c r="ACU10" s="24"/>
      <c r="ACV10" s="24"/>
      <c r="ACW10" s="24"/>
      <c r="ACX10" s="24"/>
      <c r="ACY10" s="24"/>
      <c r="ACZ10" s="24"/>
      <c r="ADA10" s="24"/>
      <c r="ADB10" s="24"/>
      <c r="ADC10" s="24"/>
      <c r="ADD10" s="24"/>
      <c r="ADE10" s="24"/>
      <c r="ADF10" s="24"/>
      <c r="ADG10" s="24"/>
      <c r="ADH10" s="24"/>
      <c r="ADI10" s="24"/>
      <c r="ADJ10" s="24"/>
      <c r="ADK10" s="24"/>
      <c r="ADL10" s="24"/>
      <c r="ADM10" s="24"/>
      <c r="ADN10" s="24"/>
      <c r="ADO10" s="24"/>
      <c r="ADP10" s="24"/>
      <c r="ADQ10" s="24"/>
      <c r="ADR10" s="24"/>
      <c r="ADS10" s="24"/>
      <c r="ADT10" s="24"/>
      <c r="ADU10" s="24"/>
      <c r="ADV10" s="24"/>
      <c r="ADW10" s="24"/>
      <c r="ADX10" s="24"/>
      <c r="ADY10" s="24"/>
      <c r="ADZ10" s="24"/>
      <c r="AEA10" s="24"/>
      <c r="AEB10" s="24"/>
      <c r="AEC10" s="24"/>
      <c r="AED10" s="24"/>
      <c r="AEE10" s="24"/>
      <c r="AEF10" s="24"/>
      <c r="AEG10" s="24"/>
      <c r="AEH10" s="24"/>
      <c r="AEI10" s="24"/>
      <c r="AEJ10" s="24"/>
      <c r="AEK10" s="24"/>
      <c r="AEL10" s="24"/>
      <c r="AEM10" s="24"/>
      <c r="AEN10" s="24"/>
      <c r="AEO10" s="24"/>
      <c r="AEP10" s="24"/>
      <c r="AEQ10" s="24"/>
      <c r="AER10" s="24"/>
      <c r="AES10" s="24"/>
      <c r="AET10" s="24"/>
      <c r="AEU10" s="24"/>
      <c r="AEV10" s="24"/>
      <c r="AEW10" s="24"/>
      <c r="AEX10" s="24"/>
      <c r="AEY10" s="24"/>
      <c r="AEZ10" s="24"/>
      <c r="AFA10" s="24"/>
      <c r="AFB10" s="24"/>
      <c r="AFC10" s="24"/>
      <c r="AFD10" s="24"/>
      <c r="AFE10" s="24"/>
      <c r="AFF10" s="24"/>
      <c r="AFG10" s="24"/>
      <c r="AFH10" s="24"/>
      <c r="AFI10" s="24"/>
      <c r="AFJ10" s="24"/>
      <c r="AFK10" s="24"/>
      <c r="AFL10" s="24"/>
      <c r="AFM10" s="24"/>
      <c r="AFN10" s="24"/>
      <c r="AFO10" s="24"/>
      <c r="AFP10" s="24"/>
      <c r="AFQ10" s="24"/>
      <c r="AFR10" s="24"/>
      <c r="AFS10" s="24"/>
      <c r="AFT10" s="24"/>
      <c r="AFU10" s="24"/>
      <c r="AFV10" s="24"/>
      <c r="AFW10" s="24"/>
      <c r="AFX10" s="24"/>
      <c r="AFY10" s="24"/>
      <c r="AFZ10" s="24"/>
      <c r="AGA10" s="24"/>
      <c r="AGB10" s="24"/>
      <c r="AGC10" s="24"/>
      <c r="AGD10" s="24"/>
      <c r="AGE10" s="24"/>
      <c r="AGF10" s="24"/>
      <c r="AGG10" s="24"/>
      <c r="AGH10" s="24"/>
      <c r="AGI10" s="24"/>
      <c r="AGJ10" s="24"/>
      <c r="AGK10" s="24"/>
      <c r="AGL10" s="24"/>
      <c r="AGM10" s="24"/>
      <c r="AGN10" s="24"/>
      <c r="AGO10" s="24"/>
      <c r="AGP10" s="24"/>
      <c r="AGQ10" s="24"/>
      <c r="AGR10" s="24"/>
      <c r="AGS10" s="24"/>
      <c r="AGT10" s="24"/>
      <c r="AGU10" s="24"/>
      <c r="AGV10" s="24"/>
      <c r="AGW10" s="24"/>
      <c r="AGX10" s="24"/>
      <c r="AGY10" s="24"/>
      <c r="AGZ10" s="24"/>
      <c r="AHA10" s="24"/>
      <c r="AHB10" s="24"/>
      <c r="AHC10" s="24"/>
      <c r="AHD10" s="24"/>
      <c r="AHE10" s="24"/>
      <c r="AHF10" s="24"/>
      <c r="AHG10" s="24"/>
      <c r="AHH10" s="24"/>
      <c r="AHI10" s="24"/>
      <c r="AHJ10" s="24"/>
      <c r="AHK10" s="24"/>
      <c r="AHL10" s="24"/>
      <c r="AHM10" s="24"/>
      <c r="AHN10" s="24"/>
      <c r="AHO10" s="24"/>
      <c r="AHP10" s="24"/>
      <c r="AHQ10" s="24"/>
      <c r="AHR10" s="24"/>
      <c r="AHS10" s="24"/>
      <c r="AHT10" s="24"/>
      <c r="AHU10" s="24"/>
      <c r="AHV10" s="24"/>
      <c r="AHW10" s="24"/>
      <c r="AHX10" s="24"/>
      <c r="AHY10" s="24"/>
      <c r="AHZ10" s="24"/>
      <c r="AIA10" s="24"/>
      <c r="AIB10" s="24"/>
      <c r="AIC10" s="24"/>
      <c r="AID10" s="24"/>
      <c r="AIE10" s="24"/>
      <c r="AIF10" s="24"/>
      <c r="AIG10" s="24"/>
      <c r="AIH10" s="24"/>
      <c r="AII10" s="24"/>
      <c r="AIJ10" s="24"/>
      <c r="AIK10" s="24"/>
      <c r="AIL10" s="24"/>
      <c r="AIM10" s="24"/>
      <c r="AIN10" s="24"/>
      <c r="AIO10" s="24"/>
      <c r="AIP10" s="24"/>
      <c r="AIQ10" s="24"/>
      <c r="AIR10" s="24"/>
      <c r="AIS10" s="24"/>
      <c r="AIT10" s="24"/>
      <c r="AIU10" s="24"/>
      <c r="AIV10" s="24"/>
      <c r="AIW10" s="24"/>
      <c r="AIX10" s="24"/>
      <c r="AIY10" s="24"/>
      <c r="AIZ10" s="24"/>
      <c r="AJA10" s="24"/>
      <c r="AJB10" s="24"/>
      <c r="AJC10" s="24"/>
      <c r="AJD10" s="24"/>
      <c r="AJE10" s="24"/>
      <c r="AJF10" s="24"/>
      <c r="AJG10" s="24"/>
      <c r="AJH10" s="24"/>
      <c r="AJI10" s="24"/>
      <c r="AJJ10" s="24"/>
      <c r="AJK10" s="24"/>
      <c r="AJL10" s="24"/>
      <c r="AJM10" s="24"/>
      <c r="AJN10" s="24"/>
      <c r="AJO10" s="24"/>
      <c r="AJP10" s="24"/>
      <c r="AJQ10" s="24"/>
      <c r="AJR10" s="24"/>
      <c r="AJS10" s="24"/>
      <c r="AJT10" s="24"/>
      <c r="AJU10" s="24"/>
      <c r="AJV10" s="24"/>
      <c r="AJW10" s="24"/>
      <c r="AJX10" s="24"/>
      <c r="AJY10" s="24"/>
      <c r="AJZ10" s="24"/>
      <c r="AKA10" s="24"/>
      <c r="AKB10" s="24"/>
      <c r="AKC10" s="24"/>
      <c r="AKD10" s="24"/>
      <c r="AKE10" s="24"/>
      <c r="AKF10" s="24"/>
      <c r="AKG10" s="24"/>
      <c r="AKH10" s="24"/>
      <c r="AKI10" s="24"/>
      <c r="AKJ10" s="24"/>
      <c r="AKK10" s="24"/>
      <c r="AKL10" s="24"/>
      <c r="AKM10" s="24"/>
      <c r="AKN10" s="24"/>
      <c r="AKO10" s="24"/>
      <c r="AKP10" s="24"/>
      <c r="AKQ10" s="24"/>
      <c r="AKR10" s="24"/>
      <c r="AKS10" s="24"/>
      <c r="AKT10" s="24"/>
      <c r="AKU10" s="24"/>
      <c r="AKV10" s="24"/>
      <c r="AKW10" s="24"/>
      <c r="AKX10" s="24"/>
      <c r="AKY10" s="24"/>
      <c r="AKZ10" s="24"/>
      <c r="ALA10" s="24"/>
      <c r="ALB10" s="24"/>
      <c r="ALC10" s="24"/>
      <c r="ALD10" s="24"/>
      <c r="ALE10" s="24"/>
      <c r="ALF10" s="24"/>
      <c r="ALG10" s="24"/>
      <c r="ALH10" s="24"/>
      <c r="ALI10" s="24"/>
      <c r="ALJ10" s="24"/>
      <c r="ALK10" s="24"/>
      <c r="ALL10" s="24"/>
      <c r="ALM10" s="24"/>
      <c r="ALN10" s="24"/>
      <c r="ALO10" s="24"/>
      <c r="ALP10" s="24"/>
      <c r="ALQ10" s="24"/>
      <c r="ALR10" s="24"/>
      <c r="ALS10" s="24"/>
      <c r="ALT10" s="24"/>
      <c r="ALU10" s="24"/>
      <c r="ALV10" s="24"/>
      <c r="ALW10" s="24"/>
      <c r="ALX10" s="24"/>
      <c r="ALY10" s="24"/>
      <c r="ALZ10" s="24"/>
      <c r="AMA10" s="24"/>
      <c r="AMB10" s="24"/>
      <c r="AMC10" s="24"/>
      <c r="AMD10" s="24"/>
      <c r="AME10" s="24"/>
      <c r="AMF10" s="24"/>
      <c r="AMG10" s="24"/>
      <c r="AMH10" s="24"/>
    </row>
    <row r="11" spans="2:1022" ht="38.25">
      <c r="B11" s="603"/>
      <c r="C11" s="1135"/>
      <c r="D11" s="1137"/>
      <c r="E11" s="1140"/>
      <c r="F11" s="592"/>
      <c r="G11" s="1160" t="s">
        <v>1113</v>
      </c>
      <c r="H11" s="612" t="s">
        <v>1114</v>
      </c>
      <c r="I11" s="612" t="s">
        <v>1115</v>
      </c>
      <c r="J11" s="1152"/>
      <c r="K11" s="612" t="s">
        <v>1017</v>
      </c>
      <c r="L11" s="1154" t="s">
        <v>1116</v>
      </c>
      <c r="M11" s="1127"/>
      <c r="N11" s="1127"/>
      <c r="O11" s="1127"/>
      <c r="P11" s="1127"/>
      <c r="Q11" s="1127"/>
      <c r="R11" s="1127"/>
      <c r="S11" s="1127"/>
      <c r="T11" s="1127"/>
      <c r="U11" s="1130"/>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c r="WB11" s="24"/>
      <c r="WC11" s="24"/>
      <c r="WD11" s="24"/>
      <c r="WE11" s="24"/>
      <c r="WF11" s="24"/>
      <c r="WG11" s="24"/>
      <c r="WH11" s="24"/>
      <c r="WI11" s="24"/>
      <c r="WJ11" s="24"/>
      <c r="WK11" s="24"/>
      <c r="WL11" s="24"/>
      <c r="WM11" s="24"/>
      <c r="WN11" s="24"/>
      <c r="WO11" s="24"/>
      <c r="WP11" s="24"/>
      <c r="WQ11" s="24"/>
      <c r="WR11" s="24"/>
      <c r="WS11" s="24"/>
      <c r="WT11" s="24"/>
      <c r="WU11" s="24"/>
      <c r="WV11" s="24"/>
      <c r="WW11" s="24"/>
      <c r="WX11" s="24"/>
      <c r="WY11" s="24"/>
      <c r="WZ11" s="24"/>
      <c r="XA11" s="24"/>
      <c r="XB11" s="24"/>
      <c r="XC11" s="24"/>
      <c r="XD11" s="24"/>
      <c r="XE11" s="24"/>
      <c r="XF11" s="24"/>
      <c r="XG11" s="24"/>
      <c r="XH11" s="24"/>
      <c r="XI11" s="24"/>
      <c r="XJ11" s="24"/>
      <c r="XK11" s="24"/>
      <c r="XL11" s="24"/>
      <c r="XM11" s="24"/>
      <c r="XN11" s="24"/>
      <c r="XO11" s="24"/>
      <c r="XP11" s="24"/>
      <c r="XQ11" s="24"/>
      <c r="XR11" s="24"/>
      <c r="XS11" s="24"/>
      <c r="XT11" s="24"/>
      <c r="XU11" s="24"/>
      <c r="XV11" s="24"/>
      <c r="XW11" s="24"/>
      <c r="XX11" s="24"/>
      <c r="XY11" s="24"/>
      <c r="XZ11" s="24"/>
      <c r="YA11" s="24"/>
      <c r="YB11" s="24"/>
      <c r="YC11" s="24"/>
      <c r="YD11" s="24"/>
      <c r="YE11" s="24"/>
      <c r="YF11" s="24"/>
      <c r="YG11" s="24"/>
      <c r="YH11" s="24"/>
      <c r="YI11" s="24"/>
      <c r="YJ11" s="24"/>
      <c r="YK11" s="24"/>
      <c r="YL11" s="24"/>
      <c r="YM11" s="24"/>
      <c r="YN11" s="24"/>
      <c r="YO11" s="24"/>
      <c r="YP11" s="24"/>
      <c r="YQ11" s="24"/>
      <c r="YR11" s="24"/>
      <c r="YS11" s="24"/>
      <c r="YT11" s="24"/>
      <c r="YU11" s="24"/>
      <c r="YV11" s="24"/>
      <c r="YW11" s="24"/>
      <c r="YX11" s="24"/>
      <c r="YY11" s="24"/>
      <c r="YZ11" s="24"/>
      <c r="ZA11" s="24"/>
      <c r="ZB11" s="24"/>
      <c r="ZC11" s="24"/>
      <c r="ZD11" s="24"/>
      <c r="ZE11" s="24"/>
      <c r="ZF11" s="24"/>
      <c r="ZG11" s="24"/>
      <c r="ZH11" s="24"/>
      <c r="ZI11" s="24"/>
      <c r="ZJ11" s="24"/>
      <c r="ZK11" s="24"/>
      <c r="ZL11" s="24"/>
      <c r="ZM11" s="24"/>
      <c r="ZN11" s="24"/>
      <c r="ZO11" s="24"/>
      <c r="ZP11" s="24"/>
      <c r="ZQ11" s="24"/>
      <c r="ZR11" s="24"/>
      <c r="ZS11" s="24"/>
      <c r="ZT11" s="24"/>
      <c r="ZU11" s="24"/>
      <c r="ZV11" s="24"/>
      <c r="ZW11" s="24"/>
      <c r="ZX11" s="24"/>
      <c r="ZY11" s="24"/>
      <c r="ZZ11" s="24"/>
      <c r="AAA11" s="24"/>
      <c r="AAB11" s="24"/>
      <c r="AAC11" s="24"/>
      <c r="AAD11" s="24"/>
      <c r="AAE11" s="24"/>
      <c r="AAF11" s="24"/>
      <c r="AAG11" s="24"/>
      <c r="AAH11" s="24"/>
      <c r="AAI11" s="24"/>
      <c r="AAJ11" s="24"/>
      <c r="AAK11" s="24"/>
      <c r="AAL11" s="24"/>
      <c r="AAM11" s="24"/>
      <c r="AAN11" s="24"/>
      <c r="AAO11" s="24"/>
      <c r="AAP11" s="24"/>
      <c r="AAQ11" s="24"/>
      <c r="AAR11" s="24"/>
      <c r="AAS11" s="24"/>
      <c r="AAT11" s="24"/>
      <c r="AAU11" s="24"/>
      <c r="AAV11" s="24"/>
      <c r="AAW11" s="24"/>
      <c r="AAX11" s="24"/>
      <c r="AAY11" s="24"/>
      <c r="AAZ11" s="24"/>
      <c r="ABA11" s="24"/>
      <c r="ABB11" s="24"/>
      <c r="ABC11" s="24"/>
      <c r="ABD11" s="24"/>
      <c r="ABE11" s="24"/>
      <c r="ABF11" s="24"/>
      <c r="ABG11" s="24"/>
      <c r="ABH11" s="24"/>
      <c r="ABI11" s="24"/>
      <c r="ABJ11" s="24"/>
      <c r="ABK11" s="24"/>
      <c r="ABL11" s="24"/>
      <c r="ABM11" s="24"/>
      <c r="ABN11" s="24"/>
      <c r="ABO11" s="24"/>
      <c r="ABP11" s="24"/>
      <c r="ABQ11" s="24"/>
      <c r="ABR11" s="24"/>
      <c r="ABS11" s="24"/>
      <c r="ABT11" s="24"/>
      <c r="ABU11" s="24"/>
      <c r="ABV11" s="24"/>
      <c r="ABW11" s="24"/>
      <c r="ABX11" s="24"/>
      <c r="ABY11" s="24"/>
      <c r="ABZ11" s="24"/>
      <c r="ACA11" s="24"/>
      <c r="ACB11" s="24"/>
      <c r="ACC11" s="24"/>
      <c r="ACD11" s="24"/>
      <c r="ACE11" s="24"/>
      <c r="ACF11" s="24"/>
      <c r="ACG11" s="24"/>
      <c r="ACH11" s="24"/>
      <c r="ACI11" s="24"/>
      <c r="ACJ11" s="24"/>
      <c r="ACK11" s="24"/>
      <c r="ACL11" s="24"/>
      <c r="ACM11" s="24"/>
      <c r="ACN11" s="24"/>
      <c r="ACO11" s="24"/>
      <c r="ACP11" s="24"/>
      <c r="ACQ11" s="24"/>
      <c r="ACR11" s="24"/>
      <c r="ACS11" s="24"/>
      <c r="ACT11" s="24"/>
      <c r="ACU11" s="24"/>
      <c r="ACV11" s="24"/>
      <c r="ACW11" s="24"/>
      <c r="ACX11" s="24"/>
      <c r="ACY11" s="24"/>
      <c r="ACZ11" s="24"/>
      <c r="ADA11" s="24"/>
      <c r="ADB11" s="24"/>
      <c r="ADC11" s="24"/>
      <c r="ADD11" s="24"/>
      <c r="ADE11" s="24"/>
      <c r="ADF11" s="24"/>
      <c r="ADG11" s="24"/>
      <c r="ADH11" s="24"/>
      <c r="ADI11" s="24"/>
      <c r="ADJ11" s="24"/>
      <c r="ADK11" s="24"/>
      <c r="ADL11" s="24"/>
      <c r="ADM11" s="24"/>
      <c r="ADN11" s="24"/>
      <c r="ADO11" s="24"/>
      <c r="ADP11" s="24"/>
      <c r="ADQ11" s="24"/>
      <c r="ADR11" s="24"/>
      <c r="ADS11" s="24"/>
      <c r="ADT11" s="24"/>
      <c r="ADU11" s="24"/>
      <c r="ADV11" s="24"/>
      <c r="ADW11" s="24"/>
      <c r="ADX11" s="24"/>
      <c r="ADY11" s="24"/>
      <c r="ADZ11" s="24"/>
      <c r="AEA11" s="24"/>
      <c r="AEB11" s="24"/>
      <c r="AEC11" s="24"/>
      <c r="AED11" s="24"/>
      <c r="AEE11" s="24"/>
      <c r="AEF11" s="24"/>
      <c r="AEG11" s="24"/>
      <c r="AEH11" s="24"/>
      <c r="AEI11" s="24"/>
      <c r="AEJ11" s="24"/>
      <c r="AEK11" s="24"/>
      <c r="AEL11" s="24"/>
      <c r="AEM11" s="24"/>
      <c r="AEN11" s="24"/>
      <c r="AEO11" s="24"/>
      <c r="AEP11" s="24"/>
      <c r="AEQ11" s="24"/>
      <c r="AER11" s="24"/>
      <c r="AES11" s="24"/>
      <c r="AET11" s="24"/>
      <c r="AEU11" s="24"/>
      <c r="AEV11" s="24"/>
      <c r="AEW11" s="24"/>
      <c r="AEX11" s="24"/>
      <c r="AEY11" s="24"/>
      <c r="AEZ11" s="24"/>
      <c r="AFA11" s="24"/>
      <c r="AFB11" s="24"/>
      <c r="AFC11" s="24"/>
      <c r="AFD11" s="24"/>
      <c r="AFE11" s="24"/>
      <c r="AFF11" s="24"/>
      <c r="AFG11" s="24"/>
      <c r="AFH11" s="24"/>
      <c r="AFI11" s="24"/>
      <c r="AFJ11" s="24"/>
      <c r="AFK11" s="24"/>
      <c r="AFL11" s="24"/>
      <c r="AFM11" s="24"/>
      <c r="AFN11" s="24"/>
      <c r="AFO11" s="24"/>
      <c r="AFP11" s="24"/>
      <c r="AFQ11" s="24"/>
      <c r="AFR11" s="24"/>
      <c r="AFS11" s="24"/>
      <c r="AFT11" s="24"/>
      <c r="AFU11" s="24"/>
      <c r="AFV11" s="24"/>
      <c r="AFW11" s="24"/>
      <c r="AFX11" s="24"/>
      <c r="AFY11" s="24"/>
      <c r="AFZ11" s="24"/>
      <c r="AGA11" s="24"/>
      <c r="AGB11" s="24"/>
      <c r="AGC11" s="24"/>
      <c r="AGD11" s="24"/>
      <c r="AGE11" s="24"/>
      <c r="AGF11" s="24"/>
      <c r="AGG11" s="24"/>
      <c r="AGH11" s="24"/>
      <c r="AGI11" s="24"/>
      <c r="AGJ11" s="24"/>
      <c r="AGK11" s="24"/>
      <c r="AGL11" s="24"/>
      <c r="AGM11" s="24"/>
      <c r="AGN11" s="24"/>
      <c r="AGO11" s="24"/>
      <c r="AGP11" s="24"/>
      <c r="AGQ11" s="24"/>
      <c r="AGR11" s="24"/>
      <c r="AGS11" s="24"/>
      <c r="AGT11" s="24"/>
      <c r="AGU11" s="24"/>
      <c r="AGV11" s="24"/>
      <c r="AGW11" s="24"/>
      <c r="AGX11" s="24"/>
      <c r="AGY11" s="24"/>
      <c r="AGZ11" s="24"/>
      <c r="AHA11" s="24"/>
      <c r="AHB11" s="24"/>
      <c r="AHC11" s="24"/>
      <c r="AHD11" s="24"/>
      <c r="AHE11" s="24"/>
      <c r="AHF11" s="24"/>
      <c r="AHG11" s="24"/>
      <c r="AHH11" s="24"/>
      <c r="AHI11" s="24"/>
      <c r="AHJ11" s="24"/>
      <c r="AHK11" s="24"/>
      <c r="AHL11" s="24"/>
      <c r="AHM11" s="24"/>
      <c r="AHN11" s="24"/>
      <c r="AHO11" s="24"/>
      <c r="AHP11" s="24"/>
      <c r="AHQ11" s="24"/>
      <c r="AHR11" s="24"/>
      <c r="AHS11" s="24"/>
      <c r="AHT11" s="24"/>
      <c r="AHU11" s="24"/>
      <c r="AHV11" s="24"/>
      <c r="AHW11" s="24"/>
      <c r="AHX11" s="24"/>
      <c r="AHY11" s="24"/>
      <c r="AHZ11" s="24"/>
      <c r="AIA11" s="24"/>
      <c r="AIB11" s="24"/>
      <c r="AIC11" s="24"/>
      <c r="AID11" s="24"/>
      <c r="AIE11" s="24"/>
      <c r="AIF11" s="24"/>
      <c r="AIG11" s="24"/>
      <c r="AIH11" s="24"/>
      <c r="AII11" s="24"/>
      <c r="AIJ11" s="24"/>
      <c r="AIK11" s="24"/>
      <c r="AIL11" s="24"/>
      <c r="AIM11" s="24"/>
      <c r="AIN11" s="24"/>
      <c r="AIO11" s="24"/>
      <c r="AIP11" s="24"/>
      <c r="AIQ11" s="24"/>
      <c r="AIR11" s="24"/>
      <c r="AIS11" s="24"/>
      <c r="AIT11" s="24"/>
      <c r="AIU11" s="24"/>
      <c r="AIV11" s="24"/>
      <c r="AIW11" s="24"/>
      <c r="AIX11" s="24"/>
      <c r="AIY11" s="24"/>
      <c r="AIZ11" s="24"/>
      <c r="AJA11" s="24"/>
      <c r="AJB11" s="24"/>
      <c r="AJC11" s="24"/>
      <c r="AJD11" s="24"/>
      <c r="AJE11" s="24"/>
      <c r="AJF11" s="24"/>
      <c r="AJG11" s="24"/>
      <c r="AJH11" s="24"/>
      <c r="AJI11" s="24"/>
      <c r="AJJ11" s="24"/>
      <c r="AJK11" s="24"/>
      <c r="AJL11" s="24"/>
      <c r="AJM11" s="24"/>
      <c r="AJN11" s="24"/>
      <c r="AJO11" s="24"/>
      <c r="AJP11" s="24"/>
      <c r="AJQ11" s="24"/>
      <c r="AJR11" s="24"/>
      <c r="AJS11" s="24"/>
      <c r="AJT11" s="24"/>
      <c r="AJU11" s="24"/>
      <c r="AJV11" s="24"/>
      <c r="AJW11" s="24"/>
      <c r="AJX11" s="24"/>
      <c r="AJY11" s="24"/>
      <c r="AJZ11" s="24"/>
      <c r="AKA11" s="24"/>
      <c r="AKB11" s="24"/>
      <c r="AKC11" s="24"/>
      <c r="AKD11" s="24"/>
      <c r="AKE11" s="24"/>
      <c r="AKF11" s="24"/>
      <c r="AKG11" s="24"/>
      <c r="AKH11" s="24"/>
      <c r="AKI11" s="24"/>
      <c r="AKJ11" s="24"/>
      <c r="AKK11" s="24"/>
      <c r="AKL11" s="24"/>
      <c r="AKM11" s="24"/>
      <c r="AKN11" s="24"/>
      <c r="AKO11" s="24"/>
      <c r="AKP11" s="24"/>
      <c r="AKQ11" s="24"/>
      <c r="AKR11" s="24"/>
      <c r="AKS11" s="24"/>
      <c r="AKT11" s="24"/>
      <c r="AKU11" s="24"/>
      <c r="AKV11" s="24"/>
      <c r="AKW11" s="24"/>
      <c r="AKX11" s="24"/>
      <c r="AKY11" s="24"/>
      <c r="AKZ11" s="24"/>
      <c r="ALA11" s="24"/>
      <c r="ALB11" s="24"/>
      <c r="ALC11" s="24"/>
      <c r="ALD11" s="24"/>
      <c r="ALE11" s="24"/>
      <c r="ALF11" s="24"/>
      <c r="ALG11" s="24"/>
      <c r="ALH11" s="24"/>
      <c r="ALI11" s="24"/>
      <c r="ALJ11" s="24"/>
      <c r="ALK11" s="24"/>
      <c r="ALL11" s="24"/>
      <c r="ALM11" s="24"/>
      <c r="ALN11" s="24"/>
      <c r="ALO11" s="24"/>
      <c r="ALP11" s="24"/>
      <c r="ALQ11" s="24"/>
      <c r="ALR11" s="24"/>
      <c r="ALS11" s="24"/>
      <c r="ALT11" s="24"/>
      <c r="ALU11" s="24"/>
      <c r="ALV11" s="24"/>
      <c r="ALW11" s="24"/>
      <c r="ALX11" s="24"/>
      <c r="ALY11" s="24"/>
      <c r="ALZ11" s="24"/>
      <c r="AMA11" s="24"/>
      <c r="AMB11" s="24"/>
      <c r="AMC11" s="24"/>
      <c r="AMD11" s="24"/>
      <c r="AME11" s="24"/>
      <c r="AMF11" s="24"/>
      <c r="AMG11" s="24"/>
      <c r="AMH11" s="24"/>
    </row>
    <row r="12" spans="2:1022" ht="51">
      <c r="B12" s="603"/>
      <c r="C12" s="1135"/>
      <c r="D12" s="1137"/>
      <c r="E12" s="1140"/>
      <c r="F12" s="592"/>
      <c r="G12" s="1160"/>
      <c r="H12" s="612" t="s">
        <v>1117</v>
      </c>
      <c r="I12" s="612" t="s">
        <v>470</v>
      </c>
      <c r="J12" s="1152"/>
      <c r="K12" s="612" t="s">
        <v>1017</v>
      </c>
      <c r="L12" s="1154"/>
      <c r="M12" s="1127"/>
      <c r="N12" s="1127"/>
      <c r="O12" s="1127"/>
      <c r="P12" s="1127"/>
      <c r="Q12" s="1127"/>
      <c r="R12" s="1127"/>
      <c r="S12" s="1127"/>
      <c r="T12" s="1127"/>
      <c r="U12" s="1130"/>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c r="KI12" s="24"/>
      <c r="KJ12" s="24"/>
      <c r="KK12" s="24"/>
      <c r="KL12" s="24"/>
      <c r="KM12" s="24"/>
      <c r="KN12" s="24"/>
      <c r="KO12" s="24"/>
      <c r="KP12" s="24"/>
      <c r="KQ12" s="24"/>
      <c r="KR12" s="24"/>
      <c r="KS12" s="24"/>
      <c r="KT12" s="24"/>
      <c r="KU12" s="24"/>
      <c r="KV12" s="24"/>
      <c r="KW12" s="24"/>
      <c r="KX12" s="24"/>
      <c r="KY12" s="24"/>
      <c r="KZ12" s="24"/>
      <c r="LA12" s="24"/>
      <c r="LB12" s="24"/>
      <c r="LC12" s="24"/>
      <c r="LD12" s="24"/>
      <c r="LE12" s="24"/>
      <c r="LF12" s="24"/>
      <c r="LG12" s="24"/>
      <c r="LH12" s="24"/>
      <c r="LI12" s="24"/>
      <c r="LJ12" s="24"/>
      <c r="LK12" s="24"/>
      <c r="LL12" s="24"/>
      <c r="LM12" s="24"/>
      <c r="LN12" s="24"/>
      <c r="LO12" s="24"/>
      <c r="LP12" s="24"/>
      <c r="LQ12" s="24"/>
      <c r="LR12" s="24"/>
      <c r="LS12" s="24"/>
      <c r="LT12" s="24"/>
      <c r="LU12" s="24"/>
      <c r="LV12" s="24"/>
      <c r="LW12" s="24"/>
      <c r="LX12" s="24"/>
      <c r="LY12" s="24"/>
      <c r="LZ12" s="24"/>
      <c r="MA12" s="24"/>
      <c r="MB12" s="24"/>
      <c r="MC12" s="24"/>
      <c r="MD12" s="24"/>
      <c r="ME12" s="24"/>
      <c r="MF12" s="24"/>
      <c r="MG12" s="24"/>
      <c r="MH12" s="24"/>
      <c r="MI12" s="24"/>
      <c r="MJ12" s="24"/>
      <c r="MK12" s="24"/>
      <c r="ML12" s="24"/>
      <c r="MM12" s="24"/>
      <c r="MN12" s="24"/>
      <c r="MO12" s="24"/>
      <c r="MP12" s="24"/>
      <c r="MQ12" s="24"/>
      <c r="MR12" s="24"/>
      <c r="MS12" s="24"/>
      <c r="MT12" s="24"/>
      <c r="MU12" s="24"/>
      <c r="MV12" s="24"/>
      <c r="MW12" s="24"/>
      <c r="MX12" s="24"/>
      <c r="MY12" s="24"/>
      <c r="MZ12" s="24"/>
      <c r="NA12" s="24"/>
      <c r="NB12" s="24"/>
      <c r="NC12" s="24"/>
      <c r="ND12" s="24"/>
      <c r="NE12" s="24"/>
      <c r="NF12" s="24"/>
      <c r="NG12" s="24"/>
      <c r="NH12" s="24"/>
      <c r="NI12" s="24"/>
      <c r="NJ12" s="24"/>
      <c r="NK12" s="24"/>
      <c r="NL12" s="24"/>
      <c r="NM12" s="24"/>
      <c r="NN12" s="24"/>
      <c r="NO12" s="24"/>
      <c r="NP12" s="24"/>
      <c r="NQ12" s="24"/>
      <c r="NR12" s="24"/>
      <c r="NS12" s="24"/>
      <c r="NT12" s="24"/>
      <c r="NU12" s="24"/>
      <c r="NV12" s="24"/>
      <c r="NW12" s="24"/>
      <c r="NX12" s="24"/>
      <c r="NY12" s="24"/>
      <c r="NZ12" s="24"/>
      <c r="OA12" s="24"/>
      <c r="OB12" s="24"/>
      <c r="OC12" s="24"/>
      <c r="OD12" s="24"/>
      <c r="OE12" s="24"/>
      <c r="OF12" s="24"/>
      <c r="OG12" s="24"/>
      <c r="OH12" s="24"/>
      <c r="OI12" s="24"/>
      <c r="OJ12" s="24"/>
      <c r="OK12" s="24"/>
      <c r="OL12" s="24"/>
      <c r="OM12" s="24"/>
      <c r="ON12" s="24"/>
      <c r="OO12" s="24"/>
      <c r="OP12" s="24"/>
      <c r="OQ12" s="24"/>
      <c r="OR12" s="24"/>
      <c r="OS12" s="24"/>
      <c r="OT12" s="24"/>
      <c r="OU12" s="24"/>
      <c r="OV12" s="24"/>
      <c r="OW12" s="24"/>
      <c r="OX12" s="24"/>
      <c r="OY12" s="24"/>
      <c r="OZ12" s="24"/>
      <c r="PA12" s="24"/>
      <c r="PB12" s="24"/>
      <c r="PC12" s="24"/>
      <c r="PD12" s="24"/>
      <c r="PE12" s="24"/>
      <c r="PF12" s="24"/>
      <c r="PG12" s="24"/>
      <c r="PH12" s="24"/>
      <c r="PI12" s="24"/>
      <c r="PJ12" s="24"/>
      <c r="PK12" s="24"/>
      <c r="PL12" s="24"/>
      <c r="PM12" s="24"/>
      <c r="PN12" s="24"/>
      <c r="PO12" s="24"/>
      <c r="PP12" s="24"/>
      <c r="PQ12" s="24"/>
      <c r="PR12" s="24"/>
      <c r="PS12" s="24"/>
      <c r="PT12" s="24"/>
      <c r="PU12" s="24"/>
      <c r="PV12" s="24"/>
      <c r="PW12" s="24"/>
      <c r="PX12" s="24"/>
      <c r="PY12" s="24"/>
      <c r="PZ12" s="24"/>
      <c r="QA12" s="24"/>
      <c r="QB12" s="24"/>
      <c r="QC12" s="24"/>
      <c r="QD12" s="24"/>
      <c r="QE12" s="24"/>
      <c r="QF12" s="24"/>
      <c r="QG12" s="24"/>
      <c r="QH12" s="24"/>
      <c r="QI12" s="24"/>
      <c r="QJ12" s="24"/>
      <c r="QK12" s="24"/>
      <c r="QL12" s="24"/>
      <c r="QM12" s="24"/>
      <c r="QN12" s="24"/>
      <c r="QO12" s="24"/>
      <c r="QP12" s="24"/>
      <c r="QQ12" s="24"/>
      <c r="QR12" s="24"/>
      <c r="QS12" s="24"/>
      <c r="QT12" s="24"/>
      <c r="QU12" s="24"/>
      <c r="QV12" s="24"/>
      <c r="QW12" s="24"/>
      <c r="QX12" s="24"/>
      <c r="QY12" s="24"/>
      <c r="QZ12" s="24"/>
      <c r="RA12" s="24"/>
      <c r="RB12" s="24"/>
      <c r="RC12" s="24"/>
      <c r="RD12" s="24"/>
      <c r="RE12" s="24"/>
      <c r="RF12" s="24"/>
      <c r="RG12" s="24"/>
      <c r="RH12" s="24"/>
      <c r="RI12" s="24"/>
      <c r="RJ12" s="24"/>
      <c r="RK12" s="24"/>
      <c r="RL12" s="24"/>
      <c r="RM12" s="24"/>
      <c r="RN12" s="24"/>
      <c r="RO12" s="24"/>
      <c r="RP12" s="24"/>
      <c r="RQ12" s="24"/>
      <c r="RR12" s="24"/>
      <c r="RS12" s="24"/>
      <c r="RT12" s="24"/>
      <c r="RU12" s="24"/>
      <c r="RV12" s="24"/>
      <c r="RW12" s="24"/>
      <c r="RX12" s="24"/>
      <c r="RY12" s="24"/>
      <c r="RZ12" s="24"/>
      <c r="SA12" s="24"/>
      <c r="SB12" s="24"/>
      <c r="SC12" s="24"/>
      <c r="SD12" s="24"/>
      <c r="SE12" s="24"/>
      <c r="SF12" s="24"/>
      <c r="SG12" s="24"/>
      <c r="SH12" s="24"/>
      <c r="SI12" s="24"/>
      <c r="SJ12" s="24"/>
      <c r="SK12" s="24"/>
      <c r="SL12" s="24"/>
      <c r="SM12" s="24"/>
      <c r="SN12" s="24"/>
      <c r="SO12" s="24"/>
      <c r="SP12" s="24"/>
      <c r="SQ12" s="24"/>
      <c r="SR12" s="24"/>
      <c r="SS12" s="24"/>
      <c r="ST12" s="24"/>
      <c r="SU12" s="24"/>
      <c r="SV12" s="24"/>
      <c r="SW12" s="24"/>
      <c r="SX12" s="24"/>
      <c r="SY12" s="24"/>
      <c r="SZ12" s="24"/>
      <c r="TA12" s="24"/>
      <c r="TB12" s="24"/>
      <c r="TC12" s="24"/>
      <c r="TD12" s="24"/>
      <c r="TE12" s="24"/>
      <c r="TF12" s="24"/>
      <c r="TG12" s="24"/>
      <c r="TH12" s="24"/>
      <c r="TI12" s="24"/>
      <c r="TJ12" s="24"/>
      <c r="TK12" s="24"/>
      <c r="TL12" s="24"/>
      <c r="TM12" s="24"/>
      <c r="TN12" s="24"/>
      <c r="TO12" s="24"/>
      <c r="TP12" s="24"/>
      <c r="TQ12" s="24"/>
      <c r="TR12" s="24"/>
      <c r="TS12" s="24"/>
      <c r="TT12" s="24"/>
      <c r="TU12" s="24"/>
      <c r="TV12" s="24"/>
      <c r="TW12" s="24"/>
      <c r="TX12" s="24"/>
      <c r="TY12" s="24"/>
      <c r="TZ12" s="24"/>
      <c r="UA12" s="24"/>
      <c r="UB12" s="24"/>
      <c r="UC12" s="24"/>
      <c r="UD12" s="24"/>
      <c r="UE12" s="24"/>
      <c r="UF12" s="24"/>
      <c r="UG12" s="24"/>
      <c r="UH12" s="24"/>
      <c r="UI12" s="24"/>
      <c r="UJ12" s="24"/>
      <c r="UK12" s="24"/>
      <c r="UL12" s="24"/>
      <c r="UM12" s="24"/>
      <c r="UN12" s="24"/>
      <c r="UO12" s="24"/>
      <c r="UP12" s="24"/>
      <c r="UQ12" s="24"/>
      <c r="UR12" s="24"/>
      <c r="US12" s="24"/>
      <c r="UT12" s="24"/>
      <c r="UU12" s="24"/>
      <c r="UV12" s="24"/>
      <c r="UW12" s="24"/>
      <c r="UX12" s="24"/>
      <c r="UY12" s="24"/>
      <c r="UZ12" s="24"/>
      <c r="VA12" s="24"/>
      <c r="VB12" s="24"/>
      <c r="VC12" s="24"/>
      <c r="VD12" s="24"/>
      <c r="VE12" s="24"/>
      <c r="VF12" s="24"/>
      <c r="VG12" s="24"/>
      <c r="VH12" s="24"/>
      <c r="VI12" s="24"/>
      <c r="VJ12" s="24"/>
      <c r="VK12" s="24"/>
      <c r="VL12" s="24"/>
      <c r="VM12" s="24"/>
      <c r="VN12" s="24"/>
      <c r="VO12" s="24"/>
      <c r="VP12" s="24"/>
      <c r="VQ12" s="24"/>
      <c r="VR12" s="24"/>
      <c r="VS12" s="24"/>
      <c r="VT12" s="24"/>
      <c r="VU12" s="24"/>
      <c r="VV12" s="24"/>
      <c r="VW12" s="24"/>
      <c r="VX12" s="24"/>
      <c r="VY12" s="24"/>
      <c r="VZ12" s="24"/>
      <c r="WA12" s="24"/>
      <c r="WB12" s="24"/>
      <c r="WC12" s="24"/>
      <c r="WD12" s="24"/>
      <c r="WE12" s="24"/>
      <c r="WF12" s="24"/>
      <c r="WG12" s="24"/>
      <c r="WH12" s="24"/>
      <c r="WI12" s="24"/>
      <c r="WJ12" s="24"/>
      <c r="WK12" s="24"/>
      <c r="WL12" s="24"/>
      <c r="WM12" s="24"/>
      <c r="WN12" s="24"/>
      <c r="WO12" s="24"/>
      <c r="WP12" s="24"/>
      <c r="WQ12" s="24"/>
      <c r="WR12" s="24"/>
      <c r="WS12" s="24"/>
      <c r="WT12" s="24"/>
      <c r="WU12" s="24"/>
      <c r="WV12" s="24"/>
      <c r="WW12" s="24"/>
      <c r="WX12" s="24"/>
      <c r="WY12" s="24"/>
      <c r="WZ12" s="24"/>
      <c r="XA12" s="24"/>
      <c r="XB12" s="24"/>
      <c r="XC12" s="24"/>
      <c r="XD12" s="24"/>
      <c r="XE12" s="24"/>
      <c r="XF12" s="24"/>
      <c r="XG12" s="24"/>
      <c r="XH12" s="24"/>
      <c r="XI12" s="24"/>
      <c r="XJ12" s="24"/>
      <c r="XK12" s="24"/>
      <c r="XL12" s="24"/>
      <c r="XM12" s="24"/>
      <c r="XN12" s="24"/>
      <c r="XO12" s="24"/>
      <c r="XP12" s="24"/>
      <c r="XQ12" s="24"/>
      <c r="XR12" s="24"/>
      <c r="XS12" s="24"/>
      <c r="XT12" s="24"/>
      <c r="XU12" s="24"/>
      <c r="XV12" s="24"/>
      <c r="XW12" s="24"/>
      <c r="XX12" s="24"/>
      <c r="XY12" s="24"/>
      <c r="XZ12" s="24"/>
      <c r="YA12" s="24"/>
      <c r="YB12" s="24"/>
      <c r="YC12" s="24"/>
      <c r="YD12" s="24"/>
      <c r="YE12" s="24"/>
      <c r="YF12" s="24"/>
      <c r="YG12" s="24"/>
      <c r="YH12" s="24"/>
      <c r="YI12" s="24"/>
      <c r="YJ12" s="24"/>
      <c r="YK12" s="24"/>
      <c r="YL12" s="24"/>
      <c r="YM12" s="24"/>
      <c r="YN12" s="24"/>
      <c r="YO12" s="24"/>
      <c r="YP12" s="24"/>
      <c r="YQ12" s="24"/>
      <c r="YR12" s="24"/>
      <c r="YS12" s="24"/>
      <c r="YT12" s="24"/>
      <c r="YU12" s="24"/>
      <c r="YV12" s="24"/>
      <c r="YW12" s="24"/>
      <c r="YX12" s="24"/>
      <c r="YY12" s="24"/>
      <c r="YZ12" s="24"/>
      <c r="ZA12" s="24"/>
      <c r="ZB12" s="24"/>
      <c r="ZC12" s="24"/>
      <c r="ZD12" s="24"/>
      <c r="ZE12" s="24"/>
      <c r="ZF12" s="24"/>
      <c r="ZG12" s="24"/>
      <c r="ZH12" s="24"/>
      <c r="ZI12" s="24"/>
      <c r="ZJ12" s="24"/>
      <c r="ZK12" s="24"/>
      <c r="ZL12" s="24"/>
      <c r="ZM12" s="24"/>
      <c r="ZN12" s="24"/>
      <c r="ZO12" s="24"/>
      <c r="ZP12" s="24"/>
      <c r="ZQ12" s="24"/>
      <c r="ZR12" s="24"/>
      <c r="ZS12" s="24"/>
      <c r="ZT12" s="24"/>
      <c r="ZU12" s="24"/>
      <c r="ZV12" s="24"/>
      <c r="ZW12" s="24"/>
      <c r="ZX12" s="24"/>
      <c r="ZY12" s="24"/>
      <c r="ZZ12" s="24"/>
      <c r="AAA12" s="24"/>
      <c r="AAB12" s="24"/>
      <c r="AAC12" s="24"/>
      <c r="AAD12" s="24"/>
      <c r="AAE12" s="24"/>
      <c r="AAF12" s="24"/>
      <c r="AAG12" s="24"/>
      <c r="AAH12" s="24"/>
      <c r="AAI12" s="24"/>
      <c r="AAJ12" s="24"/>
      <c r="AAK12" s="24"/>
      <c r="AAL12" s="24"/>
      <c r="AAM12" s="24"/>
      <c r="AAN12" s="24"/>
      <c r="AAO12" s="24"/>
      <c r="AAP12" s="24"/>
      <c r="AAQ12" s="24"/>
      <c r="AAR12" s="24"/>
      <c r="AAS12" s="24"/>
      <c r="AAT12" s="24"/>
      <c r="AAU12" s="24"/>
      <c r="AAV12" s="24"/>
      <c r="AAW12" s="24"/>
      <c r="AAX12" s="24"/>
      <c r="AAY12" s="24"/>
      <c r="AAZ12" s="24"/>
      <c r="ABA12" s="24"/>
      <c r="ABB12" s="24"/>
      <c r="ABC12" s="24"/>
      <c r="ABD12" s="24"/>
      <c r="ABE12" s="24"/>
      <c r="ABF12" s="24"/>
      <c r="ABG12" s="24"/>
      <c r="ABH12" s="24"/>
      <c r="ABI12" s="24"/>
      <c r="ABJ12" s="24"/>
      <c r="ABK12" s="24"/>
      <c r="ABL12" s="24"/>
      <c r="ABM12" s="24"/>
      <c r="ABN12" s="24"/>
      <c r="ABO12" s="24"/>
      <c r="ABP12" s="24"/>
      <c r="ABQ12" s="24"/>
      <c r="ABR12" s="24"/>
      <c r="ABS12" s="24"/>
      <c r="ABT12" s="24"/>
      <c r="ABU12" s="24"/>
      <c r="ABV12" s="24"/>
      <c r="ABW12" s="24"/>
      <c r="ABX12" s="24"/>
      <c r="ABY12" s="24"/>
      <c r="ABZ12" s="24"/>
      <c r="ACA12" s="24"/>
      <c r="ACB12" s="24"/>
      <c r="ACC12" s="24"/>
      <c r="ACD12" s="24"/>
      <c r="ACE12" s="24"/>
      <c r="ACF12" s="24"/>
      <c r="ACG12" s="24"/>
      <c r="ACH12" s="24"/>
      <c r="ACI12" s="24"/>
      <c r="ACJ12" s="24"/>
      <c r="ACK12" s="24"/>
      <c r="ACL12" s="24"/>
      <c r="ACM12" s="24"/>
      <c r="ACN12" s="24"/>
      <c r="ACO12" s="24"/>
      <c r="ACP12" s="24"/>
      <c r="ACQ12" s="24"/>
      <c r="ACR12" s="24"/>
      <c r="ACS12" s="24"/>
      <c r="ACT12" s="24"/>
      <c r="ACU12" s="24"/>
      <c r="ACV12" s="24"/>
      <c r="ACW12" s="24"/>
      <c r="ACX12" s="24"/>
      <c r="ACY12" s="24"/>
      <c r="ACZ12" s="24"/>
      <c r="ADA12" s="24"/>
      <c r="ADB12" s="24"/>
      <c r="ADC12" s="24"/>
      <c r="ADD12" s="24"/>
      <c r="ADE12" s="24"/>
      <c r="ADF12" s="24"/>
      <c r="ADG12" s="24"/>
      <c r="ADH12" s="24"/>
      <c r="ADI12" s="24"/>
      <c r="ADJ12" s="24"/>
      <c r="ADK12" s="24"/>
      <c r="ADL12" s="24"/>
      <c r="ADM12" s="24"/>
      <c r="ADN12" s="24"/>
      <c r="ADO12" s="24"/>
      <c r="ADP12" s="24"/>
      <c r="ADQ12" s="24"/>
      <c r="ADR12" s="24"/>
      <c r="ADS12" s="24"/>
      <c r="ADT12" s="24"/>
      <c r="ADU12" s="24"/>
      <c r="ADV12" s="24"/>
      <c r="ADW12" s="24"/>
      <c r="ADX12" s="24"/>
      <c r="ADY12" s="24"/>
      <c r="ADZ12" s="24"/>
      <c r="AEA12" s="24"/>
      <c r="AEB12" s="24"/>
      <c r="AEC12" s="24"/>
      <c r="AED12" s="24"/>
      <c r="AEE12" s="24"/>
      <c r="AEF12" s="24"/>
      <c r="AEG12" s="24"/>
      <c r="AEH12" s="24"/>
      <c r="AEI12" s="24"/>
      <c r="AEJ12" s="24"/>
      <c r="AEK12" s="24"/>
      <c r="AEL12" s="24"/>
      <c r="AEM12" s="24"/>
      <c r="AEN12" s="24"/>
      <c r="AEO12" s="24"/>
      <c r="AEP12" s="24"/>
      <c r="AEQ12" s="24"/>
      <c r="AER12" s="24"/>
      <c r="AES12" s="24"/>
      <c r="AET12" s="24"/>
      <c r="AEU12" s="24"/>
      <c r="AEV12" s="24"/>
      <c r="AEW12" s="24"/>
      <c r="AEX12" s="24"/>
      <c r="AEY12" s="24"/>
      <c r="AEZ12" s="24"/>
      <c r="AFA12" s="24"/>
      <c r="AFB12" s="24"/>
      <c r="AFC12" s="24"/>
      <c r="AFD12" s="24"/>
      <c r="AFE12" s="24"/>
      <c r="AFF12" s="24"/>
      <c r="AFG12" s="24"/>
      <c r="AFH12" s="24"/>
      <c r="AFI12" s="24"/>
      <c r="AFJ12" s="24"/>
      <c r="AFK12" s="24"/>
      <c r="AFL12" s="24"/>
      <c r="AFM12" s="24"/>
      <c r="AFN12" s="24"/>
      <c r="AFO12" s="24"/>
      <c r="AFP12" s="24"/>
      <c r="AFQ12" s="24"/>
      <c r="AFR12" s="24"/>
      <c r="AFS12" s="24"/>
      <c r="AFT12" s="24"/>
      <c r="AFU12" s="24"/>
      <c r="AFV12" s="24"/>
      <c r="AFW12" s="24"/>
      <c r="AFX12" s="24"/>
      <c r="AFY12" s="24"/>
      <c r="AFZ12" s="24"/>
      <c r="AGA12" s="24"/>
      <c r="AGB12" s="24"/>
      <c r="AGC12" s="24"/>
      <c r="AGD12" s="24"/>
      <c r="AGE12" s="24"/>
      <c r="AGF12" s="24"/>
      <c r="AGG12" s="24"/>
      <c r="AGH12" s="24"/>
      <c r="AGI12" s="24"/>
      <c r="AGJ12" s="24"/>
      <c r="AGK12" s="24"/>
      <c r="AGL12" s="24"/>
      <c r="AGM12" s="24"/>
      <c r="AGN12" s="24"/>
      <c r="AGO12" s="24"/>
      <c r="AGP12" s="24"/>
      <c r="AGQ12" s="24"/>
      <c r="AGR12" s="24"/>
      <c r="AGS12" s="24"/>
      <c r="AGT12" s="24"/>
      <c r="AGU12" s="24"/>
      <c r="AGV12" s="24"/>
      <c r="AGW12" s="24"/>
      <c r="AGX12" s="24"/>
      <c r="AGY12" s="24"/>
      <c r="AGZ12" s="24"/>
      <c r="AHA12" s="24"/>
      <c r="AHB12" s="24"/>
      <c r="AHC12" s="24"/>
      <c r="AHD12" s="24"/>
      <c r="AHE12" s="24"/>
      <c r="AHF12" s="24"/>
      <c r="AHG12" s="24"/>
      <c r="AHH12" s="24"/>
      <c r="AHI12" s="24"/>
      <c r="AHJ12" s="24"/>
      <c r="AHK12" s="24"/>
      <c r="AHL12" s="24"/>
      <c r="AHM12" s="24"/>
      <c r="AHN12" s="24"/>
      <c r="AHO12" s="24"/>
      <c r="AHP12" s="24"/>
      <c r="AHQ12" s="24"/>
      <c r="AHR12" s="24"/>
      <c r="AHS12" s="24"/>
      <c r="AHT12" s="24"/>
      <c r="AHU12" s="24"/>
      <c r="AHV12" s="24"/>
      <c r="AHW12" s="24"/>
      <c r="AHX12" s="24"/>
      <c r="AHY12" s="24"/>
      <c r="AHZ12" s="24"/>
      <c r="AIA12" s="24"/>
      <c r="AIB12" s="24"/>
      <c r="AIC12" s="24"/>
      <c r="AID12" s="24"/>
      <c r="AIE12" s="24"/>
      <c r="AIF12" s="24"/>
      <c r="AIG12" s="24"/>
      <c r="AIH12" s="24"/>
      <c r="AII12" s="24"/>
      <c r="AIJ12" s="24"/>
      <c r="AIK12" s="24"/>
      <c r="AIL12" s="24"/>
      <c r="AIM12" s="24"/>
      <c r="AIN12" s="24"/>
      <c r="AIO12" s="24"/>
      <c r="AIP12" s="24"/>
      <c r="AIQ12" s="24"/>
      <c r="AIR12" s="24"/>
      <c r="AIS12" s="24"/>
      <c r="AIT12" s="24"/>
      <c r="AIU12" s="24"/>
      <c r="AIV12" s="24"/>
      <c r="AIW12" s="24"/>
      <c r="AIX12" s="24"/>
      <c r="AIY12" s="24"/>
      <c r="AIZ12" s="24"/>
      <c r="AJA12" s="24"/>
      <c r="AJB12" s="24"/>
      <c r="AJC12" s="24"/>
      <c r="AJD12" s="24"/>
      <c r="AJE12" s="24"/>
      <c r="AJF12" s="24"/>
      <c r="AJG12" s="24"/>
      <c r="AJH12" s="24"/>
      <c r="AJI12" s="24"/>
      <c r="AJJ12" s="24"/>
      <c r="AJK12" s="24"/>
      <c r="AJL12" s="24"/>
      <c r="AJM12" s="24"/>
      <c r="AJN12" s="24"/>
      <c r="AJO12" s="24"/>
      <c r="AJP12" s="24"/>
      <c r="AJQ12" s="24"/>
      <c r="AJR12" s="24"/>
      <c r="AJS12" s="24"/>
      <c r="AJT12" s="24"/>
      <c r="AJU12" s="24"/>
      <c r="AJV12" s="24"/>
      <c r="AJW12" s="24"/>
      <c r="AJX12" s="24"/>
      <c r="AJY12" s="24"/>
      <c r="AJZ12" s="24"/>
      <c r="AKA12" s="24"/>
      <c r="AKB12" s="24"/>
      <c r="AKC12" s="24"/>
      <c r="AKD12" s="24"/>
      <c r="AKE12" s="24"/>
      <c r="AKF12" s="24"/>
      <c r="AKG12" s="24"/>
      <c r="AKH12" s="24"/>
      <c r="AKI12" s="24"/>
      <c r="AKJ12" s="24"/>
      <c r="AKK12" s="24"/>
      <c r="AKL12" s="24"/>
      <c r="AKM12" s="24"/>
      <c r="AKN12" s="24"/>
      <c r="AKO12" s="24"/>
      <c r="AKP12" s="24"/>
      <c r="AKQ12" s="24"/>
      <c r="AKR12" s="24"/>
      <c r="AKS12" s="24"/>
      <c r="AKT12" s="24"/>
      <c r="AKU12" s="24"/>
      <c r="AKV12" s="24"/>
      <c r="AKW12" s="24"/>
      <c r="AKX12" s="24"/>
      <c r="AKY12" s="24"/>
      <c r="AKZ12" s="24"/>
      <c r="ALA12" s="24"/>
      <c r="ALB12" s="24"/>
      <c r="ALC12" s="24"/>
      <c r="ALD12" s="24"/>
      <c r="ALE12" s="24"/>
      <c r="ALF12" s="24"/>
      <c r="ALG12" s="24"/>
      <c r="ALH12" s="24"/>
      <c r="ALI12" s="24"/>
      <c r="ALJ12" s="24"/>
      <c r="ALK12" s="24"/>
      <c r="ALL12" s="24"/>
      <c r="ALM12" s="24"/>
      <c r="ALN12" s="24"/>
      <c r="ALO12" s="24"/>
      <c r="ALP12" s="24"/>
      <c r="ALQ12" s="24"/>
      <c r="ALR12" s="24"/>
      <c r="ALS12" s="24"/>
      <c r="ALT12" s="24"/>
      <c r="ALU12" s="24"/>
      <c r="ALV12" s="24"/>
      <c r="ALW12" s="24"/>
      <c r="ALX12" s="24"/>
      <c r="ALY12" s="24"/>
      <c r="ALZ12" s="24"/>
      <c r="AMA12" s="24"/>
      <c r="AMB12" s="24"/>
      <c r="AMC12" s="24"/>
      <c r="AMD12" s="24"/>
      <c r="AME12" s="24"/>
      <c r="AMF12" s="24"/>
      <c r="AMG12" s="24"/>
      <c r="AMH12" s="24"/>
    </row>
    <row r="13" spans="2:1022" ht="38.25">
      <c r="B13" s="603"/>
      <c r="C13" s="1135"/>
      <c r="D13" s="1137"/>
      <c r="E13" s="1140"/>
      <c r="F13" s="592"/>
      <c r="G13" s="1160"/>
      <c r="H13" s="612" t="s">
        <v>1118</v>
      </c>
      <c r="I13" s="612" t="s">
        <v>1115</v>
      </c>
      <c r="J13" s="1152"/>
      <c r="K13" s="612" t="s">
        <v>1017</v>
      </c>
      <c r="L13" s="1154"/>
      <c r="M13" s="1127"/>
      <c r="N13" s="1127"/>
      <c r="O13" s="1127"/>
      <c r="P13" s="1127"/>
      <c r="Q13" s="1127"/>
      <c r="R13" s="1127"/>
      <c r="S13" s="1127"/>
      <c r="T13" s="1127"/>
      <c r="U13" s="1130"/>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c r="WC13" s="24"/>
      <c r="WD13" s="24"/>
      <c r="WE13" s="24"/>
      <c r="WF13" s="24"/>
      <c r="WG13" s="24"/>
      <c r="WH13" s="24"/>
      <c r="WI13" s="24"/>
      <c r="WJ13" s="24"/>
      <c r="WK13" s="24"/>
      <c r="WL13" s="24"/>
      <c r="WM13" s="24"/>
      <c r="WN13" s="24"/>
      <c r="WO13" s="24"/>
      <c r="WP13" s="24"/>
      <c r="WQ13" s="24"/>
      <c r="WR13" s="24"/>
      <c r="WS13" s="24"/>
      <c r="WT13" s="24"/>
      <c r="WU13" s="24"/>
      <c r="WV13" s="24"/>
      <c r="WW13" s="24"/>
      <c r="WX13" s="24"/>
      <c r="WY13" s="24"/>
      <c r="WZ13" s="24"/>
      <c r="XA13" s="24"/>
      <c r="XB13" s="24"/>
      <c r="XC13" s="24"/>
      <c r="XD13" s="24"/>
      <c r="XE13" s="24"/>
      <c r="XF13" s="24"/>
      <c r="XG13" s="24"/>
      <c r="XH13" s="24"/>
      <c r="XI13" s="24"/>
      <c r="XJ13" s="24"/>
      <c r="XK13" s="24"/>
      <c r="XL13" s="24"/>
      <c r="XM13" s="24"/>
      <c r="XN13" s="24"/>
      <c r="XO13" s="24"/>
      <c r="XP13" s="24"/>
      <c r="XQ13" s="24"/>
      <c r="XR13" s="24"/>
      <c r="XS13" s="24"/>
      <c r="XT13" s="24"/>
      <c r="XU13" s="24"/>
      <c r="XV13" s="24"/>
      <c r="XW13" s="24"/>
      <c r="XX13" s="24"/>
      <c r="XY13" s="24"/>
      <c r="XZ13" s="24"/>
      <c r="YA13" s="24"/>
      <c r="YB13" s="24"/>
      <c r="YC13" s="24"/>
      <c r="YD13" s="24"/>
      <c r="YE13" s="24"/>
      <c r="YF13" s="24"/>
      <c r="YG13" s="24"/>
      <c r="YH13" s="24"/>
      <c r="YI13" s="24"/>
      <c r="YJ13" s="24"/>
      <c r="YK13" s="24"/>
      <c r="YL13" s="24"/>
      <c r="YM13" s="24"/>
      <c r="YN13" s="24"/>
      <c r="YO13" s="24"/>
      <c r="YP13" s="24"/>
      <c r="YQ13" s="24"/>
      <c r="YR13" s="24"/>
      <c r="YS13" s="24"/>
      <c r="YT13" s="24"/>
      <c r="YU13" s="24"/>
      <c r="YV13" s="24"/>
      <c r="YW13" s="24"/>
      <c r="YX13" s="24"/>
      <c r="YY13" s="24"/>
      <c r="YZ13" s="24"/>
      <c r="ZA13" s="24"/>
      <c r="ZB13" s="24"/>
      <c r="ZC13" s="24"/>
      <c r="ZD13" s="24"/>
      <c r="ZE13" s="24"/>
      <c r="ZF13" s="24"/>
      <c r="ZG13" s="24"/>
      <c r="ZH13" s="24"/>
      <c r="ZI13" s="24"/>
      <c r="ZJ13" s="24"/>
      <c r="ZK13" s="24"/>
      <c r="ZL13" s="24"/>
      <c r="ZM13" s="24"/>
      <c r="ZN13" s="24"/>
      <c r="ZO13" s="24"/>
      <c r="ZP13" s="24"/>
      <c r="ZQ13" s="24"/>
      <c r="ZR13" s="24"/>
      <c r="ZS13" s="24"/>
      <c r="ZT13" s="24"/>
      <c r="ZU13" s="24"/>
      <c r="ZV13" s="24"/>
      <c r="ZW13" s="24"/>
      <c r="ZX13" s="24"/>
      <c r="ZY13" s="24"/>
      <c r="ZZ13" s="24"/>
      <c r="AAA13" s="24"/>
      <c r="AAB13" s="24"/>
      <c r="AAC13" s="24"/>
      <c r="AAD13" s="24"/>
      <c r="AAE13" s="24"/>
      <c r="AAF13" s="24"/>
      <c r="AAG13" s="24"/>
      <c r="AAH13" s="24"/>
      <c r="AAI13" s="24"/>
      <c r="AAJ13" s="24"/>
      <c r="AAK13" s="24"/>
      <c r="AAL13" s="24"/>
      <c r="AAM13" s="24"/>
      <c r="AAN13" s="24"/>
      <c r="AAO13" s="24"/>
      <c r="AAP13" s="24"/>
      <c r="AAQ13" s="24"/>
      <c r="AAR13" s="24"/>
      <c r="AAS13" s="24"/>
      <c r="AAT13" s="24"/>
      <c r="AAU13" s="24"/>
      <c r="AAV13" s="24"/>
      <c r="AAW13" s="24"/>
      <c r="AAX13" s="24"/>
      <c r="AAY13" s="24"/>
      <c r="AAZ13" s="24"/>
      <c r="ABA13" s="24"/>
      <c r="ABB13" s="24"/>
      <c r="ABC13" s="24"/>
      <c r="ABD13" s="24"/>
      <c r="ABE13" s="24"/>
      <c r="ABF13" s="24"/>
      <c r="ABG13" s="24"/>
      <c r="ABH13" s="24"/>
      <c r="ABI13" s="24"/>
      <c r="ABJ13" s="24"/>
      <c r="ABK13" s="24"/>
      <c r="ABL13" s="24"/>
      <c r="ABM13" s="24"/>
      <c r="ABN13" s="24"/>
      <c r="ABO13" s="24"/>
      <c r="ABP13" s="24"/>
      <c r="ABQ13" s="24"/>
      <c r="ABR13" s="24"/>
      <c r="ABS13" s="24"/>
      <c r="ABT13" s="24"/>
      <c r="ABU13" s="24"/>
      <c r="ABV13" s="24"/>
      <c r="ABW13" s="24"/>
      <c r="ABX13" s="24"/>
      <c r="ABY13" s="24"/>
      <c r="ABZ13" s="24"/>
      <c r="ACA13" s="24"/>
      <c r="ACB13" s="24"/>
      <c r="ACC13" s="24"/>
      <c r="ACD13" s="24"/>
      <c r="ACE13" s="24"/>
      <c r="ACF13" s="24"/>
      <c r="ACG13" s="24"/>
      <c r="ACH13" s="24"/>
      <c r="ACI13" s="24"/>
      <c r="ACJ13" s="24"/>
      <c r="ACK13" s="24"/>
      <c r="ACL13" s="24"/>
      <c r="ACM13" s="24"/>
      <c r="ACN13" s="24"/>
      <c r="ACO13" s="24"/>
      <c r="ACP13" s="24"/>
      <c r="ACQ13" s="24"/>
      <c r="ACR13" s="24"/>
      <c r="ACS13" s="24"/>
      <c r="ACT13" s="24"/>
      <c r="ACU13" s="24"/>
      <c r="ACV13" s="24"/>
      <c r="ACW13" s="24"/>
      <c r="ACX13" s="24"/>
      <c r="ACY13" s="24"/>
      <c r="ACZ13" s="24"/>
      <c r="ADA13" s="24"/>
      <c r="ADB13" s="24"/>
      <c r="ADC13" s="24"/>
      <c r="ADD13" s="24"/>
      <c r="ADE13" s="24"/>
      <c r="ADF13" s="24"/>
      <c r="ADG13" s="24"/>
      <c r="ADH13" s="24"/>
      <c r="ADI13" s="24"/>
      <c r="ADJ13" s="24"/>
      <c r="ADK13" s="24"/>
      <c r="ADL13" s="24"/>
      <c r="ADM13" s="24"/>
      <c r="ADN13" s="24"/>
      <c r="ADO13" s="24"/>
      <c r="ADP13" s="24"/>
      <c r="ADQ13" s="24"/>
      <c r="ADR13" s="24"/>
      <c r="ADS13" s="24"/>
      <c r="ADT13" s="24"/>
      <c r="ADU13" s="24"/>
      <c r="ADV13" s="24"/>
      <c r="ADW13" s="24"/>
      <c r="ADX13" s="24"/>
      <c r="ADY13" s="24"/>
      <c r="ADZ13" s="24"/>
      <c r="AEA13" s="24"/>
      <c r="AEB13" s="24"/>
      <c r="AEC13" s="24"/>
      <c r="AED13" s="24"/>
      <c r="AEE13" s="24"/>
      <c r="AEF13" s="24"/>
      <c r="AEG13" s="24"/>
      <c r="AEH13" s="24"/>
      <c r="AEI13" s="24"/>
      <c r="AEJ13" s="24"/>
      <c r="AEK13" s="24"/>
      <c r="AEL13" s="24"/>
      <c r="AEM13" s="24"/>
      <c r="AEN13" s="24"/>
      <c r="AEO13" s="24"/>
      <c r="AEP13" s="24"/>
      <c r="AEQ13" s="24"/>
      <c r="AER13" s="24"/>
      <c r="AES13" s="24"/>
      <c r="AET13" s="24"/>
      <c r="AEU13" s="24"/>
      <c r="AEV13" s="24"/>
      <c r="AEW13" s="24"/>
      <c r="AEX13" s="24"/>
      <c r="AEY13" s="24"/>
      <c r="AEZ13" s="24"/>
      <c r="AFA13" s="24"/>
      <c r="AFB13" s="24"/>
      <c r="AFC13" s="24"/>
      <c r="AFD13" s="24"/>
      <c r="AFE13" s="24"/>
      <c r="AFF13" s="24"/>
      <c r="AFG13" s="24"/>
      <c r="AFH13" s="24"/>
      <c r="AFI13" s="24"/>
      <c r="AFJ13" s="24"/>
      <c r="AFK13" s="24"/>
      <c r="AFL13" s="24"/>
      <c r="AFM13" s="24"/>
      <c r="AFN13" s="24"/>
      <c r="AFO13" s="24"/>
      <c r="AFP13" s="24"/>
      <c r="AFQ13" s="24"/>
      <c r="AFR13" s="24"/>
      <c r="AFS13" s="24"/>
      <c r="AFT13" s="24"/>
      <c r="AFU13" s="24"/>
      <c r="AFV13" s="24"/>
      <c r="AFW13" s="24"/>
      <c r="AFX13" s="24"/>
      <c r="AFY13" s="24"/>
      <c r="AFZ13" s="24"/>
      <c r="AGA13" s="24"/>
      <c r="AGB13" s="24"/>
      <c r="AGC13" s="24"/>
      <c r="AGD13" s="24"/>
      <c r="AGE13" s="24"/>
      <c r="AGF13" s="24"/>
      <c r="AGG13" s="24"/>
      <c r="AGH13" s="24"/>
      <c r="AGI13" s="24"/>
      <c r="AGJ13" s="24"/>
      <c r="AGK13" s="24"/>
      <c r="AGL13" s="24"/>
      <c r="AGM13" s="24"/>
      <c r="AGN13" s="24"/>
      <c r="AGO13" s="24"/>
      <c r="AGP13" s="24"/>
      <c r="AGQ13" s="24"/>
      <c r="AGR13" s="24"/>
      <c r="AGS13" s="24"/>
      <c r="AGT13" s="24"/>
      <c r="AGU13" s="24"/>
      <c r="AGV13" s="24"/>
      <c r="AGW13" s="24"/>
      <c r="AGX13" s="24"/>
      <c r="AGY13" s="24"/>
      <c r="AGZ13" s="24"/>
      <c r="AHA13" s="24"/>
      <c r="AHB13" s="24"/>
      <c r="AHC13" s="24"/>
      <c r="AHD13" s="24"/>
      <c r="AHE13" s="24"/>
      <c r="AHF13" s="24"/>
      <c r="AHG13" s="24"/>
      <c r="AHH13" s="24"/>
      <c r="AHI13" s="24"/>
      <c r="AHJ13" s="24"/>
      <c r="AHK13" s="24"/>
      <c r="AHL13" s="24"/>
      <c r="AHM13" s="24"/>
      <c r="AHN13" s="24"/>
      <c r="AHO13" s="24"/>
      <c r="AHP13" s="24"/>
      <c r="AHQ13" s="24"/>
      <c r="AHR13" s="24"/>
      <c r="AHS13" s="24"/>
      <c r="AHT13" s="24"/>
      <c r="AHU13" s="24"/>
      <c r="AHV13" s="24"/>
      <c r="AHW13" s="24"/>
      <c r="AHX13" s="24"/>
      <c r="AHY13" s="24"/>
      <c r="AHZ13" s="24"/>
      <c r="AIA13" s="24"/>
      <c r="AIB13" s="24"/>
      <c r="AIC13" s="24"/>
      <c r="AID13" s="24"/>
      <c r="AIE13" s="24"/>
      <c r="AIF13" s="24"/>
      <c r="AIG13" s="24"/>
      <c r="AIH13" s="24"/>
      <c r="AII13" s="24"/>
      <c r="AIJ13" s="24"/>
      <c r="AIK13" s="24"/>
      <c r="AIL13" s="24"/>
      <c r="AIM13" s="24"/>
      <c r="AIN13" s="24"/>
      <c r="AIO13" s="24"/>
      <c r="AIP13" s="24"/>
      <c r="AIQ13" s="24"/>
      <c r="AIR13" s="24"/>
      <c r="AIS13" s="24"/>
      <c r="AIT13" s="24"/>
      <c r="AIU13" s="24"/>
      <c r="AIV13" s="24"/>
      <c r="AIW13" s="24"/>
      <c r="AIX13" s="24"/>
      <c r="AIY13" s="24"/>
      <c r="AIZ13" s="24"/>
      <c r="AJA13" s="24"/>
      <c r="AJB13" s="24"/>
      <c r="AJC13" s="24"/>
      <c r="AJD13" s="24"/>
      <c r="AJE13" s="24"/>
      <c r="AJF13" s="24"/>
      <c r="AJG13" s="24"/>
      <c r="AJH13" s="24"/>
      <c r="AJI13" s="24"/>
      <c r="AJJ13" s="24"/>
      <c r="AJK13" s="24"/>
      <c r="AJL13" s="24"/>
      <c r="AJM13" s="24"/>
      <c r="AJN13" s="24"/>
      <c r="AJO13" s="24"/>
      <c r="AJP13" s="24"/>
      <c r="AJQ13" s="24"/>
      <c r="AJR13" s="24"/>
      <c r="AJS13" s="24"/>
      <c r="AJT13" s="24"/>
      <c r="AJU13" s="24"/>
      <c r="AJV13" s="24"/>
      <c r="AJW13" s="24"/>
      <c r="AJX13" s="24"/>
      <c r="AJY13" s="24"/>
      <c r="AJZ13" s="24"/>
      <c r="AKA13" s="24"/>
      <c r="AKB13" s="24"/>
      <c r="AKC13" s="24"/>
      <c r="AKD13" s="24"/>
      <c r="AKE13" s="24"/>
      <c r="AKF13" s="24"/>
      <c r="AKG13" s="24"/>
      <c r="AKH13" s="24"/>
      <c r="AKI13" s="24"/>
      <c r="AKJ13" s="24"/>
      <c r="AKK13" s="24"/>
      <c r="AKL13" s="24"/>
      <c r="AKM13" s="24"/>
      <c r="AKN13" s="24"/>
      <c r="AKO13" s="24"/>
      <c r="AKP13" s="24"/>
      <c r="AKQ13" s="24"/>
      <c r="AKR13" s="24"/>
      <c r="AKS13" s="24"/>
      <c r="AKT13" s="24"/>
      <c r="AKU13" s="24"/>
      <c r="AKV13" s="24"/>
      <c r="AKW13" s="24"/>
      <c r="AKX13" s="24"/>
      <c r="AKY13" s="24"/>
      <c r="AKZ13" s="24"/>
      <c r="ALA13" s="24"/>
      <c r="ALB13" s="24"/>
      <c r="ALC13" s="24"/>
      <c r="ALD13" s="24"/>
      <c r="ALE13" s="24"/>
      <c r="ALF13" s="24"/>
      <c r="ALG13" s="24"/>
      <c r="ALH13" s="24"/>
      <c r="ALI13" s="24"/>
      <c r="ALJ13" s="24"/>
      <c r="ALK13" s="24"/>
      <c r="ALL13" s="24"/>
      <c r="ALM13" s="24"/>
      <c r="ALN13" s="24"/>
      <c r="ALO13" s="24"/>
      <c r="ALP13" s="24"/>
      <c r="ALQ13" s="24"/>
      <c r="ALR13" s="24"/>
      <c r="ALS13" s="24"/>
      <c r="ALT13" s="24"/>
      <c r="ALU13" s="24"/>
      <c r="ALV13" s="24"/>
      <c r="ALW13" s="24"/>
      <c r="ALX13" s="24"/>
      <c r="ALY13" s="24"/>
      <c r="ALZ13" s="24"/>
      <c r="AMA13" s="24"/>
      <c r="AMB13" s="24"/>
      <c r="AMC13" s="24"/>
      <c r="AMD13" s="24"/>
      <c r="AME13" s="24"/>
      <c r="AMF13" s="24"/>
      <c r="AMG13" s="24"/>
      <c r="AMH13" s="24"/>
    </row>
    <row r="14" spans="2:1022" ht="38.25">
      <c r="B14" s="603"/>
      <c r="C14" s="1135"/>
      <c r="D14" s="1137"/>
      <c r="E14" s="1140"/>
      <c r="F14" s="592"/>
      <c r="G14" s="1160"/>
      <c r="H14" s="612" t="s">
        <v>1119</v>
      </c>
      <c r="I14" s="612" t="s">
        <v>470</v>
      </c>
      <c r="J14" s="1152"/>
      <c r="K14" s="612" t="s">
        <v>1017</v>
      </c>
      <c r="L14" s="1154"/>
      <c r="M14" s="1127"/>
      <c r="N14" s="1127"/>
      <c r="O14" s="1127"/>
      <c r="P14" s="1127"/>
      <c r="Q14" s="1127"/>
      <c r="R14" s="1127"/>
      <c r="S14" s="1127"/>
      <c r="T14" s="1127"/>
      <c r="U14" s="1130"/>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c r="QH14" s="24"/>
      <c r="QI14" s="24"/>
      <c r="QJ14" s="24"/>
      <c r="QK14" s="24"/>
      <c r="QL14" s="24"/>
      <c r="QM14" s="24"/>
      <c r="QN14" s="24"/>
      <c r="QO14" s="24"/>
      <c r="QP14" s="24"/>
      <c r="QQ14" s="24"/>
      <c r="QR14" s="24"/>
      <c r="QS14" s="24"/>
      <c r="QT14" s="24"/>
      <c r="QU14" s="24"/>
      <c r="QV14" s="24"/>
      <c r="QW14" s="24"/>
      <c r="QX14" s="24"/>
      <c r="QY14" s="24"/>
      <c r="QZ14" s="24"/>
      <c r="RA14" s="24"/>
      <c r="RB14" s="24"/>
      <c r="RC14" s="24"/>
      <c r="RD14" s="24"/>
      <c r="RE14" s="24"/>
      <c r="RF14" s="24"/>
      <c r="RG14" s="24"/>
      <c r="RH14" s="24"/>
      <c r="RI14" s="24"/>
      <c r="RJ14" s="24"/>
      <c r="RK14" s="24"/>
      <c r="RL14" s="24"/>
      <c r="RM14" s="24"/>
      <c r="RN14" s="24"/>
      <c r="RO14" s="24"/>
      <c r="RP14" s="24"/>
      <c r="RQ14" s="24"/>
      <c r="RR14" s="24"/>
      <c r="RS14" s="24"/>
      <c r="RT14" s="24"/>
      <c r="RU14" s="24"/>
      <c r="RV14" s="24"/>
      <c r="RW14" s="24"/>
      <c r="RX14" s="24"/>
      <c r="RY14" s="24"/>
      <c r="RZ14" s="24"/>
      <c r="SA14" s="24"/>
      <c r="SB14" s="24"/>
      <c r="SC14" s="24"/>
      <c r="SD14" s="24"/>
      <c r="SE14" s="24"/>
      <c r="SF14" s="24"/>
      <c r="SG14" s="24"/>
      <c r="SH14" s="24"/>
      <c r="SI14" s="24"/>
      <c r="SJ14" s="24"/>
      <c r="SK14" s="24"/>
      <c r="SL14" s="24"/>
      <c r="SM14" s="24"/>
      <c r="SN14" s="24"/>
      <c r="SO14" s="24"/>
      <c r="SP14" s="24"/>
      <c r="SQ14" s="24"/>
      <c r="SR14" s="24"/>
      <c r="SS14" s="24"/>
      <c r="ST14" s="24"/>
      <c r="SU14" s="24"/>
      <c r="SV14" s="24"/>
      <c r="SW14" s="24"/>
      <c r="SX14" s="24"/>
      <c r="SY14" s="24"/>
      <c r="SZ14" s="24"/>
      <c r="TA14" s="24"/>
      <c r="TB14" s="24"/>
      <c r="TC14" s="24"/>
      <c r="TD14" s="24"/>
      <c r="TE14" s="24"/>
      <c r="TF14" s="24"/>
      <c r="TG14" s="24"/>
      <c r="TH14" s="24"/>
      <c r="TI14" s="24"/>
      <c r="TJ14" s="24"/>
      <c r="TK14" s="24"/>
      <c r="TL14" s="24"/>
      <c r="TM14" s="24"/>
      <c r="TN14" s="24"/>
      <c r="TO14" s="24"/>
      <c r="TP14" s="24"/>
      <c r="TQ14" s="24"/>
      <c r="TR14" s="24"/>
      <c r="TS14" s="24"/>
      <c r="TT14" s="24"/>
      <c r="TU14" s="24"/>
      <c r="TV14" s="24"/>
      <c r="TW14" s="24"/>
      <c r="TX14" s="24"/>
      <c r="TY14" s="24"/>
      <c r="TZ14" s="24"/>
      <c r="UA14" s="24"/>
      <c r="UB14" s="24"/>
      <c r="UC14" s="24"/>
      <c r="UD14" s="24"/>
      <c r="UE14" s="24"/>
      <c r="UF14" s="24"/>
      <c r="UG14" s="24"/>
      <c r="UH14" s="24"/>
      <c r="UI14" s="24"/>
      <c r="UJ14" s="24"/>
      <c r="UK14" s="24"/>
      <c r="UL14" s="24"/>
      <c r="UM14" s="24"/>
      <c r="UN14" s="24"/>
      <c r="UO14" s="24"/>
      <c r="UP14" s="24"/>
      <c r="UQ14" s="24"/>
      <c r="UR14" s="24"/>
      <c r="US14" s="24"/>
      <c r="UT14" s="24"/>
      <c r="UU14" s="24"/>
      <c r="UV14" s="24"/>
      <c r="UW14" s="24"/>
      <c r="UX14" s="24"/>
      <c r="UY14" s="24"/>
      <c r="UZ14" s="24"/>
      <c r="VA14" s="24"/>
      <c r="VB14" s="24"/>
      <c r="VC14" s="24"/>
      <c r="VD14" s="24"/>
      <c r="VE14" s="24"/>
      <c r="VF14" s="24"/>
      <c r="VG14" s="24"/>
      <c r="VH14" s="24"/>
      <c r="VI14" s="24"/>
      <c r="VJ14" s="24"/>
      <c r="VK14" s="24"/>
      <c r="VL14" s="24"/>
      <c r="VM14" s="24"/>
      <c r="VN14" s="24"/>
      <c r="VO14" s="24"/>
      <c r="VP14" s="24"/>
      <c r="VQ14" s="24"/>
      <c r="VR14" s="24"/>
      <c r="VS14" s="24"/>
      <c r="VT14" s="24"/>
      <c r="VU14" s="24"/>
      <c r="VV14" s="24"/>
      <c r="VW14" s="24"/>
      <c r="VX14" s="24"/>
      <c r="VY14" s="24"/>
      <c r="VZ14" s="24"/>
      <c r="WA14" s="24"/>
      <c r="WB14" s="24"/>
      <c r="WC14" s="24"/>
      <c r="WD14" s="24"/>
      <c r="WE14" s="24"/>
      <c r="WF14" s="24"/>
      <c r="WG14" s="24"/>
      <c r="WH14" s="24"/>
      <c r="WI14" s="24"/>
      <c r="WJ14" s="24"/>
      <c r="WK14" s="24"/>
      <c r="WL14" s="24"/>
      <c r="WM14" s="24"/>
      <c r="WN14" s="24"/>
      <c r="WO14" s="24"/>
      <c r="WP14" s="24"/>
      <c r="WQ14" s="24"/>
      <c r="WR14" s="24"/>
      <c r="WS14" s="24"/>
      <c r="WT14" s="24"/>
      <c r="WU14" s="24"/>
      <c r="WV14" s="24"/>
      <c r="WW14" s="24"/>
      <c r="WX14" s="24"/>
      <c r="WY14" s="24"/>
      <c r="WZ14" s="24"/>
      <c r="XA14" s="24"/>
      <c r="XB14" s="24"/>
      <c r="XC14" s="24"/>
      <c r="XD14" s="24"/>
      <c r="XE14" s="24"/>
      <c r="XF14" s="24"/>
      <c r="XG14" s="24"/>
      <c r="XH14" s="24"/>
      <c r="XI14" s="24"/>
      <c r="XJ14" s="24"/>
      <c r="XK14" s="24"/>
      <c r="XL14" s="24"/>
      <c r="XM14" s="24"/>
      <c r="XN14" s="24"/>
      <c r="XO14" s="24"/>
      <c r="XP14" s="24"/>
      <c r="XQ14" s="24"/>
      <c r="XR14" s="24"/>
      <c r="XS14" s="24"/>
      <c r="XT14" s="24"/>
      <c r="XU14" s="24"/>
      <c r="XV14" s="24"/>
      <c r="XW14" s="24"/>
      <c r="XX14" s="24"/>
      <c r="XY14" s="24"/>
      <c r="XZ14" s="24"/>
      <c r="YA14" s="24"/>
      <c r="YB14" s="24"/>
      <c r="YC14" s="24"/>
      <c r="YD14" s="24"/>
      <c r="YE14" s="24"/>
      <c r="YF14" s="24"/>
      <c r="YG14" s="24"/>
      <c r="YH14" s="24"/>
      <c r="YI14" s="24"/>
      <c r="YJ14" s="24"/>
      <c r="YK14" s="24"/>
      <c r="YL14" s="24"/>
      <c r="YM14" s="24"/>
      <c r="YN14" s="24"/>
      <c r="YO14" s="24"/>
      <c r="YP14" s="24"/>
      <c r="YQ14" s="24"/>
      <c r="YR14" s="24"/>
      <c r="YS14" s="24"/>
      <c r="YT14" s="24"/>
      <c r="YU14" s="24"/>
      <c r="YV14" s="24"/>
      <c r="YW14" s="24"/>
      <c r="YX14" s="24"/>
      <c r="YY14" s="24"/>
      <c r="YZ14" s="24"/>
      <c r="ZA14" s="24"/>
      <c r="ZB14" s="24"/>
      <c r="ZC14" s="24"/>
      <c r="ZD14" s="24"/>
      <c r="ZE14" s="24"/>
      <c r="ZF14" s="24"/>
      <c r="ZG14" s="24"/>
      <c r="ZH14" s="24"/>
      <c r="ZI14" s="24"/>
      <c r="ZJ14" s="24"/>
      <c r="ZK14" s="24"/>
      <c r="ZL14" s="24"/>
      <c r="ZM14" s="24"/>
      <c r="ZN14" s="24"/>
      <c r="ZO14" s="24"/>
      <c r="ZP14" s="24"/>
      <c r="ZQ14" s="24"/>
      <c r="ZR14" s="24"/>
      <c r="ZS14" s="24"/>
      <c r="ZT14" s="24"/>
      <c r="ZU14" s="24"/>
      <c r="ZV14" s="24"/>
      <c r="ZW14" s="24"/>
      <c r="ZX14" s="24"/>
      <c r="ZY14" s="24"/>
      <c r="ZZ14" s="24"/>
      <c r="AAA14" s="24"/>
      <c r="AAB14" s="24"/>
      <c r="AAC14" s="24"/>
      <c r="AAD14" s="24"/>
      <c r="AAE14" s="24"/>
      <c r="AAF14" s="24"/>
      <c r="AAG14" s="24"/>
      <c r="AAH14" s="24"/>
      <c r="AAI14" s="24"/>
      <c r="AAJ14" s="24"/>
      <c r="AAK14" s="24"/>
      <c r="AAL14" s="24"/>
      <c r="AAM14" s="24"/>
      <c r="AAN14" s="24"/>
      <c r="AAO14" s="24"/>
      <c r="AAP14" s="24"/>
      <c r="AAQ14" s="24"/>
      <c r="AAR14" s="24"/>
      <c r="AAS14" s="24"/>
      <c r="AAT14" s="24"/>
      <c r="AAU14" s="24"/>
      <c r="AAV14" s="24"/>
      <c r="AAW14" s="24"/>
      <c r="AAX14" s="24"/>
      <c r="AAY14" s="24"/>
      <c r="AAZ14" s="24"/>
      <c r="ABA14" s="24"/>
      <c r="ABB14" s="24"/>
      <c r="ABC14" s="24"/>
      <c r="ABD14" s="24"/>
      <c r="ABE14" s="24"/>
      <c r="ABF14" s="24"/>
      <c r="ABG14" s="24"/>
      <c r="ABH14" s="24"/>
      <c r="ABI14" s="24"/>
      <c r="ABJ14" s="24"/>
      <c r="ABK14" s="24"/>
      <c r="ABL14" s="24"/>
      <c r="ABM14" s="24"/>
      <c r="ABN14" s="24"/>
      <c r="ABO14" s="24"/>
      <c r="ABP14" s="24"/>
      <c r="ABQ14" s="24"/>
      <c r="ABR14" s="24"/>
      <c r="ABS14" s="24"/>
      <c r="ABT14" s="24"/>
      <c r="ABU14" s="24"/>
      <c r="ABV14" s="24"/>
      <c r="ABW14" s="24"/>
      <c r="ABX14" s="24"/>
      <c r="ABY14" s="24"/>
      <c r="ABZ14" s="24"/>
      <c r="ACA14" s="24"/>
      <c r="ACB14" s="24"/>
      <c r="ACC14" s="24"/>
      <c r="ACD14" s="24"/>
      <c r="ACE14" s="24"/>
      <c r="ACF14" s="24"/>
      <c r="ACG14" s="24"/>
      <c r="ACH14" s="24"/>
      <c r="ACI14" s="24"/>
      <c r="ACJ14" s="24"/>
      <c r="ACK14" s="24"/>
      <c r="ACL14" s="24"/>
      <c r="ACM14" s="24"/>
      <c r="ACN14" s="24"/>
      <c r="ACO14" s="24"/>
      <c r="ACP14" s="24"/>
      <c r="ACQ14" s="24"/>
      <c r="ACR14" s="24"/>
      <c r="ACS14" s="24"/>
      <c r="ACT14" s="24"/>
      <c r="ACU14" s="24"/>
      <c r="ACV14" s="24"/>
      <c r="ACW14" s="24"/>
      <c r="ACX14" s="24"/>
      <c r="ACY14" s="24"/>
      <c r="ACZ14" s="24"/>
      <c r="ADA14" s="24"/>
      <c r="ADB14" s="24"/>
      <c r="ADC14" s="24"/>
      <c r="ADD14" s="24"/>
      <c r="ADE14" s="24"/>
      <c r="ADF14" s="24"/>
      <c r="ADG14" s="24"/>
      <c r="ADH14" s="24"/>
      <c r="ADI14" s="24"/>
      <c r="ADJ14" s="24"/>
      <c r="ADK14" s="24"/>
      <c r="ADL14" s="24"/>
      <c r="ADM14" s="24"/>
      <c r="ADN14" s="24"/>
      <c r="ADO14" s="24"/>
      <c r="ADP14" s="24"/>
      <c r="ADQ14" s="24"/>
      <c r="ADR14" s="24"/>
      <c r="ADS14" s="24"/>
      <c r="ADT14" s="24"/>
      <c r="ADU14" s="24"/>
      <c r="ADV14" s="24"/>
      <c r="ADW14" s="24"/>
      <c r="ADX14" s="24"/>
      <c r="ADY14" s="24"/>
      <c r="ADZ14" s="24"/>
      <c r="AEA14" s="24"/>
      <c r="AEB14" s="24"/>
      <c r="AEC14" s="24"/>
      <c r="AED14" s="24"/>
      <c r="AEE14" s="24"/>
      <c r="AEF14" s="24"/>
      <c r="AEG14" s="24"/>
      <c r="AEH14" s="24"/>
      <c r="AEI14" s="24"/>
      <c r="AEJ14" s="24"/>
      <c r="AEK14" s="24"/>
      <c r="AEL14" s="24"/>
      <c r="AEM14" s="24"/>
      <c r="AEN14" s="24"/>
      <c r="AEO14" s="24"/>
      <c r="AEP14" s="24"/>
      <c r="AEQ14" s="24"/>
      <c r="AER14" s="24"/>
      <c r="AES14" s="24"/>
      <c r="AET14" s="24"/>
      <c r="AEU14" s="24"/>
      <c r="AEV14" s="24"/>
      <c r="AEW14" s="24"/>
      <c r="AEX14" s="24"/>
      <c r="AEY14" s="24"/>
      <c r="AEZ14" s="24"/>
      <c r="AFA14" s="24"/>
      <c r="AFB14" s="24"/>
      <c r="AFC14" s="24"/>
      <c r="AFD14" s="24"/>
      <c r="AFE14" s="24"/>
      <c r="AFF14" s="24"/>
      <c r="AFG14" s="24"/>
      <c r="AFH14" s="24"/>
      <c r="AFI14" s="24"/>
      <c r="AFJ14" s="24"/>
      <c r="AFK14" s="24"/>
      <c r="AFL14" s="24"/>
      <c r="AFM14" s="24"/>
      <c r="AFN14" s="24"/>
      <c r="AFO14" s="24"/>
      <c r="AFP14" s="24"/>
      <c r="AFQ14" s="24"/>
      <c r="AFR14" s="24"/>
      <c r="AFS14" s="24"/>
      <c r="AFT14" s="24"/>
      <c r="AFU14" s="24"/>
      <c r="AFV14" s="24"/>
      <c r="AFW14" s="24"/>
      <c r="AFX14" s="24"/>
      <c r="AFY14" s="24"/>
      <c r="AFZ14" s="24"/>
      <c r="AGA14" s="24"/>
      <c r="AGB14" s="24"/>
      <c r="AGC14" s="24"/>
      <c r="AGD14" s="24"/>
      <c r="AGE14" s="24"/>
      <c r="AGF14" s="24"/>
      <c r="AGG14" s="24"/>
      <c r="AGH14" s="24"/>
      <c r="AGI14" s="24"/>
      <c r="AGJ14" s="24"/>
      <c r="AGK14" s="24"/>
      <c r="AGL14" s="24"/>
      <c r="AGM14" s="24"/>
      <c r="AGN14" s="24"/>
      <c r="AGO14" s="24"/>
      <c r="AGP14" s="24"/>
      <c r="AGQ14" s="24"/>
      <c r="AGR14" s="24"/>
      <c r="AGS14" s="24"/>
      <c r="AGT14" s="24"/>
      <c r="AGU14" s="24"/>
      <c r="AGV14" s="24"/>
      <c r="AGW14" s="24"/>
      <c r="AGX14" s="24"/>
      <c r="AGY14" s="24"/>
      <c r="AGZ14" s="24"/>
      <c r="AHA14" s="24"/>
      <c r="AHB14" s="24"/>
      <c r="AHC14" s="24"/>
      <c r="AHD14" s="24"/>
      <c r="AHE14" s="24"/>
      <c r="AHF14" s="24"/>
      <c r="AHG14" s="24"/>
      <c r="AHH14" s="24"/>
      <c r="AHI14" s="24"/>
      <c r="AHJ14" s="24"/>
      <c r="AHK14" s="24"/>
      <c r="AHL14" s="24"/>
      <c r="AHM14" s="24"/>
      <c r="AHN14" s="24"/>
      <c r="AHO14" s="24"/>
      <c r="AHP14" s="24"/>
      <c r="AHQ14" s="24"/>
      <c r="AHR14" s="24"/>
      <c r="AHS14" s="24"/>
      <c r="AHT14" s="24"/>
      <c r="AHU14" s="24"/>
      <c r="AHV14" s="24"/>
      <c r="AHW14" s="24"/>
      <c r="AHX14" s="24"/>
      <c r="AHY14" s="24"/>
      <c r="AHZ14" s="24"/>
      <c r="AIA14" s="24"/>
      <c r="AIB14" s="24"/>
      <c r="AIC14" s="24"/>
      <c r="AID14" s="24"/>
      <c r="AIE14" s="24"/>
      <c r="AIF14" s="24"/>
      <c r="AIG14" s="24"/>
      <c r="AIH14" s="24"/>
      <c r="AII14" s="24"/>
      <c r="AIJ14" s="24"/>
      <c r="AIK14" s="24"/>
      <c r="AIL14" s="24"/>
      <c r="AIM14" s="24"/>
      <c r="AIN14" s="24"/>
      <c r="AIO14" s="24"/>
      <c r="AIP14" s="24"/>
      <c r="AIQ14" s="24"/>
      <c r="AIR14" s="24"/>
      <c r="AIS14" s="24"/>
      <c r="AIT14" s="24"/>
      <c r="AIU14" s="24"/>
      <c r="AIV14" s="24"/>
      <c r="AIW14" s="24"/>
      <c r="AIX14" s="24"/>
      <c r="AIY14" s="24"/>
      <c r="AIZ14" s="24"/>
      <c r="AJA14" s="24"/>
      <c r="AJB14" s="24"/>
      <c r="AJC14" s="24"/>
      <c r="AJD14" s="24"/>
      <c r="AJE14" s="24"/>
      <c r="AJF14" s="24"/>
      <c r="AJG14" s="24"/>
      <c r="AJH14" s="24"/>
      <c r="AJI14" s="24"/>
      <c r="AJJ14" s="24"/>
      <c r="AJK14" s="24"/>
      <c r="AJL14" s="24"/>
      <c r="AJM14" s="24"/>
      <c r="AJN14" s="24"/>
      <c r="AJO14" s="24"/>
      <c r="AJP14" s="24"/>
      <c r="AJQ14" s="24"/>
      <c r="AJR14" s="24"/>
      <c r="AJS14" s="24"/>
      <c r="AJT14" s="24"/>
      <c r="AJU14" s="24"/>
      <c r="AJV14" s="24"/>
      <c r="AJW14" s="24"/>
      <c r="AJX14" s="24"/>
      <c r="AJY14" s="24"/>
      <c r="AJZ14" s="24"/>
      <c r="AKA14" s="24"/>
      <c r="AKB14" s="24"/>
      <c r="AKC14" s="24"/>
      <c r="AKD14" s="24"/>
      <c r="AKE14" s="24"/>
      <c r="AKF14" s="24"/>
      <c r="AKG14" s="24"/>
      <c r="AKH14" s="24"/>
      <c r="AKI14" s="24"/>
      <c r="AKJ14" s="24"/>
      <c r="AKK14" s="24"/>
      <c r="AKL14" s="24"/>
      <c r="AKM14" s="24"/>
      <c r="AKN14" s="24"/>
      <c r="AKO14" s="24"/>
      <c r="AKP14" s="24"/>
      <c r="AKQ14" s="24"/>
      <c r="AKR14" s="24"/>
      <c r="AKS14" s="24"/>
      <c r="AKT14" s="24"/>
      <c r="AKU14" s="24"/>
      <c r="AKV14" s="24"/>
      <c r="AKW14" s="24"/>
      <c r="AKX14" s="24"/>
      <c r="AKY14" s="24"/>
      <c r="AKZ14" s="24"/>
      <c r="ALA14" s="24"/>
      <c r="ALB14" s="24"/>
      <c r="ALC14" s="24"/>
      <c r="ALD14" s="24"/>
      <c r="ALE14" s="24"/>
      <c r="ALF14" s="24"/>
      <c r="ALG14" s="24"/>
      <c r="ALH14" s="24"/>
      <c r="ALI14" s="24"/>
      <c r="ALJ14" s="24"/>
      <c r="ALK14" s="24"/>
      <c r="ALL14" s="24"/>
      <c r="ALM14" s="24"/>
      <c r="ALN14" s="24"/>
      <c r="ALO14" s="24"/>
      <c r="ALP14" s="24"/>
      <c r="ALQ14" s="24"/>
      <c r="ALR14" s="24"/>
      <c r="ALS14" s="24"/>
      <c r="ALT14" s="24"/>
      <c r="ALU14" s="24"/>
      <c r="ALV14" s="24"/>
      <c r="ALW14" s="24"/>
      <c r="ALX14" s="24"/>
      <c r="ALY14" s="24"/>
      <c r="ALZ14" s="24"/>
      <c r="AMA14" s="24"/>
      <c r="AMB14" s="24"/>
      <c r="AMC14" s="24"/>
      <c r="AMD14" s="24"/>
      <c r="AME14" s="24"/>
      <c r="AMF14" s="24"/>
      <c r="AMG14" s="24"/>
      <c r="AMH14" s="24"/>
    </row>
    <row r="15" spans="2:1022" ht="76.5">
      <c r="B15" s="603"/>
      <c r="C15" s="1135"/>
      <c r="D15" s="1137"/>
      <c r="E15" s="1140"/>
      <c r="F15" s="592"/>
      <c r="G15" s="1160"/>
      <c r="H15" s="612" t="s">
        <v>1120</v>
      </c>
      <c r="I15" s="612" t="s">
        <v>1121</v>
      </c>
      <c r="J15" s="1152"/>
      <c r="K15" s="612" t="s">
        <v>1122</v>
      </c>
      <c r="L15" s="1154"/>
      <c r="M15" s="1127"/>
      <c r="N15" s="1127"/>
      <c r="O15" s="1127"/>
      <c r="P15" s="1127"/>
      <c r="Q15" s="1127"/>
      <c r="R15" s="1127"/>
      <c r="S15" s="1127"/>
      <c r="T15" s="1127"/>
      <c r="U15" s="1130"/>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c r="UV15" s="24"/>
      <c r="UW15" s="24"/>
      <c r="UX15" s="24"/>
      <c r="UY15" s="24"/>
      <c r="UZ15" s="24"/>
      <c r="VA15" s="24"/>
      <c r="VB15" s="24"/>
      <c r="VC15" s="24"/>
      <c r="VD15" s="24"/>
      <c r="VE15" s="24"/>
      <c r="VF15" s="24"/>
      <c r="VG15" s="24"/>
      <c r="VH15" s="24"/>
      <c r="VI15" s="24"/>
      <c r="VJ15" s="24"/>
      <c r="VK15" s="24"/>
      <c r="VL15" s="24"/>
      <c r="VM15" s="24"/>
      <c r="VN15" s="24"/>
      <c r="VO15" s="24"/>
      <c r="VP15" s="24"/>
      <c r="VQ15" s="24"/>
      <c r="VR15" s="24"/>
      <c r="VS15" s="24"/>
      <c r="VT15" s="24"/>
      <c r="VU15" s="24"/>
      <c r="VV15" s="24"/>
      <c r="VW15" s="24"/>
      <c r="VX15" s="24"/>
      <c r="VY15" s="24"/>
      <c r="VZ15" s="24"/>
      <c r="WA15" s="24"/>
      <c r="WB15" s="24"/>
      <c r="WC15" s="24"/>
      <c r="WD15" s="24"/>
      <c r="WE15" s="24"/>
      <c r="WF15" s="24"/>
      <c r="WG15" s="24"/>
      <c r="WH15" s="24"/>
      <c r="WI15" s="24"/>
      <c r="WJ15" s="24"/>
      <c r="WK15" s="24"/>
      <c r="WL15" s="24"/>
      <c r="WM15" s="24"/>
      <c r="WN15" s="24"/>
      <c r="WO15" s="24"/>
      <c r="WP15" s="24"/>
      <c r="WQ15" s="24"/>
      <c r="WR15" s="24"/>
      <c r="WS15" s="24"/>
      <c r="WT15" s="24"/>
      <c r="WU15" s="24"/>
      <c r="WV15" s="24"/>
      <c r="WW15" s="24"/>
      <c r="WX15" s="24"/>
      <c r="WY15" s="24"/>
      <c r="WZ15" s="24"/>
      <c r="XA15" s="24"/>
      <c r="XB15" s="24"/>
      <c r="XC15" s="24"/>
      <c r="XD15" s="24"/>
      <c r="XE15" s="24"/>
      <c r="XF15" s="24"/>
      <c r="XG15" s="24"/>
      <c r="XH15" s="24"/>
      <c r="XI15" s="24"/>
      <c r="XJ15" s="24"/>
      <c r="XK15" s="24"/>
      <c r="XL15" s="24"/>
      <c r="XM15" s="24"/>
      <c r="XN15" s="24"/>
      <c r="XO15" s="24"/>
      <c r="XP15" s="24"/>
      <c r="XQ15" s="24"/>
      <c r="XR15" s="24"/>
      <c r="XS15" s="24"/>
      <c r="XT15" s="24"/>
      <c r="XU15" s="24"/>
      <c r="XV15" s="24"/>
      <c r="XW15" s="24"/>
      <c r="XX15" s="24"/>
      <c r="XY15" s="24"/>
      <c r="XZ15" s="24"/>
      <c r="YA15" s="24"/>
      <c r="YB15" s="24"/>
      <c r="YC15" s="24"/>
      <c r="YD15" s="24"/>
      <c r="YE15" s="24"/>
      <c r="YF15" s="24"/>
      <c r="YG15" s="24"/>
      <c r="YH15" s="24"/>
      <c r="YI15" s="24"/>
      <c r="YJ15" s="24"/>
      <c r="YK15" s="24"/>
      <c r="YL15" s="24"/>
      <c r="YM15" s="24"/>
      <c r="YN15" s="24"/>
      <c r="YO15" s="24"/>
      <c r="YP15" s="24"/>
      <c r="YQ15" s="24"/>
      <c r="YR15" s="24"/>
      <c r="YS15" s="24"/>
      <c r="YT15" s="24"/>
      <c r="YU15" s="24"/>
      <c r="YV15" s="24"/>
      <c r="YW15" s="24"/>
      <c r="YX15" s="24"/>
      <c r="YY15" s="24"/>
      <c r="YZ15" s="24"/>
      <c r="ZA15" s="24"/>
      <c r="ZB15" s="24"/>
      <c r="ZC15" s="24"/>
      <c r="ZD15" s="24"/>
      <c r="ZE15" s="24"/>
      <c r="ZF15" s="24"/>
      <c r="ZG15" s="24"/>
      <c r="ZH15" s="24"/>
      <c r="ZI15" s="24"/>
      <c r="ZJ15" s="24"/>
      <c r="ZK15" s="24"/>
      <c r="ZL15" s="24"/>
      <c r="ZM15" s="24"/>
      <c r="ZN15" s="24"/>
      <c r="ZO15" s="24"/>
      <c r="ZP15" s="24"/>
      <c r="ZQ15" s="24"/>
      <c r="ZR15" s="24"/>
      <c r="ZS15" s="24"/>
      <c r="ZT15" s="24"/>
      <c r="ZU15" s="24"/>
      <c r="ZV15" s="24"/>
      <c r="ZW15" s="24"/>
      <c r="ZX15" s="24"/>
      <c r="ZY15" s="24"/>
      <c r="ZZ15" s="24"/>
      <c r="AAA15" s="24"/>
      <c r="AAB15" s="24"/>
      <c r="AAC15" s="24"/>
      <c r="AAD15" s="24"/>
      <c r="AAE15" s="24"/>
      <c r="AAF15" s="24"/>
      <c r="AAG15" s="24"/>
      <c r="AAH15" s="24"/>
      <c r="AAI15" s="24"/>
      <c r="AAJ15" s="24"/>
      <c r="AAK15" s="24"/>
      <c r="AAL15" s="24"/>
      <c r="AAM15" s="24"/>
      <c r="AAN15" s="24"/>
      <c r="AAO15" s="24"/>
      <c r="AAP15" s="24"/>
      <c r="AAQ15" s="24"/>
      <c r="AAR15" s="24"/>
      <c r="AAS15" s="24"/>
      <c r="AAT15" s="24"/>
      <c r="AAU15" s="24"/>
      <c r="AAV15" s="24"/>
      <c r="AAW15" s="24"/>
      <c r="AAX15" s="24"/>
      <c r="AAY15" s="24"/>
      <c r="AAZ15" s="24"/>
      <c r="ABA15" s="24"/>
      <c r="ABB15" s="24"/>
      <c r="ABC15" s="24"/>
      <c r="ABD15" s="24"/>
      <c r="ABE15" s="24"/>
      <c r="ABF15" s="24"/>
      <c r="ABG15" s="24"/>
      <c r="ABH15" s="24"/>
      <c r="ABI15" s="24"/>
      <c r="ABJ15" s="24"/>
      <c r="ABK15" s="24"/>
      <c r="ABL15" s="24"/>
      <c r="ABM15" s="24"/>
      <c r="ABN15" s="24"/>
      <c r="ABO15" s="24"/>
      <c r="ABP15" s="24"/>
      <c r="ABQ15" s="24"/>
      <c r="ABR15" s="24"/>
      <c r="ABS15" s="24"/>
      <c r="ABT15" s="24"/>
      <c r="ABU15" s="24"/>
      <c r="ABV15" s="24"/>
      <c r="ABW15" s="24"/>
      <c r="ABX15" s="24"/>
      <c r="ABY15" s="24"/>
      <c r="ABZ15" s="24"/>
      <c r="ACA15" s="24"/>
      <c r="ACB15" s="24"/>
      <c r="ACC15" s="24"/>
      <c r="ACD15" s="24"/>
      <c r="ACE15" s="24"/>
      <c r="ACF15" s="24"/>
      <c r="ACG15" s="24"/>
      <c r="ACH15" s="24"/>
      <c r="ACI15" s="24"/>
      <c r="ACJ15" s="24"/>
      <c r="ACK15" s="24"/>
      <c r="ACL15" s="24"/>
      <c r="ACM15" s="24"/>
      <c r="ACN15" s="24"/>
      <c r="ACO15" s="24"/>
      <c r="ACP15" s="24"/>
      <c r="ACQ15" s="24"/>
      <c r="ACR15" s="24"/>
      <c r="ACS15" s="24"/>
      <c r="ACT15" s="24"/>
      <c r="ACU15" s="24"/>
      <c r="ACV15" s="24"/>
      <c r="ACW15" s="24"/>
      <c r="ACX15" s="24"/>
      <c r="ACY15" s="24"/>
      <c r="ACZ15" s="24"/>
      <c r="ADA15" s="24"/>
      <c r="ADB15" s="24"/>
      <c r="ADC15" s="24"/>
      <c r="ADD15" s="24"/>
      <c r="ADE15" s="24"/>
      <c r="ADF15" s="24"/>
      <c r="ADG15" s="24"/>
      <c r="ADH15" s="24"/>
      <c r="ADI15" s="24"/>
      <c r="ADJ15" s="24"/>
      <c r="ADK15" s="24"/>
      <c r="ADL15" s="24"/>
      <c r="ADM15" s="24"/>
      <c r="ADN15" s="24"/>
      <c r="ADO15" s="24"/>
      <c r="ADP15" s="24"/>
      <c r="ADQ15" s="24"/>
      <c r="ADR15" s="24"/>
      <c r="ADS15" s="24"/>
      <c r="ADT15" s="24"/>
      <c r="ADU15" s="24"/>
      <c r="ADV15" s="24"/>
      <c r="ADW15" s="24"/>
      <c r="ADX15" s="24"/>
      <c r="ADY15" s="24"/>
      <c r="ADZ15" s="24"/>
      <c r="AEA15" s="24"/>
      <c r="AEB15" s="24"/>
      <c r="AEC15" s="24"/>
      <c r="AED15" s="24"/>
      <c r="AEE15" s="24"/>
      <c r="AEF15" s="24"/>
      <c r="AEG15" s="24"/>
      <c r="AEH15" s="24"/>
      <c r="AEI15" s="24"/>
      <c r="AEJ15" s="24"/>
      <c r="AEK15" s="24"/>
      <c r="AEL15" s="24"/>
      <c r="AEM15" s="24"/>
      <c r="AEN15" s="24"/>
      <c r="AEO15" s="24"/>
      <c r="AEP15" s="24"/>
      <c r="AEQ15" s="24"/>
      <c r="AER15" s="24"/>
      <c r="AES15" s="24"/>
      <c r="AET15" s="24"/>
      <c r="AEU15" s="24"/>
      <c r="AEV15" s="24"/>
      <c r="AEW15" s="24"/>
      <c r="AEX15" s="24"/>
      <c r="AEY15" s="24"/>
      <c r="AEZ15" s="24"/>
      <c r="AFA15" s="24"/>
      <c r="AFB15" s="24"/>
      <c r="AFC15" s="24"/>
      <c r="AFD15" s="24"/>
      <c r="AFE15" s="24"/>
      <c r="AFF15" s="24"/>
      <c r="AFG15" s="24"/>
      <c r="AFH15" s="24"/>
      <c r="AFI15" s="24"/>
      <c r="AFJ15" s="24"/>
      <c r="AFK15" s="24"/>
      <c r="AFL15" s="24"/>
      <c r="AFM15" s="24"/>
      <c r="AFN15" s="24"/>
      <c r="AFO15" s="24"/>
      <c r="AFP15" s="24"/>
      <c r="AFQ15" s="24"/>
      <c r="AFR15" s="24"/>
      <c r="AFS15" s="24"/>
      <c r="AFT15" s="24"/>
      <c r="AFU15" s="24"/>
      <c r="AFV15" s="24"/>
      <c r="AFW15" s="24"/>
      <c r="AFX15" s="24"/>
      <c r="AFY15" s="24"/>
      <c r="AFZ15" s="24"/>
      <c r="AGA15" s="24"/>
      <c r="AGB15" s="24"/>
      <c r="AGC15" s="24"/>
      <c r="AGD15" s="24"/>
      <c r="AGE15" s="24"/>
      <c r="AGF15" s="24"/>
      <c r="AGG15" s="24"/>
      <c r="AGH15" s="24"/>
      <c r="AGI15" s="24"/>
      <c r="AGJ15" s="24"/>
      <c r="AGK15" s="24"/>
      <c r="AGL15" s="24"/>
      <c r="AGM15" s="24"/>
      <c r="AGN15" s="24"/>
      <c r="AGO15" s="24"/>
      <c r="AGP15" s="24"/>
      <c r="AGQ15" s="24"/>
      <c r="AGR15" s="24"/>
      <c r="AGS15" s="24"/>
      <c r="AGT15" s="24"/>
      <c r="AGU15" s="24"/>
      <c r="AGV15" s="24"/>
      <c r="AGW15" s="24"/>
      <c r="AGX15" s="24"/>
      <c r="AGY15" s="24"/>
      <c r="AGZ15" s="24"/>
      <c r="AHA15" s="24"/>
      <c r="AHB15" s="24"/>
      <c r="AHC15" s="24"/>
      <c r="AHD15" s="24"/>
      <c r="AHE15" s="24"/>
      <c r="AHF15" s="24"/>
      <c r="AHG15" s="24"/>
      <c r="AHH15" s="24"/>
      <c r="AHI15" s="24"/>
      <c r="AHJ15" s="24"/>
      <c r="AHK15" s="24"/>
      <c r="AHL15" s="24"/>
      <c r="AHM15" s="24"/>
      <c r="AHN15" s="24"/>
      <c r="AHO15" s="24"/>
      <c r="AHP15" s="24"/>
      <c r="AHQ15" s="24"/>
      <c r="AHR15" s="24"/>
      <c r="AHS15" s="24"/>
      <c r="AHT15" s="24"/>
      <c r="AHU15" s="24"/>
      <c r="AHV15" s="24"/>
      <c r="AHW15" s="24"/>
      <c r="AHX15" s="24"/>
      <c r="AHY15" s="24"/>
      <c r="AHZ15" s="24"/>
      <c r="AIA15" s="24"/>
      <c r="AIB15" s="24"/>
      <c r="AIC15" s="24"/>
      <c r="AID15" s="24"/>
      <c r="AIE15" s="24"/>
      <c r="AIF15" s="24"/>
      <c r="AIG15" s="24"/>
      <c r="AIH15" s="24"/>
      <c r="AII15" s="24"/>
      <c r="AIJ15" s="24"/>
      <c r="AIK15" s="24"/>
      <c r="AIL15" s="24"/>
      <c r="AIM15" s="24"/>
      <c r="AIN15" s="24"/>
      <c r="AIO15" s="24"/>
      <c r="AIP15" s="24"/>
      <c r="AIQ15" s="24"/>
      <c r="AIR15" s="24"/>
      <c r="AIS15" s="24"/>
      <c r="AIT15" s="24"/>
      <c r="AIU15" s="24"/>
      <c r="AIV15" s="24"/>
      <c r="AIW15" s="24"/>
      <c r="AIX15" s="24"/>
      <c r="AIY15" s="24"/>
      <c r="AIZ15" s="24"/>
      <c r="AJA15" s="24"/>
      <c r="AJB15" s="24"/>
      <c r="AJC15" s="24"/>
      <c r="AJD15" s="24"/>
      <c r="AJE15" s="24"/>
      <c r="AJF15" s="24"/>
      <c r="AJG15" s="24"/>
      <c r="AJH15" s="24"/>
      <c r="AJI15" s="24"/>
      <c r="AJJ15" s="24"/>
      <c r="AJK15" s="24"/>
      <c r="AJL15" s="24"/>
      <c r="AJM15" s="24"/>
      <c r="AJN15" s="24"/>
      <c r="AJO15" s="24"/>
      <c r="AJP15" s="24"/>
      <c r="AJQ15" s="24"/>
      <c r="AJR15" s="24"/>
      <c r="AJS15" s="24"/>
      <c r="AJT15" s="24"/>
      <c r="AJU15" s="24"/>
      <c r="AJV15" s="24"/>
      <c r="AJW15" s="24"/>
      <c r="AJX15" s="24"/>
      <c r="AJY15" s="24"/>
      <c r="AJZ15" s="24"/>
      <c r="AKA15" s="24"/>
      <c r="AKB15" s="24"/>
      <c r="AKC15" s="24"/>
      <c r="AKD15" s="24"/>
      <c r="AKE15" s="24"/>
      <c r="AKF15" s="24"/>
      <c r="AKG15" s="24"/>
      <c r="AKH15" s="24"/>
      <c r="AKI15" s="24"/>
      <c r="AKJ15" s="24"/>
      <c r="AKK15" s="24"/>
      <c r="AKL15" s="24"/>
      <c r="AKM15" s="24"/>
      <c r="AKN15" s="24"/>
      <c r="AKO15" s="24"/>
      <c r="AKP15" s="24"/>
      <c r="AKQ15" s="24"/>
      <c r="AKR15" s="24"/>
      <c r="AKS15" s="24"/>
      <c r="AKT15" s="24"/>
      <c r="AKU15" s="24"/>
      <c r="AKV15" s="24"/>
      <c r="AKW15" s="24"/>
      <c r="AKX15" s="24"/>
      <c r="AKY15" s="24"/>
      <c r="AKZ15" s="24"/>
      <c r="ALA15" s="24"/>
      <c r="ALB15" s="24"/>
      <c r="ALC15" s="24"/>
      <c r="ALD15" s="24"/>
      <c r="ALE15" s="24"/>
      <c r="ALF15" s="24"/>
      <c r="ALG15" s="24"/>
      <c r="ALH15" s="24"/>
      <c r="ALI15" s="24"/>
      <c r="ALJ15" s="24"/>
      <c r="ALK15" s="24"/>
      <c r="ALL15" s="24"/>
      <c r="ALM15" s="24"/>
      <c r="ALN15" s="24"/>
      <c r="ALO15" s="24"/>
      <c r="ALP15" s="24"/>
      <c r="ALQ15" s="24"/>
      <c r="ALR15" s="24"/>
      <c r="ALS15" s="24"/>
      <c r="ALT15" s="24"/>
      <c r="ALU15" s="24"/>
      <c r="ALV15" s="24"/>
      <c r="ALW15" s="24"/>
      <c r="ALX15" s="24"/>
      <c r="ALY15" s="24"/>
      <c r="ALZ15" s="24"/>
      <c r="AMA15" s="24"/>
      <c r="AMB15" s="24"/>
      <c r="AMC15" s="24"/>
      <c r="AMD15" s="24"/>
      <c r="AME15" s="24"/>
      <c r="AMF15" s="24"/>
      <c r="AMG15" s="24"/>
      <c r="AMH15" s="24"/>
    </row>
    <row r="16" spans="2:1022" ht="76.5">
      <c r="B16" s="603"/>
      <c r="C16" s="1135"/>
      <c r="D16" s="1137"/>
      <c r="E16" s="1140"/>
      <c r="F16" s="592"/>
      <c r="G16" s="1160"/>
      <c r="H16" s="612" t="s">
        <v>1123</v>
      </c>
      <c r="I16" s="612" t="s">
        <v>470</v>
      </c>
      <c r="J16" s="1152"/>
      <c r="K16" s="612" t="s">
        <v>1124</v>
      </c>
      <c r="L16" s="1154"/>
      <c r="M16" s="1127"/>
      <c r="N16" s="1127"/>
      <c r="O16" s="1127"/>
      <c r="P16" s="1127"/>
      <c r="Q16" s="1127"/>
      <c r="R16" s="1127"/>
      <c r="S16" s="1127"/>
      <c r="T16" s="1127"/>
      <c r="U16" s="1130"/>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c r="UV16" s="24"/>
      <c r="UW16" s="24"/>
      <c r="UX16" s="24"/>
      <c r="UY16" s="24"/>
      <c r="UZ16" s="24"/>
      <c r="VA16" s="24"/>
      <c r="VB16" s="24"/>
      <c r="VC16" s="24"/>
      <c r="VD16" s="24"/>
      <c r="VE16" s="24"/>
      <c r="VF16" s="24"/>
      <c r="VG16" s="24"/>
      <c r="VH16" s="24"/>
      <c r="VI16" s="24"/>
      <c r="VJ16" s="24"/>
      <c r="VK16" s="24"/>
      <c r="VL16" s="24"/>
      <c r="VM16" s="24"/>
      <c r="VN16" s="24"/>
      <c r="VO16" s="24"/>
      <c r="VP16" s="24"/>
      <c r="VQ16" s="24"/>
      <c r="VR16" s="24"/>
      <c r="VS16" s="24"/>
      <c r="VT16" s="24"/>
      <c r="VU16" s="24"/>
      <c r="VV16" s="24"/>
      <c r="VW16" s="24"/>
      <c r="VX16" s="24"/>
      <c r="VY16" s="24"/>
      <c r="VZ16" s="24"/>
      <c r="WA16" s="24"/>
      <c r="WB16" s="24"/>
      <c r="WC16" s="24"/>
      <c r="WD16" s="24"/>
      <c r="WE16" s="24"/>
      <c r="WF16" s="24"/>
      <c r="WG16" s="24"/>
      <c r="WH16" s="24"/>
      <c r="WI16" s="24"/>
      <c r="WJ16" s="24"/>
      <c r="WK16" s="24"/>
      <c r="WL16" s="24"/>
      <c r="WM16" s="24"/>
      <c r="WN16" s="24"/>
      <c r="WO16" s="24"/>
      <c r="WP16" s="24"/>
      <c r="WQ16" s="24"/>
      <c r="WR16" s="24"/>
      <c r="WS16" s="24"/>
      <c r="WT16" s="24"/>
      <c r="WU16" s="24"/>
      <c r="WV16" s="24"/>
      <c r="WW16" s="24"/>
      <c r="WX16" s="24"/>
      <c r="WY16" s="24"/>
      <c r="WZ16" s="24"/>
      <c r="XA16" s="24"/>
      <c r="XB16" s="24"/>
      <c r="XC16" s="24"/>
      <c r="XD16" s="24"/>
      <c r="XE16" s="24"/>
      <c r="XF16" s="24"/>
      <c r="XG16" s="24"/>
      <c r="XH16" s="24"/>
      <c r="XI16" s="24"/>
      <c r="XJ16" s="24"/>
      <c r="XK16" s="24"/>
      <c r="XL16" s="24"/>
      <c r="XM16" s="24"/>
      <c r="XN16" s="24"/>
      <c r="XO16" s="24"/>
      <c r="XP16" s="24"/>
      <c r="XQ16" s="24"/>
      <c r="XR16" s="24"/>
      <c r="XS16" s="24"/>
      <c r="XT16" s="24"/>
      <c r="XU16" s="24"/>
      <c r="XV16" s="24"/>
      <c r="XW16" s="24"/>
      <c r="XX16" s="24"/>
      <c r="XY16" s="24"/>
      <c r="XZ16" s="24"/>
      <c r="YA16" s="24"/>
      <c r="YB16" s="24"/>
      <c r="YC16" s="24"/>
      <c r="YD16" s="24"/>
      <c r="YE16" s="24"/>
      <c r="YF16" s="24"/>
      <c r="YG16" s="24"/>
      <c r="YH16" s="24"/>
      <c r="YI16" s="24"/>
      <c r="YJ16" s="24"/>
      <c r="YK16" s="24"/>
      <c r="YL16" s="24"/>
      <c r="YM16" s="24"/>
      <c r="YN16" s="24"/>
      <c r="YO16" s="24"/>
      <c r="YP16" s="24"/>
      <c r="YQ16" s="24"/>
      <c r="YR16" s="24"/>
      <c r="YS16" s="24"/>
      <c r="YT16" s="24"/>
      <c r="YU16" s="24"/>
      <c r="YV16" s="24"/>
      <c r="YW16" s="24"/>
      <c r="YX16" s="24"/>
      <c r="YY16" s="24"/>
      <c r="YZ16" s="24"/>
      <c r="ZA16" s="24"/>
      <c r="ZB16" s="24"/>
      <c r="ZC16" s="24"/>
      <c r="ZD16" s="24"/>
      <c r="ZE16" s="24"/>
      <c r="ZF16" s="24"/>
      <c r="ZG16" s="24"/>
      <c r="ZH16" s="24"/>
      <c r="ZI16" s="24"/>
      <c r="ZJ16" s="24"/>
      <c r="ZK16" s="24"/>
      <c r="ZL16" s="24"/>
      <c r="ZM16" s="24"/>
      <c r="ZN16" s="24"/>
      <c r="ZO16" s="24"/>
      <c r="ZP16" s="24"/>
      <c r="ZQ16" s="24"/>
      <c r="ZR16" s="24"/>
      <c r="ZS16" s="24"/>
      <c r="ZT16" s="24"/>
      <c r="ZU16" s="24"/>
      <c r="ZV16" s="24"/>
      <c r="ZW16" s="24"/>
      <c r="ZX16" s="24"/>
      <c r="ZY16" s="24"/>
      <c r="ZZ16" s="24"/>
      <c r="AAA16" s="24"/>
      <c r="AAB16" s="24"/>
      <c r="AAC16" s="24"/>
      <c r="AAD16" s="24"/>
      <c r="AAE16" s="24"/>
      <c r="AAF16" s="24"/>
      <c r="AAG16" s="24"/>
      <c r="AAH16" s="24"/>
      <c r="AAI16" s="24"/>
      <c r="AAJ16" s="24"/>
      <c r="AAK16" s="24"/>
      <c r="AAL16" s="24"/>
      <c r="AAM16" s="24"/>
      <c r="AAN16" s="24"/>
      <c r="AAO16" s="24"/>
      <c r="AAP16" s="24"/>
      <c r="AAQ16" s="24"/>
      <c r="AAR16" s="24"/>
      <c r="AAS16" s="24"/>
      <c r="AAT16" s="24"/>
      <c r="AAU16" s="24"/>
      <c r="AAV16" s="24"/>
      <c r="AAW16" s="24"/>
      <c r="AAX16" s="24"/>
      <c r="AAY16" s="24"/>
      <c r="AAZ16" s="24"/>
      <c r="ABA16" s="24"/>
      <c r="ABB16" s="24"/>
      <c r="ABC16" s="24"/>
      <c r="ABD16" s="24"/>
      <c r="ABE16" s="24"/>
      <c r="ABF16" s="24"/>
      <c r="ABG16" s="24"/>
      <c r="ABH16" s="24"/>
      <c r="ABI16" s="24"/>
      <c r="ABJ16" s="24"/>
      <c r="ABK16" s="24"/>
      <c r="ABL16" s="24"/>
      <c r="ABM16" s="24"/>
      <c r="ABN16" s="24"/>
      <c r="ABO16" s="24"/>
      <c r="ABP16" s="24"/>
      <c r="ABQ16" s="24"/>
      <c r="ABR16" s="24"/>
      <c r="ABS16" s="24"/>
      <c r="ABT16" s="24"/>
      <c r="ABU16" s="24"/>
      <c r="ABV16" s="24"/>
      <c r="ABW16" s="24"/>
      <c r="ABX16" s="24"/>
      <c r="ABY16" s="24"/>
      <c r="ABZ16" s="24"/>
      <c r="ACA16" s="24"/>
      <c r="ACB16" s="24"/>
      <c r="ACC16" s="24"/>
      <c r="ACD16" s="24"/>
      <c r="ACE16" s="24"/>
      <c r="ACF16" s="24"/>
      <c r="ACG16" s="24"/>
      <c r="ACH16" s="24"/>
      <c r="ACI16" s="24"/>
      <c r="ACJ16" s="24"/>
      <c r="ACK16" s="24"/>
      <c r="ACL16" s="24"/>
      <c r="ACM16" s="24"/>
      <c r="ACN16" s="24"/>
      <c r="ACO16" s="24"/>
      <c r="ACP16" s="24"/>
      <c r="ACQ16" s="24"/>
      <c r="ACR16" s="24"/>
      <c r="ACS16" s="24"/>
      <c r="ACT16" s="24"/>
      <c r="ACU16" s="24"/>
      <c r="ACV16" s="24"/>
      <c r="ACW16" s="24"/>
      <c r="ACX16" s="24"/>
      <c r="ACY16" s="24"/>
      <c r="ACZ16" s="24"/>
      <c r="ADA16" s="24"/>
      <c r="ADB16" s="24"/>
      <c r="ADC16" s="24"/>
      <c r="ADD16" s="24"/>
      <c r="ADE16" s="24"/>
      <c r="ADF16" s="24"/>
      <c r="ADG16" s="24"/>
      <c r="ADH16" s="24"/>
      <c r="ADI16" s="24"/>
      <c r="ADJ16" s="24"/>
      <c r="ADK16" s="24"/>
      <c r="ADL16" s="24"/>
      <c r="ADM16" s="24"/>
      <c r="ADN16" s="24"/>
      <c r="ADO16" s="24"/>
      <c r="ADP16" s="24"/>
      <c r="ADQ16" s="24"/>
      <c r="ADR16" s="24"/>
      <c r="ADS16" s="24"/>
      <c r="ADT16" s="24"/>
      <c r="ADU16" s="24"/>
      <c r="ADV16" s="24"/>
      <c r="ADW16" s="24"/>
      <c r="ADX16" s="24"/>
      <c r="ADY16" s="24"/>
      <c r="ADZ16" s="24"/>
      <c r="AEA16" s="24"/>
      <c r="AEB16" s="24"/>
      <c r="AEC16" s="24"/>
      <c r="AED16" s="24"/>
      <c r="AEE16" s="24"/>
      <c r="AEF16" s="24"/>
      <c r="AEG16" s="24"/>
      <c r="AEH16" s="24"/>
      <c r="AEI16" s="24"/>
      <c r="AEJ16" s="24"/>
      <c r="AEK16" s="24"/>
      <c r="AEL16" s="24"/>
      <c r="AEM16" s="24"/>
      <c r="AEN16" s="24"/>
      <c r="AEO16" s="24"/>
      <c r="AEP16" s="24"/>
      <c r="AEQ16" s="24"/>
      <c r="AER16" s="24"/>
      <c r="AES16" s="24"/>
      <c r="AET16" s="24"/>
      <c r="AEU16" s="24"/>
      <c r="AEV16" s="24"/>
      <c r="AEW16" s="24"/>
      <c r="AEX16" s="24"/>
      <c r="AEY16" s="24"/>
      <c r="AEZ16" s="24"/>
      <c r="AFA16" s="24"/>
      <c r="AFB16" s="24"/>
      <c r="AFC16" s="24"/>
      <c r="AFD16" s="24"/>
      <c r="AFE16" s="24"/>
      <c r="AFF16" s="24"/>
      <c r="AFG16" s="24"/>
      <c r="AFH16" s="24"/>
      <c r="AFI16" s="24"/>
      <c r="AFJ16" s="24"/>
      <c r="AFK16" s="24"/>
      <c r="AFL16" s="24"/>
      <c r="AFM16" s="24"/>
      <c r="AFN16" s="24"/>
      <c r="AFO16" s="24"/>
      <c r="AFP16" s="24"/>
      <c r="AFQ16" s="24"/>
      <c r="AFR16" s="24"/>
      <c r="AFS16" s="24"/>
      <c r="AFT16" s="24"/>
      <c r="AFU16" s="24"/>
      <c r="AFV16" s="24"/>
      <c r="AFW16" s="24"/>
      <c r="AFX16" s="24"/>
      <c r="AFY16" s="24"/>
      <c r="AFZ16" s="24"/>
      <c r="AGA16" s="24"/>
      <c r="AGB16" s="24"/>
      <c r="AGC16" s="24"/>
      <c r="AGD16" s="24"/>
      <c r="AGE16" s="24"/>
      <c r="AGF16" s="24"/>
      <c r="AGG16" s="24"/>
      <c r="AGH16" s="24"/>
      <c r="AGI16" s="24"/>
      <c r="AGJ16" s="24"/>
      <c r="AGK16" s="24"/>
      <c r="AGL16" s="24"/>
      <c r="AGM16" s="24"/>
      <c r="AGN16" s="24"/>
      <c r="AGO16" s="24"/>
      <c r="AGP16" s="24"/>
      <c r="AGQ16" s="24"/>
      <c r="AGR16" s="24"/>
      <c r="AGS16" s="24"/>
      <c r="AGT16" s="24"/>
      <c r="AGU16" s="24"/>
      <c r="AGV16" s="24"/>
      <c r="AGW16" s="24"/>
      <c r="AGX16" s="24"/>
      <c r="AGY16" s="24"/>
      <c r="AGZ16" s="24"/>
      <c r="AHA16" s="24"/>
      <c r="AHB16" s="24"/>
      <c r="AHC16" s="24"/>
      <c r="AHD16" s="24"/>
      <c r="AHE16" s="24"/>
      <c r="AHF16" s="24"/>
      <c r="AHG16" s="24"/>
      <c r="AHH16" s="24"/>
      <c r="AHI16" s="24"/>
      <c r="AHJ16" s="24"/>
      <c r="AHK16" s="24"/>
      <c r="AHL16" s="24"/>
      <c r="AHM16" s="24"/>
      <c r="AHN16" s="24"/>
      <c r="AHO16" s="24"/>
      <c r="AHP16" s="24"/>
      <c r="AHQ16" s="24"/>
      <c r="AHR16" s="24"/>
      <c r="AHS16" s="24"/>
      <c r="AHT16" s="24"/>
      <c r="AHU16" s="24"/>
      <c r="AHV16" s="24"/>
      <c r="AHW16" s="24"/>
      <c r="AHX16" s="24"/>
      <c r="AHY16" s="24"/>
      <c r="AHZ16" s="24"/>
      <c r="AIA16" s="24"/>
      <c r="AIB16" s="24"/>
      <c r="AIC16" s="24"/>
      <c r="AID16" s="24"/>
      <c r="AIE16" s="24"/>
      <c r="AIF16" s="24"/>
      <c r="AIG16" s="24"/>
      <c r="AIH16" s="24"/>
      <c r="AII16" s="24"/>
      <c r="AIJ16" s="24"/>
      <c r="AIK16" s="24"/>
      <c r="AIL16" s="24"/>
      <c r="AIM16" s="24"/>
      <c r="AIN16" s="24"/>
      <c r="AIO16" s="24"/>
      <c r="AIP16" s="24"/>
      <c r="AIQ16" s="24"/>
      <c r="AIR16" s="24"/>
      <c r="AIS16" s="24"/>
      <c r="AIT16" s="24"/>
      <c r="AIU16" s="24"/>
      <c r="AIV16" s="24"/>
      <c r="AIW16" s="24"/>
      <c r="AIX16" s="24"/>
      <c r="AIY16" s="24"/>
      <c r="AIZ16" s="24"/>
      <c r="AJA16" s="24"/>
      <c r="AJB16" s="24"/>
      <c r="AJC16" s="24"/>
      <c r="AJD16" s="24"/>
      <c r="AJE16" s="24"/>
      <c r="AJF16" s="24"/>
      <c r="AJG16" s="24"/>
      <c r="AJH16" s="24"/>
      <c r="AJI16" s="24"/>
      <c r="AJJ16" s="24"/>
      <c r="AJK16" s="24"/>
      <c r="AJL16" s="24"/>
      <c r="AJM16" s="24"/>
      <c r="AJN16" s="24"/>
      <c r="AJO16" s="24"/>
      <c r="AJP16" s="24"/>
      <c r="AJQ16" s="24"/>
      <c r="AJR16" s="24"/>
      <c r="AJS16" s="24"/>
      <c r="AJT16" s="24"/>
      <c r="AJU16" s="24"/>
      <c r="AJV16" s="24"/>
      <c r="AJW16" s="24"/>
      <c r="AJX16" s="24"/>
      <c r="AJY16" s="24"/>
      <c r="AJZ16" s="24"/>
      <c r="AKA16" s="24"/>
      <c r="AKB16" s="24"/>
      <c r="AKC16" s="24"/>
      <c r="AKD16" s="24"/>
      <c r="AKE16" s="24"/>
      <c r="AKF16" s="24"/>
      <c r="AKG16" s="24"/>
      <c r="AKH16" s="24"/>
      <c r="AKI16" s="24"/>
      <c r="AKJ16" s="24"/>
      <c r="AKK16" s="24"/>
      <c r="AKL16" s="24"/>
      <c r="AKM16" s="24"/>
      <c r="AKN16" s="24"/>
      <c r="AKO16" s="24"/>
      <c r="AKP16" s="24"/>
      <c r="AKQ16" s="24"/>
      <c r="AKR16" s="24"/>
      <c r="AKS16" s="24"/>
      <c r="AKT16" s="24"/>
      <c r="AKU16" s="24"/>
      <c r="AKV16" s="24"/>
      <c r="AKW16" s="24"/>
      <c r="AKX16" s="24"/>
      <c r="AKY16" s="24"/>
      <c r="AKZ16" s="24"/>
      <c r="ALA16" s="24"/>
      <c r="ALB16" s="24"/>
      <c r="ALC16" s="24"/>
      <c r="ALD16" s="24"/>
      <c r="ALE16" s="24"/>
      <c r="ALF16" s="24"/>
      <c r="ALG16" s="24"/>
      <c r="ALH16" s="24"/>
      <c r="ALI16" s="24"/>
      <c r="ALJ16" s="24"/>
      <c r="ALK16" s="24"/>
      <c r="ALL16" s="24"/>
      <c r="ALM16" s="24"/>
      <c r="ALN16" s="24"/>
      <c r="ALO16" s="24"/>
      <c r="ALP16" s="24"/>
      <c r="ALQ16" s="24"/>
      <c r="ALR16" s="24"/>
      <c r="ALS16" s="24"/>
      <c r="ALT16" s="24"/>
      <c r="ALU16" s="24"/>
      <c r="ALV16" s="24"/>
      <c r="ALW16" s="24"/>
      <c r="ALX16" s="24"/>
      <c r="ALY16" s="24"/>
      <c r="ALZ16" s="24"/>
      <c r="AMA16" s="24"/>
      <c r="AMB16" s="24"/>
      <c r="AMC16" s="24"/>
      <c r="AMD16" s="24"/>
      <c r="AME16" s="24"/>
      <c r="AMF16" s="24"/>
      <c r="AMG16" s="24"/>
      <c r="AMH16" s="24"/>
    </row>
    <row r="17" spans="2:1022" ht="26.25" thickBot="1">
      <c r="B17" s="603"/>
      <c r="C17" s="1135"/>
      <c r="D17" s="1137"/>
      <c r="E17" s="1140"/>
      <c r="F17" s="592"/>
      <c r="G17" s="1160"/>
      <c r="H17" s="612" t="s">
        <v>1125</v>
      </c>
      <c r="I17" s="612" t="s">
        <v>470</v>
      </c>
      <c r="J17" s="1152"/>
      <c r="K17" s="612" t="s">
        <v>1017</v>
      </c>
      <c r="L17" s="1155"/>
      <c r="M17" s="1127"/>
      <c r="N17" s="1127"/>
      <c r="O17" s="1128"/>
      <c r="P17" s="1128"/>
      <c r="Q17" s="1128"/>
      <c r="R17" s="1128"/>
      <c r="S17" s="1128"/>
      <c r="T17" s="1128"/>
      <c r="U17" s="1130"/>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c r="OH17" s="24"/>
      <c r="OI17" s="24"/>
      <c r="OJ17" s="24"/>
      <c r="OK17" s="24"/>
      <c r="OL17" s="24"/>
      <c r="OM17" s="24"/>
      <c r="ON17" s="24"/>
      <c r="OO17" s="24"/>
      <c r="OP17" s="24"/>
      <c r="OQ17" s="24"/>
      <c r="OR17" s="24"/>
      <c r="OS17" s="24"/>
      <c r="OT17" s="24"/>
      <c r="OU17" s="24"/>
      <c r="OV17" s="24"/>
      <c r="OW17" s="24"/>
      <c r="OX17" s="24"/>
      <c r="OY17" s="24"/>
      <c r="OZ17" s="24"/>
      <c r="PA17" s="24"/>
      <c r="PB17" s="24"/>
      <c r="PC17" s="24"/>
      <c r="PD17" s="24"/>
      <c r="PE17" s="24"/>
      <c r="PF17" s="24"/>
      <c r="PG17" s="24"/>
      <c r="PH17" s="24"/>
      <c r="PI17" s="24"/>
      <c r="PJ17" s="24"/>
      <c r="PK17" s="24"/>
      <c r="PL17" s="24"/>
      <c r="PM17" s="24"/>
      <c r="PN17" s="24"/>
      <c r="PO17" s="24"/>
      <c r="PP17" s="24"/>
      <c r="PQ17" s="24"/>
      <c r="PR17" s="24"/>
      <c r="PS17" s="24"/>
      <c r="PT17" s="24"/>
      <c r="PU17" s="24"/>
      <c r="PV17" s="24"/>
      <c r="PW17" s="24"/>
      <c r="PX17" s="24"/>
      <c r="PY17" s="24"/>
      <c r="PZ17" s="24"/>
      <c r="QA17" s="24"/>
      <c r="QB17" s="24"/>
      <c r="QC17" s="24"/>
      <c r="QD17" s="24"/>
      <c r="QE17" s="24"/>
      <c r="QF17" s="24"/>
      <c r="QG17" s="24"/>
      <c r="QH17" s="24"/>
      <c r="QI17" s="24"/>
      <c r="QJ17" s="24"/>
      <c r="QK17" s="24"/>
      <c r="QL17" s="24"/>
      <c r="QM17" s="24"/>
      <c r="QN17" s="24"/>
      <c r="QO17" s="24"/>
      <c r="QP17" s="24"/>
      <c r="QQ17" s="24"/>
      <c r="QR17" s="24"/>
      <c r="QS17" s="24"/>
      <c r="QT17" s="24"/>
      <c r="QU17" s="24"/>
      <c r="QV17" s="24"/>
      <c r="QW17" s="24"/>
      <c r="QX17" s="24"/>
      <c r="QY17" s="24"/>
      <c r="QZ17" s="24"/>
      <c r="RA17" s="24"/>
      <c r="RB17" s="24"/>
      <c r="RC17" s="24"/>
      <c r="RD17" s="24"/>
      <c r="RE17" s="24"/>
      <c r="RF17" s="24"/>
      <c r="RG17" s="24"/>
      <c r="RH17" s="24"/>
      <c r="RI17" s="24"/>
      <c r="RJ17" s="24"/>
      <c r="RK17" s="24"/>
      <c r="RL17" s="24"/>
      <c r="RM17" s="24"/>
      <c r="RN17" s="24"/>
      <c r="RO17" s="24"/>
      <c r="RP17" s="24"/>
      <c r="RQ17" s="24"/>
      <c r="RR17" s="24"/>
      <c r="RS17" s="24"/>
      <c r="RT17" s="24"/>
      <c r="RU17" s="24"/>
      <c r="RV17" s="24"/>
      <c r="RW17" s="24"/>
      <c r="RX17" s="24"/>
      <c r="RY17" s="24"/>
      <c r="RZ17" s="24"/>
      <c r="SA17" s="24"/>
      <c r="SB17" s="24"/>
      <c r="SC17" s="24"/>
      <c r="SD17" s="24"/>
      <c r="SE17" s="24"/>
      <c r="SF17" s="24"/>
      <c r="SG17" s="24"/>
      <c r="SH17" s="24"/>
      <c r="SI17" s="24"/>
      <c r="SJ17" s="24"/>
      <c r="SK17" s="24"/>
      <c r="SL17" s="24"/>
      <c r="SM17" s="24"/>
      <c r="SN17" s="24"/>
      <c r="SO17" s="24"/>
      <c r="SP17" s="24"/>
      <c r="SQ17" s="24"/>
      <c r="SR17" s="24"/>
      <c r="SS17" s="24"/>
      <c r="ST17" s="24"/>
      <c r="SU17" s="24"/>
      <c r="SV17" s="24"/>
      <c r="SW17" s="24"/>
      <c r="SX17" s="24"/>
      <c r="SY17" s="24"/>
      <c r="SZ17" s="24"/>
      <c r="TA17" s="24"/>
      <c r="TB17" s="24"/>
      <c r="TC17" s="24"/>
      <c r="TD17" s="24"/>
      <c r="TE17" s="24"/>
      <c r="TF17" s="24"/>
      <c r="TG17" s="24"/>
      <c r="TH17" s="24"/>
      <c r="TI17" s="24"/>
      <c r="TJ17" s="24"/>
      <c r="TK17" s="24"/>
      <c r="TL17" s="24"/>
      <c r="TM17" s="24"/>
      <c r="TN17" s="24"/>
      <c r="TO17" s="24"/>
      <c r="TP17" s="24"/>
      <c r="TQ17" s="24"/>
      <c r="TR17" s="24"/>
      <c r="TS17" s="24"/>
      <c r="TT17" s="24"/>
      <c r="TU17" s="24"/>
      <c r="TV17" s="24"/>
      <c r="TW17" s="24"/>
      <c r="TX17" s="24"/>
      <c r="TY17" s="24"/>
      <c r="TZ17" s="24"/>
      <c r="UA17" s="24"/>
      <c r="UB17" s="24"/>
      <c r="UC17" s="24"/>
      <c r="UD17" s="24"/>
      <c r="UE17" s="24"/>
      <c r="UF17" s="24"/>
      <c r="UG17" s="24"/>
      <c r="UH17" s="24"/>
      <c r="UI17" s="24"/>
      <c r="UJ17" s="24"/>
      <c r="UK17" s="24"/>
      <c r="UL17" s="24"/>
      <c r="UM17" s="24"/>
      <c r="UN17" s="24"/>
      <c r="UO17" s="24"/>
      <c r="UP17" s="24"/>
      <c r="UQ17" s="24"/>
      <c r="UR17" s="24"/>
      <c r="US17" s="24"/>
      <c r="UT17" s="24"/>
      <c r="UU17" s="24"/>
      <c r="UV17" s="24"/>
      <c r="UW17" s="24"/>
      <c r="UX17" s="24"/>
      <c r="UY17" s="24"/>
      <c r="UZ17" s="24"/>
      <c r="VA17" s="24"/>
      <c r="VB17" s="24"/>
      <c r="VC17" s="24"/>
      <c r="VD17" s="24"/>
      <c r="VE17" s="24"/>
      <c r="VF17" s="24"/>
      <c r="VG17" s="24"/>
      <c r="VH17" s="24"/>
      <c r="VI17" s="24"/>
      <c r="VJ17" s="24"/>
      <c r="VK17" s="24"/>
      <c r="VL17" s="24"/>
      <c r="VM17" s="24"/>
      <c r="VN17" s="24"/>
      <c r="VO17" s="24"/>
      <c r="VP17" s="24"/>
      <c r="VQ17" s="24"/>
      <c r="VR17" s="24"/>
      <c r="VS17" s="24"/>
      <c r="VT17" s="24"/>
      <c r="VU17" s="24"/>
      <c r="VV17" s="24"/>
      <c r="VW17" s="24"/>
      <c r="VX17" s="24"/>
      <c r="VY17" s="24"/>
      <c r="VZ17" s="24"/>
      <c r="WA17" s="24"/>
      <c r="WB17" s="24"/>
      <c r="WC17" s="24"/>
      <c r="WD17" s="24"/>
      <c r="WE17" s="24"/>
      <c r="WF17" s="24"/>
      <c r="WG17" s="24"/>
      <c r="WH17" s="24"/>
      <c r="WI17" s="24"/>
      <c r="WJ17" s="24"/>
      <c r="WK17" s="24"/>
      <c r="WL17" s="24"/>
      <c r="WM17" s="24"/>
      <c r="WN17" s="24"/>
      <c r="WO17" s="24"/>
      <c r="WP17" s="24"/>
      <c r="WQ17" s="24"/>
      <c r="WR17" s="24"/>
      <c r="WS17" s="24"/>
      <c r="WT17" s="24"/>
      <c r="WU17" s="24"/>
      <c r="WV17" s="24"/>
      <c r="WW17" s="24"/>
      <c r="WX17" s="24"/>
      <c r="WY17" s="24"/>
      <c r="WZ17" s="24"/>
      <c r="XA17" s="24"/>
      <c r="XB17" s="24"/>
      <c r="XC17" s="24"/>
      <c r="XD17" s="24"/>
      <c r="XE17" s="24"/>
      <c r="XF17" s="24"/>
      <c r="XG17" s="24"/>
      <c r="XH17" s="24"/>
      <c r="XI17" s="24"/>
      <c r="XJ17" s="24"/>
      <c r="XK17" s="24"/>
      <c r="XL17" s="24"/>
      <c r="XM17" s="24"/>
      <c r="XN17" s="24"/>
      <c r="XO17" s="24"/>
      <c r="XP17" s="24"/>
      <c r="XQ17" s="24"/>
      <c r="XR17" s="24"/>
      <c r="XS17" s="24"/>
      <c r="XT17" s="24"/>
      <c r="XU17" s="24"/>
      <c r="XV17" s="24"/>
      <c r="XW17" s="24"/>
      <c r="XX17" s="24"/>
      <c r="XY17" s="24"/>
      <c r="XZ17" s="24"/>
      <c r="YA17" s="24"/>
      <c r="YB17" s="24"/>
      <c r="YC17" s="24"/>
      <c r="YD17" s="24"/>
      <c r="YE17" s="24"/>
      <c r="YF17" s="24"/>
      <c r="YG17" s="24"/>
      <c r="YH17" s="24"/>
      <c r="YI17" s="24"/>
      <c r="YJ17" s="24"/>
      <c r="YK17" s="24"/>
      <c r="YL17" s="24"/>
      <c r="YM17" s="24"/>
      <c r="YN17" s="24"/>
      <c r="YO17" s="24"/>
      <c r="YP17" s="24"/>
      <c r="YQ17" s="24"/>
      <c r="YR17" s="24"/>
      <c r="YS17" s="24"/>
      <c r="YT17" s="24"/>
      <c r="YU17" s="24"/>
      <c r="YV17" s="24"/>
      <c r="YW17" s="24"/>
      <c r="YX17" s="24"/>
      <c r="YY17" s="24"/>
      <c r="YZ17" s="24"/>
      <c r="ZA17" s="24"/>
      <c r="ZB17" s="24"/>
      <c r="ZC17" s="24"/>
      <c r="ZD17" s="24"/>
      <c r="ZE17" s="24"/>
      <c r="ZF17" s="24"/>
      <c r="ZG17" s="24"/>
      <c r="ZH17" s="24"/>
      <c r="ZI17" s="24"/>
      <c r="ZJ17" s="24"/>
      <c r="ZK17" s="24"/>
      <c r="ZL17" s="24"/>
      <c r="ZM17" s="24"/>
      <c r="ZN17" s="24"/>
      <c r="ZO17" s="24"/>
      <c r="ZP17" s="24"/>
      <c r="ZQ17" s="24"/>
      <c r="ZR17" s="24"/>
      <c r="ZS17" s="24"/>
      <c r="ZT17" s="24"/>
      <c r="ZU17" s="24"/>
      <c r="ZV17" s="24"/>
      <c r="ZW17" s="24"/>
      <c r="ZX17" s="24"/>
      <c r="ZY17" s="24"/>
      <c r="ZZ17" s="24"/>
      <c r="AAA17" s="24"/>
      <c r="AAB17" s="24"/>
      <c r="AAC17" s="24"/>
      <c r="AAD17" s="24"/>
      <c r="AAE17" s="24"/>
      <c r="AAF17" s="24"/>
      <c r="AAG17" s="24"/>
      <c r="AAH17" s="24"/>
      <c r="AAI17" s="24"/>
      <c r="AAJ17" s="24"/>
      <c r="AAK17" s="24"/>
      <c r="AAL17" s="24"/>
      <c r="AAM17" s="24"/>
      <c r="AAN17" s="24"/>
      <c r="AAO17" s="24"/>
      <c r="AAP17" s="24"/>
      <c r="AAQ17" s="24"/>
      <c r="AAR17" s="24"/>
      <c r="AAS17" s="24"/>
      <c r="AAT17" s="24"/>
      <c r="AAU17" s="24"/>
      <c r="AAV17" s="24"/>
      <c r="AAW17" s="24"/>
      <c r="AAX17" s="24"/>
      <c r="AAY17" s="24"/>
      <c r="AAZ17" s="24"/>
      <c r="ABA17" s="24"/>
      <c r="ABB17" s="24"/>
      <c r="ABC17" s="24"/>
      <c r="ABD17" s="24"/>
      <c r="ABE17" s="24"/>
      <c r="ABF17" s="24"/>
      <c r="ABG17" s="24"/>
      <c r="ABH17" s="24"/>
      <c r="ABI17" s="24"/>
      <c r="ABJ17" s="24"/>
      <c r="ABK17" s="24"/>
      <c r="ABL17" s="24"/>
      <c r="ABM17" s="24"/>
      <c r="ABN17" s="24"/>
      <c r="ABO17" s="24"/>
      <c r="ABP17" s="24"/>
      <c r="ABQ17" s="24"/>
      <c r="ABR17" s="24"/>
      <c r="ABS17" s="24"/>
      <c r="ABT17" s="24"/>
      <c r="ABU17" s="24"/>
      <c r="ABV17" s="24"/>
      <c r="ABW17" s="24"/>
      <c r="ABX17" s="24"/>
      <c r="ABY17" s="24"/>
      <c r="ABZ17" s="24"/>
      <c r="ACA17" s="24"/>
      <c r="ACB17" s="24"/>
      <c r="ACC17" s="24"/>
      <c r="ACD17" s="24"/>
      <c r="ACE17" s="24"/>
      <c r="ACF17" s="24"/>
      <c r="ACG17" s="24"/>
      <c r="ACH17" s="24"/>
      <c r="ACI17" s="24"/>
      <c r="ACJ17" s="24"/>
      <c r="ACK17" s="24"/>
      <c r="ACL17" s="24"/>
      <c r="ACM17" s="24"/>
      <c r="ACN17" s="24"/>
      <c r="ACO17" s="24"/>
      <c r="ACP17" s="24"/>
      <c r="ACQ17" s="24"/>
      <c r="ACR17" s="24"/>
      <c r="ACS17" s="24"/>
      <c r="ACT17" s="24"/>
      <c r="ACU17" s="24"/>
      <c r="ACV17" s="24"/>
      <c r="ACW17" s="24"/>
      <c r="ACX17" s="24"/>
      <c r="ACY17" s="24"/>
      <c r="ACZ17" s="24"/>
      <c r="ADA17" s="24"/>
      <c r="ADB17" s="24"/>
      <c r="ADC17" s="24"/>
      <c r="ADD17" s="24"/>
      <c r="ADE17" s="24"/>
      <c r="ADF17" s="24"/>
      <c r="ADG17" s="24"/>
      <c r="ADH17" s="24"/>
      <c r="ADI17" s="24"/>
      <c r="ADJ17" s="24"/>
      <c r="ADK17" s="24"/>
      <c r="ADL17" s="24"/>
      <c r="ADM17" s="24"/>
      <c r="ADN17" s="24"/>
      <c r="ADO17" s="24"/>
      <c r="ADP17" s="24"/>
      <c r="ADQ17" s="24"/>
      <c r="ADR17" s="24"/>
      <c r="ADS17" s="24"/>
      <c r="ADT17" s="24"/>
      <c r="ADU17" s="24"/>
      <c r="ADV17" s="24"/>
      <c r="ADW17" s="24"/>
      <c r="ADX17" s="24"/>
      <c r="ADY17" s="24"/>
      <c r="ADZ17" s="24"/>
      <c r="AEA17" s="24"/>
      <c r="AEB17" s="24"/>
      <c r="AEC17" s="24"/>
      <c r="AED17" s="24"/>
      <c r="AEE17" s="24"/>
      <c r="AEF17" s="24"/>
      <c r="AEG17" s="24"/>
      <c r="AEH17" s="24"/>
      <c r="AEI17" s="24"/>
      <c r="AEJ17" s="24"/>
      <c r="AEK17" s="24"/>
      <c r="AEL17" s="24"/>
      <c r="AEM17" s="24"/>
      <c r="AEN17" s="24"/>
      <c r="AEO17" s="24"/>
      <c r="AEP17" s="24"/>
      <c r="AEQ17" s="24"/>
      <c r="AER17" s="24"/>
      <c r="AES17" s="24"/>
      <c r="AET17" s="24"/>
      <c r="AEU17" s="24"/>
      <c r="AEV17" s="24"/>
      <c r="AEW17" s="24"/>
      <c r="AEX17" s="24"/>
      <c r="AEY17" s="24"/>
      <c r="AEZ17" s="24"/>
      <c r="AFA17" s="24"/>
      <c r="AFB17" s="24"/>
      <c r="AFC17" s="24"/>
      <c r="AFD17" s="24"/>
      <c r="AFE17" s="24"/>
      <c r="AFF17" s="24"/>
      <c r="AFG17" s="24"/>
      <c r="AFH17" s="24"/>
      <c r="AFI17" s="24"/>
      <c r="AFJ17" s="24"/>
      <c r="AFK17" s="24"/>
      <c r="AFL17" s="24"/>
      <c r="AFM17" s="24"/>
      <c r="AFN17" s="24"/>
      <c r="AFO17" s="24"/>
      <c r="AFP17" s="24"/>
      <c r="AFQ17" s="24"/>
      <c r="AFR17" s="24"/>
      <c r="AFS17" s="24"/>
      <c r="AFT17" s="24"/>
      <c r="AFU17" s="24"/>
      <c r="AFV17" s="24"/>
      <c r="AFW17" s="24"/>
      <c r="AFX17" s="24"/>
      <c r="AFY17" s="24"/>
      <c r="AFZ17" s="24"/>
      <c r="AGA17" s="24"/>
      <c r="AGB17" s="24"/>
      <c r="AGC17" s="24"/>
      <c r="AGD17" s="24"/>
      <c r="AGE17" s="24"/>
      <c r="AGF17" s="24"/>
      <c r="AGG17" s="24"/>
      <c r="AGH17" s="24"/>
      <c r="AGI17" s="24"/>
      <c r="AGJ17" s="24"/>
      <c r="AGK17" s="24"/>
      <c r="AGL17" s="24"/>
      <c r="AGM17" s="24"/>
      <c r="AGN17" s="24"/>
      <c r="AGO17" s="24"/>
      <c r="AGP17" s="24"/>
      <c r="AGQ17" s="24"/>
      <c r="AGR17" s="24"/>
      <c r="AGS17" s="24"/>
      <c r="AGT17" s="24"/>
      <c r="AGU17" s="24"/>
      <c r="AGV17" s="24"/>
      <c r="AGW17" s="24"/>
      <c r="AGX17" s="24"/>
      <c r="AGY17" s="24"/>
      <c r="AGZ17" s="24"/>
      <c r="AHA17" s="24"/>
      <c r="AHB17" s="24"/>
      <c r="AHC17" s="24"/>
      <c r="AHD17" s="24"/>
      <c r="AHE17" s="24"/>
      <c r="AHF17" s="24"/>
      <c r="AHG17" s="24"/>
      <c r="AHH17" s="24"/>
      <c r="AHI17" s="24"/>
      <c r="AHJ17" s="24"/>
      <c r="AHK17" s="24"/>
      <c r="AHL17" s="24"/>
      <c r="AHM17" s="24"/>
      <c r="AHN17" s="24"/>
      <c r="AHO17" s="24"/>
      <c r="AHP17" s="24"/>
      <c r="AHQ17" s="24"/>
      <c r="AHR17" s="24"/>
      <c r="AHS17" s="24"/>
      <c r="AHT17" s="24"/>
      <c r="AHU17" s="24"/>
      <c r="AHV17" s="24"/>
      <c r="AHW17" s="24"/>
      <c r="AHX17" s="24"/>
      <c r="AHY17" s="24"/>
      <c r="AHZ17" s="24"/>
      <c r="AIA17" s="24"/>
      <c r="AIB17" s="24"/>
      <c r="AIC17" s="24"/>
      <c r="AID17" s="24"/>
      <c r="AIE17" s="24"/>
      <c r="AIF17" s="24"/>
      <c r="AIG17" s="24"/>
      <c r="AIH17" s="24"/>
      <c r="AII17" s="24"/>
      <c r="AIJ17" s="24"/>
      <c r="AIK17" s="24"/>
      <c r="AIL17" s="24"/>
      <c r="AIM17" s="24"/>
      <c r="AIN17" s="24"/>
      <c r="AIO17" s="24"/>
      <c r="AIP17" s="24"/>
      <c r="AIQ17" s="24"/>
      <c r="AIR17" s="24"/>
      <c r="AIS17" s="24"/>
      <c r="AIT17" s="24"/>
      <c r="AIU17" s="24"/>
      <c r="AIV17" s="24"/>
      <c r="AIW17" s="24"/>
      <c r="AIX17" s="24"/>
      <c r="AIY17" s="24"/>
      <c r="AIZ17" s="24"/>
      <c r="AJA17" s="24"/>
      <c r="AJB17" s="24"/>
      <c r="AJC17" s="24"/>
      <c r="AJD17" s="24"/>
      <c r="AJE17" s="24"/>
      <c r="AJF17" s="24"/>
      <c r="AJG17" s="24"/>
      <c r="AJH17" s="24"/>
      <c r="AJI17" s="24"/>
      <c r="AJJ17" s="24"/>
      <c r="AJK17" s="24"/>
      <c r="AJL17" s="24"/>
      <c r="AJM17" s="24"/>
      <c r="AJN17" s="24"/>
      <c r="AJO17" s="24"/>
      <c r="AJP17" s="24"/>
      <c r="AJQ17" s="24"/>
      <c r="AJR17" s="24"/>
      <c r="AJS17" s="24"/>
      <c r="AJT17" s="24"/>
      <c r="AJU17" s="24"/>
      <c r="AJV17" s="24"/>
      <c r="AJW17" s="24"/>
      <c r="AJX17" s="24"/>
      <c r="AJY17" s="24"/>
      <c r="AJZ17" s="24"/>
      <c r="AKA17" s="24"/>
      <c r="AKB17" s="24"/>
      <c r="AKC17" s="24"/>
      <c r="AKD17" s="24"/>
      <c r="AKE17" s="24"/>
      <c r="AKF17" s="24"/>
      <c r="AKG17" s="24"/>
      <c r="AKH17" s="24"/>
      <c r="AKI17" s="24"/>
      <c r="AKJ17" s="24"/>
      <c r="AKK17" s="24"/>
      <c r="AKL17" s="24"/>
      <c r="AKM17" s="24"/>
      <c r="AKN17" s="24"/>
      <c r="AKO17" s="24"/>
      <c r="AKP17" s="24"/>
      <c r="AKQ17" s="24"/>
      <c r="AKR17" s="24"/>
      <c r="AKS17" s="24"/>
      <c r="AKT17" s="24"/>
      <c r="AKU17" s="24"/>
      <c r="AKV17" s="24"/>
      <c r="AKW17" s="24"/>
      <c r="AKX17" s="24"/>
      <c r="AKY17" s="24"/>
      <c r="AKZ17" s="24"/>
      <c r="ALA17" s="24"/>
      <c r="ALB17" s="24"/>
      <c r="ALC17" s="24"/>
      <c r="ALD17" s="24"/>
      <c r="ALE17" s="24"/>
      <c r="ALF17" s="24"/>
      <c r="ALG17" s="24"/>
      <c r="ALH17" s="24"/>
      <c r="ALI17" s="24"/>
      <c r="ALJ17" s="24"/>
      <c r="ALK17" s="24"/>
      <c r="ALL17" s="24"/>
      <c r="ALM17" s="24"/>
      <c r="ALN17" s="24"/>
      <c r="ALO17" s="24"/>
      <c r="ALP17" s="24"/>
      <c r="ALQ17" s="24"/>
      <c r="ALR17" s="24"/>
      <c r="ALS17" s="24"/>
      <c r="ALT17" s="24"/>
      <c r="ALU17" s="24"/>
      <c r="ALV17" s="24"/>
      <c r="ALW17" s="24"/>
      <c r="ALX17" s="24"/>
      <c r="ALY17" s="24"/>
      <c r="ALZ17" s="24"/>
      <c r="AMA17" s="24"/>
      <c r="AMB17" s="24"/>
      <c r="AMC17" s="24"/>
      <c r="AMD17" s="24"/>
      <c r="AME17" s="24"/>
      <c r="AMF17" s="24"/>
      <c r="AMG17" s="24"/>
      <c r="AMH17" s="24"/>
    </row>
    <row r="18" spans="2:1022" ht="76.5" customHeight="1">
      <c r="B18" s="501"/>
      <c r="C18" s="1134" t="s">
        <v>600</v>
      </c>
      <c r="D18" s="1136" t="s">
        <v>582</v>
      </c>
      <c r="E18" s="1139" t="s">
        <v>903</v>
      </c>
      <c r="F18" s="484"/>
      <c r="G18" s="1140" t="s">
        <v>906</v>
      </c>
      <c r="H18" s="1140" t="s">
        <v>490</v>
      </c>
      <c r="I18" s="1127" t="s">
        <v>926</v>
      </c>
      <c r="J18" s="1126">
        <v>1</v>
      </c>
      <c r="K18" s="602" t="s">
        <v>145</v>
      </c>
      <c r="L18" s="1153" t="s">
        <v>781</v>
      </c>
      <c r="M18" s="1126" t="s">
        <v>912</v>
      </c>
      <c r="N18" s="1127" t="s">
        <v>913</v>
      </c>
      <c r="O18" s="1126" t="s">
        <v>914</v>
      </c>
      <c r="P18" s="1126" t="s">
        <v>190</v>
      </c>
      <c r="Q18" s="1126" t="s">
        <v>780</v>
      </c>
      <c r="R18" s="1126"/>
      <c r="S18" s="1126">
        <v>1</v>
      </c>
      <c r="T18" s="1142" t="s">
        <v>657</v>
      </c>
      <c r="U18" s="1129" t="s">
        <v>917</v>
      </c>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4"/>
      <c r="NV18" s="24"/>
      <c r="NW18" s="24"/>
      <c r="NX18" s="24"/>
      <c r="NY18" s="24"/>
      <c r="NZ18" s="24"/>
      <c r="OA18" s="24"/>
      <c r="OB18" s="24"/>
      <c r="OC18" s="24"/>
      <c r="OD18" s="24"/>
      <c r="OE18" s="24"/>
      <c r="OF18" s="24"/>
      <c r="OG18" s="24"/>
      <c r="OH18" s="24"/>
      <c r="OI18" s="24"/>
      <c r="OJ18" s="24"/>
      <c r="OK18" s="24"/>
      <c r="OL18" s="24"/>
      <c r="OM18" s="24"/>
      <c r="ON18" s="24"/>
      <c r="OO18" s="24"/>
      <c r="OP18" s="24"/>
      <c r="OQ18" s="24"/>
      <c r="OR18" s="24"/>
      <c r="OS18" s="24"/>
      <c r="OT18" s="24"/>
      <c r="OU18" s="24"/>
      <c r="OV18" s="24"/>
      <c r="OW18" s="24"/>
      <c r="OX18" s="24"/>
      <c r="OY18" s="24"/>
      <c r="OZ18" s="24"/>
      <c r="PA18" s="24"/>
      <c r="PB18" s="24"/>
      <c r="PC18" s="24"/>
      <c r="PD18" s="24"/>
      <c r="PE18" s="24"/>
      <c r="PF18" s="24"/>
      <c r="PG18" s="24"/>
      <c r="PH18" s="24"/>
      <c r="PI18" s="24"/>
      <c r="PJ18" s="24"/>
      <c r="PK18" s="24"/>
      <c r="PL18" s="24"/>
      <c r="PM18" s="24"/>
      <c r="PN18" s="24"/>
      <c r="PO18" s="24"/>
      <c r="PP18" s="24"/>
      <c r="PQ18" s="24"/>
      <c r="PR18" s="24"/>
      <c r="PS18" s="24"/>
      <c r="PT18" s="24"/>
      <c r="PU18" s="24"/>
      <c r="PV18" s="24"/>
      <c r="PW18" s="24"/>
      <c r="PX18" s="24"/>
      <c r="PY18" s="24"/>
      <c r="PZ18" s="24"/>
      <c r="QA18" s="24"/>
      <c r="QB18" s="24"/>
      <c r="QC18" s="24"/>
      <c r="QD18" s="24"/>
      <c r="QE18" s="24"/>
      <c r="QF18" s="24"/>
      <c r="QG18" s="24"/>
      <c r="QH18" s="24"/>
      <c r="QI18" s="24"/>
      <c r="QJ18" s="24"/>
      <c r="QK18" s="24"/>
      <c r="QL18" s="24"/>
      <c r="QM18" s="24"/>
      <c r="QN18" s="24"/>
      <c r="QO18" s="24"/>
      <c r="QP18" s="24"/>
      <c r="QQ18" s="24"/>
      <c r="QR18" s="24"/>
      <c r="QS18" s="24"/>
      <c r="QT18" s="24"/>
      <c r="QU18" s="24"/>
      <c r="QV18" s="24"/>
      <c r="QW18" s="24"/>
      <c r="QX18" s="24"/>
      <c r="QY18" s="24"/>
      <c r="QZ18" s="24"/>
      <c r="RA18" s="24"/>
      <c r="RB18" s="24"/>
      <c r="RC18" s="24"/>
      <c r="RD18" s="24"/>
      <c r="RE18" s="24"/>
      <c r="RF18" s="24"/>
      <c r="RG18" s="24"/>
      <c r="RH18" s="24"/>
      <c r="RI18" s="24"/>
      <c r="RJ18" s="24"/>
      <c r="RK18" s="24"/>
      <c r="RL18" s="24"/>
      <c r="RM18" s="24"/>
      <c r="RN18" s="24"/>
      <c r="RO18" s="24"/>
      <c r="RP18" s="24"/>
      <c r="RQ18" s="24"/>
      <c r="RR18" s="24"/>
      <c r="RS18" s="24"/>
      <c r="RT18" s="24"/>
      <c r="RU18" s="24"/>
      <c r="RV18" s="24"/>
      <c r="RW18" s="24"/>
      <c r="RX18" s="24"/>
      <c r="RY18" s="24"/>
      <c r="RZ18" s="24"/>
      <c r="SA18" s="24"/>
      <c r="SB18" s="24"/>
      <c r="SC18" s="24"/>
      <c r="SD18" s="24"/>
      <c r="SE18" s="24"/>
      <c r="SF18" s="24"/>
      <c r="SG18" s="24"/>
      <c r="SH18" s="24"/>
      <c r="SI18" s="24"/>
      <c r="SJ18" s="24"/>
      <c r="SK18" s="24"/>
      <c r="SL18" s="24"/>
      <c r="SM18" s="24"/>
      <c r="SN18" s="24"/>
      <c r="SO18" s="24"/>
      <c r="SP18" s="24"/>
      <c r="SQ18" s="24"/>
      <c r="SR18" s="24"/>
      <c r="SS18" s="24"/>
      <c r="ST18" s="24"/>
      <c r="SU18" s="24"/>
      <c r="SV18" s="24"/>
      <c r="SW18" s="24"/>
      <c r="SX18" s="24"/>
      <c r="SY18" s="24"/>
      <c r="SZ18" s="24"/>
      <c r="TA18" s="24"/>
      <c r="TB18" s="24"/>
      <c r="TC18" s="24"/>
      <c r="TD18" s="24"/>
      <c r="TE18" s="24"/>
      <c r="TF18" s="24"/>
      <c r="TG18" s="24"/>
      <c r="TH18" s="24"/>
      <c r="TI18" s="24"/>
      <c r="TJ18" s="24"/>
      <c r="TK18" s="24"/>
      <c r="TL18" s="24"/>
      <c r="TM18" s="24"/>
      <c r="TN18" s="24"/>
      <c r="TO18" s="24"/>
      <c r="TP18" s="24"/>
      <c r="TQ18" s="24"/>
      <c r="TR18" s="24"/>
      <c r="TS18" s="24"/>
      <c r="TT18" s="24"/>
      <c r="TU18" s="24"/>
      <c r="TV18" s="24"/>
      <c r="TW18" s="24"/>
      <c r="TX18" s="24"/>
      <c r="TY18" s="24"/>
      <c r="TZ18" s="24"/>
      <c r="UA18" s="24"/>
      <c r="UB18" s="24"/>
      <c r="UC18" s="24"/>
      <c r="UD18" s="24"/>
      <c r="UE18" s="24"/>
      <c r="UF18" s="24"/>
      <c r="UG18" s="24"/>
      <c r="UH18" s="24"/>
      <c r="UI18" s="24"/>
      <c r="UJ18" s="24"/>
      <c r="UK18" s="24"/>
      <c r="UL18" s="24"/>
      <c r="UM18" s="24"/>
      <c r="UN18" s="24"/>
      <c r="UO18" s="24"/>
      <c r="UP18" s="24"/>
      <c r="UQ18" s="24"/>
      <c r="UR18" s="24"/>
      <c r="US18" s="24"/>
      <c r="UT18" s="24"/>
      <c r="UU18" s="24"/>
      <c r="UV18" s="24"/>
      <c r="UW18" s="24"/>
      <c r="UX18" s="24"/>
      <c r="UY18" s="24"/>
      <c r="UZ18" s="24"/>
      <c r="VA18" s="24"/>
      <c r="VB18" s="24"/>
      <c r="VC18" s="24"/>
      <c r="VD18" s="24"/>
      <c r="VE18" s="24"/>
      <c r="VF18" s="24"/>
      <c r="VG18" s="24"/>
      <c r="VH18" s="24"/>
      <c r="VI18" s="24"/>
      <c r="VJ18" s="24"/>
      <c r="VK18" s="24"/>
      <c r="VL18" s="24"/>
      <c r="VM18" s="24"/>
      <c r="VN18" s="24"/>
      <c r="VO18" s="24"/>
      <c r="VP18" s="24"/>
      <c r="VQ18" s="24"/>
      <c r="VR18" s="24"/>
      <c r="VS18" s="24"/>
      <c r="VT18" s="24"/>
      <c r="VU18" s="24"/>
      <c r="VV18" s="24"/>
      <c r="VW18" s="24"/>
      <c r="VX18" s="24"/>
      <c r="VY18" s="24"/>
      <c r="VZ18" s="24"/>
      <c r="WA18" s="24"/>
      <c r="WB18" s="24"/>
      <c r="WC18" s="24"/>
      <c r="WD18" s="24"/>
      <c r="WE18" s="24"/>
      <c r="WF18" s="24"/>
      <c r="WG18" s="24"/>
      <c r="WH18" s="24"/>
      <c r="WI18" s="24"/>
      <c r="WJ18" s="24"/>
      <c r="WK18" s="24"/>
      <c r="WL18" s="24"/>
      <c r="WM18" s="24"/>
      <c r="WN18" s="24"/>
      <c r="WO18" s="24"/>
      <c r="WP18" s="24"/>
      <c r="WQ18" s="24"/>
      <c r="WR18" s="24"/>
      <c r="WS18" s="24"/>
      <c r="WT18" s="24"/>
      <c r="WU18" s="24"/>
      <c r="WV18" s="24"/>
      <c r="WW18" s="24"/>
      <c r="WX18" s="24"/>
      <c r="WY18" s="24"/>
      <c r="WZ18" s="24"/>
      <c r="XA18" s="24"/>
      <c r="XB18" s="24"/>
      <c r="XC18" s="24"/>
      <c r="XD18" s="24"/>
      <c r="XE18" s="24"/>
      <c r="XF18" s="24"/>
      <c r="XG18" s="24"/>
      <c r="XH18" s="24"/>
      <c r="XI18" s="24"/>
      <c r="XJ18" s="24"/>
      <c r="XK18" s="24"/>
      <c r="XL18" s="24"/>
      <c r="XM18" s="24"/>
      <c r="XN18" s="24"/>
      <c r="XO18" s="24"/>
      <c r="XP18" s="24"/>
      <c r="XQ18" s="24"/>
      <c r="XR18" s="24"/>
      <c r="XS18" s="24"/>
      <c r="XT18" s="24"/>
      <c r="XU18" s="24"/>
      <c r="XV18" s="24"/>
      <c r="XW18" s="24"/>
      <c r="XX18" s="24"/>
      <c r="XY18" s="24"/>
      <c r="XZ18" s="24"/>
      <c r="YA18" s="24"/>
      <c r="YB18" s="24"/>
      <c r="YC18" s="24"/>
      <c r="YD18" s="24"/>
      <c r="YE18" s="24"/>
      <c r="YF18" s="24"/>
      <c r="YG18" s="24"/>
      <c r="YH18" s="24"/>
      <c r="YI18" s="24"/>
      <c r="YJ18" s="24"/>
      <c r="YK18" s="24"/>
      <c r="YL18" s="24"/>
      <c r="YM18" s="24"/>
      <c r="YN18" s="24"/>
      <c r="YO18" s="24"/>
      <c r="YP18" s="24"/>
      <c r="YQ18" s="24"/>
      <c r="YR18" s="24"/>
      <c r="YS18" s="24"/>
      <c r="YT18" s="24"/>
      <c r="YU18" s="24"/>
      <c r="YV18" s="24"/>
      <c r="YW18" s="24"/>
      <c r="YX18" s="24"/>
      <c r="YY18" s="24"/>
      <c r="YZ18" s="24"/>
      <c r="ZA18" s="24"/>
      <c r="ZB18" s="24"/>
      <c r="ZC18" s="24"/>
      <c r="ZD18" s="24"/>
      <c r="ZE18" s="24"/>
      <c r="ZF18" s="24"/>
      <c r="ZG18" s="24"/>
      <c r="ZH18" s="24"/>
      <c r="ZI18" s="24"/>
      <c r="ZJ18" s="24"/>
      <c r="ZK18" s="24"/>
      <c r="ZL18" s="24"/>
      <c r="ZM18" s="24"/>
      <c r="ZN18" s="24"/>
      <c r="ZO18" s="24"/>
      <c r="ZP18" s="24"/>
      <c r="ZQ18" s="24"/>
      <c r="ZR18" s="24"/>
      <c r="ZS18" s="24"/>
      <c r="ZT18" s="24"/>
      <c r="ZU18" s="24"/>
      <c r="ZV18" s="24"/>
      <c r="ZW18" s="24"/>
      <c r="ZX18" s="24"/>
      <c r="ZY18" s="24"/>
      <c r="ZZ18" s="24"/>
      <c r="AAA18" s="24"/>
      <c r="AAB18" s="24"/>
      <c r="AAC18" s="24"/>
      <c r="AAD18" s="24"/>
      <c r="AAE18" s="24"/>
      <c r="AAF18" s="24"/>
      <c r="AAG18" s="24"/>
      <c r="AAH18" s="24"/>
      <c r="AAI18" s="24"/>
      <c r="AAJ18" s="24"/>
      <c r="AAK18" s="24"/>
      <c r="AAL18" s="24"/>
      <c r="AAM18" s="24"/>
      <c r="AAN18" s="24"/>
      <c r="AAO18" s="24"/>
      <c r="AAP18" s="24"/>
      <c r="AAQ18" s="24"/>
      <c r="AAR18" s="24"/>
      <c r="AAS18" s="24"/>
      <c r="AAT18" s="24"/>
      <c r="AAU18" s="24"/>
      <c r="AAV18" s="24"/>
      <c r="AAW18" s="24"/>
      <c r="AAX18" s="24"/>
      <c r="AAY18" s="24"/>
      <c r="AAZ18" s="24"/>
      <c r="ABA18" s="24"/>
      <c r="ABB18" s="24"/>
      <c r="ABC18" s="24"/>
      <c r="ABD18" s="24"/>
      <c r="ABE18" s="24"/>
      <c r="ABF18" s="24"/>
      <c r="ABG18" s="24"/>
      <c r="ABH18" s="24"/>
      <c r="ABI18" s="24"/>
      <c r="ABJ18" s="24"/>
      <c r="ABK18" s="24"/>
      <c r="ABL18" s="24"/>
      <c r="ABM18" s="24"/>
      <c r="ABN18" s="24"/>
      <c r="ABO18" s="24"/>
      <c r="ABP18" s="24"/>
      <c r="ABQ18" s="24"/>
      <c r="ABR18" s="24"/>
      <c r="ABS18" s="24"/>
      <c r="ABT18" s="24"/>
      <c r="ABU18" s="24"/>
      <c r="ABV18" s="24"/>
      <c r="ABW18" s="24"/>
      <c r="ABX18" s="24"/>
      <c r="ABY18" s="24"/>
      <c r="ABZ18" s="24"/>
      <c r="ACA18" s="24"/>
      <c r="ACB18" s="24"/>
      <c r="ACC18" s="24"/>
      <c r="ACD18" s="24"/>
      <c r="ACE18" s="24"/>
      <c r="ACF18" s="24"/>
      <c r="ACG18" s="24"/>
      <c r="ACH18" s="24"/>
      <c r="ACI18" s="24"/>
      <c r="ACJ18" s="24"/>
      <c r="ACK18" s="24"/>
      <c r="ACL18" s="24"/>
      <c r="ACM18" s="24"/>
      <c r="ACN18" s="24"/>
      <c r="ACO18" s="24"/>
      <c r="ACP18" s="24"/>
      <c r="ACQ18" s="24"/>
      <c r="ACR18" s="24"/>
      <c r="ACS18" s="24"/>
      <c r="ACT18" s="24"/>
      <c r="ACU18" s="24"/>
      <c r="ACV18" s="24"/>
      <c r="ACW18" s="24"/>
      <c r="ACX18" s="24"/>
      <c r="ACY18" s="24"/>
      <c r="ACZ18" s="24"/>
      <c r="ADA18" s="24"/>
      <c r="ADB18" s="24"/>
      <c r="ADC18" s="24"/>
      <c r="ADD18" s="24"/>
      <c r="ADE18" s="24"/>
      <c r="ADF18" s="24"/>
      <c r="ADG18" s="24"/>
      <c r="ADH18" s="24"/>
      <c r="ADI18" s="24"/>
      <c r="ADJ18" s="24"/>
      <c r="ADK18" s="24"/>
      <c r="ADL18" s="24"/>
      <c r="ADM18" s="24"/>
      <c r="ADN18" s="24"/>
      <c r="ADO18" s="24"/>
      <c r="ADP18" s="24"/>
      <c r="ADQ18" s="24"/>
      <c r="ADR18" s="24"/>
      <c r="ADS18" s="24"/>
      <c r="ADT18" s="24"/>
      <c r="ADU18" s="24"/>
      <c r="ADV18" s="24"/>
      <c r="ADW18" s="24"/>
      <c r="ADX18" s="24"/>
      <c r="ADY18" s="24"/>
      <c r="ADZ18" s="24"/>
      <c r="AEA18" s="24"/>
      <c r="AEB18" s="24"/>
      <c r="AEC18" s="24"/>
      <c r="AED18" s="24"/>
      <c r="AEE18" s="24"/>
      <c r="AEF18" s="24"/>
      <c r="AEG18" s="24"/>
      <c r="AEH18" s="24"/>
      <c r="AEI18" s="24"/>
      <c r="AEJ18" s="24"/>
      <c r="AEK18" s="24"/>
      <c r="AEL18" s="24"/>
      <c r="AEM18" s="24"/>
      <c r="AEN18" s="24"/>
      <c r="AEO18" s="24"/>
      <c r="AEP18" s="24"/>
      <c r="AEQ18" s="24"/>
      <c r="AER18" s="24"/>
      <c r="AES18" s="24"/>
      <c r="AET18" s="24"/>
      <c r="AEU18" s="24"/>
      <c r="AEV18" s="24"/>
      <c r="AEW18" s="24"/>
      <c r="AEX18" s="24"/>
      <c r="AEY18" s="24"/>
      <c r="AEZ18" s="24"/>
      <c r="AFA18" s="24"/>
      <c r="AFB18" s="24"/>
      <c r="AFC18" s="24"/>
      <c r="AFD18" s="24"/>
      <c r="AFE18" s="24"/>
      <c r="AFF18" s="24"/>
      <c r="AFG18" s="24"/>
      <c r="AFH18" s="24"/>
      <c r="AFI18" s="24"/>
      <c r="AFJ18" s="24"/>
      <c r="AFK18" s="24"/>
      <c r="AFL18" s="24"/>
      <c r="AFM18" s="24"/>
      <c r="AFN18" s="24"/>
      <c r="AFO18" s="24"/>
      <c r="AFP18" s="24"/>
      <c r="AFQ18" s="24"/>
      <c r="AFR18" s="24"/>
      <c r="AFS18" s="24"/>
      <c r="AFT18" s="24"/>
      <c r="AFU18" s="24"/>
      <c r="AFV18" s="24"/>
      <c r="AFW18" s="24"/>
      <c r="AFX18" s="24"/>
      <c r="AFY18" s="24"/>
      <c r="AFZ18" s="24"/>
      <c r="AGA18" s="24"/>
      <c r="AGB18" s="24"/>
      <c r="AGC18" s="24"/>
      <c r="AGD18" s="24"/>
      <c r="AGE18" s="24"/>
      <c r="AGF18" s="24"/>
      <c r="AGG18" s="24"/>
      <c r="AGH18" s="24"/>
      <c r="AGI18" s="24"/>
      <c r="AGJ18" s="24"/>
      <c r="AGK18" s="24"/>
      <c r="AGL18" s="24"/>
      <c r="AGM18" s="24"/>
      <c r="AGN18" s="24"/>
      <c r="AGO18" s="24"/>
      <c r="AGP18" s="24"/>
      <c r="AGQ18" s="24"/>
      <c r="AGR18" s="24"/>
      <c r="AGS18" s="24"/>
      <c r="AGT18" s="24"/>
      <c r="AGU18" s="24"/>
      <c r="AGV18" s="24"/>
      <c r="AGW18" s="24"/>
      <c r="AGX18" s="24"/>
      <c r="AGY18" s="24"/>
      <c r="AGZ18" s="24"/>
      <c r="AHA18" s="24"/>
      <c r="AHB18" s="24"/>
      <c r="AHC18" s="24"/>
      <c r="AHD18" s="24"/>
      <c r="AHE18" s="24"/>
      <c r="AHF18" s="24"/>
      <c r="AHG18" s="24"/>
      <c r="AHH18" s="24"/>
      <c r="AHI18" s="24"/>
      <c r="AHJ18" s="24"/>
      <c r="AHK18" s="24"/>
      <c r="AHL18" s="24"/>
      <c r="AHM18" s="24"/>
      <c r="AHN18" s="24"/>
      <c r="AHO18" s="24"/>
      <c r="AHP18" s="24"/>
      <c r="AHQ18" s="24"/>
      <c r="AHR18" s="24"/>
      <c r="AHS18" s="24"/>
      <c r="AHT18" s="24"/>
      <c r="AHU18" s="24"/>
      <c r="AHV18" s="24"/>
      <c r="AHW18" s="24"/>
      <c r="AHX18" s="24"/>
      <c r="AHY18" s="24"/>
      <c r="AHZ18" s="24"/>
      <c r="AIA18" s="24"/>
      <c r="AIB18" s="24"/>
      <c r="AIC18" s="24"/>
      <c r="AID18" s="24"/>
      <c r="AIE18" s="24"/>
      <c r="AIF18" s="24"/>
      <c r="AIG18" s="24"/>
      <c r="AIH18" s="24"/>
      <c r="AII18" s="24"/>
      <c r="AIJ18" s="24"/>
      <c r="AIK18" s="24"/>
      <c r="AIL18" s="24"/>
      <c r="AIM18" s="24"/>
      <c r="AIN18" s="24"/>
      <c r="AIO18" s="24"/>
      <c r="AIP18" s="24"/>
      <c r="AIQ18" s="24"/>
      <c r="AIR18" s="24"/>
      <c r="AIS18" s="24"/>
      <c r="AIT18" s="24"/>
      <c r="AIU18" s="24"/>
      <c r="AIV18" s="24"/>
      <c r="AIW18" s="24"/>
      <c r="AIX18" s="24"/>
      <c r="AIY18" s="24"/>
      <c r="AIZ18" s="24"/>
      <c r="AJA18" s="24"/>
      <c r="AJB18" s="24"/>
      <c r="AJC18" s="24"/>
      <c r="AJD18" s="24"/>
      <c r="AJE18" s="24"/>
      <c r="AJF18" s="24"/>
      <c r="AJG18" s="24"/>
      <c r="AJH18" s="24"/>
      <c r="AJI18" s="24"/>
      <c r="AJJ18" s="24"/>
      <c r="AJK18" s="24"/>
      <c r="AJL18" s="24"/>
      <c r="AJM18" s="24"/>
      <c r="AJN18" s="24"/>
      <c r="AJO18" s="24"/>
      <c r="AJP18" s="24"/>
      <c r="AJQ18" s="24"/>
      <c r="AJR18" s="24"/>
      <c r="AJS18" s="24"/>
      <c r="AJT18" s="24"/>
      <c r="AJU18" s="24"/>
      <c r="AJV18" s="24"/>
      <c r="AJW18" s="24"/>
      <c r="AJX18" s="24"/>
      <c r="AJY18" s="24"/>
      <c r="AJZ18" s="24"/>
      <c r="AKA18" s="24"/>
      <c r="AKB18" s="24"/>
      <c r="AKC18" s="24"/>
      <c r="AKD18" s="24"/>
      <c r="AKE18" s="24"/>
      <c r="AKF18" s="24"/>
      <c r="AKG18" s="24"/>
      <c r="AKH18" s="24"/>
      <c r="AKI18" s="24"/>
      <c r="AKJ18" s="24"/>
      <c r="AKK18" s="24"/>
      <c r="AKL18" s="24"/>
      <c r="AKM18" s="24"/>
      <c r="AKN18" s="24"/>
      <c r="AKO18" s="24"/>
      <c r="AKP18" s="24"/>
      <c r="AKQ18" s="24"/>
      <c r="AKR18" s="24"/>
      <c r="AKS18" s="24"/>
      <c r="AKT18" s="24"/>
      <c r="AKU18" s="24"/>
      <c r="AKV18" s="24"/>
      <c r="AKW18" s="24"/>
      <c r="AKX18" s="24"/>
      <c r="AKY18" s="24"/>
      <c r="AKZ18" s="24"/>
      <c r="ALA18" s="24"/>
      <c r="ALB18" s="24"/>
      <c r="ALC18" s="24"/>
      <c r="ALD18" s="24"/>
      <c r="ALE18" s="24"/>
      <c r="ALF18" s="24"/>
      <c r="ALG18" s="24"/>
      <c r="ALH18" s="24"/>
      <c r="ALI18" s="24"/>
      <c r="ALJ18" s="24"/>
      <c r="ALK18" s="24"/>
      <c r="ALL18" s="24"/>
      <c r="ALM18" s="24"/>
      <c r="ALN18" s="24"/>
      <c r="ALO18" s="24"/>
      <c r="ALP18" s="24"/>
      <c r="ALQ18" s="24"/>
      <c r="ALR18" s="24"/>
      <c r="ALS18" s="24"/>
      <c r="ALT18" s="24"/>
      <c r="ALU18" s="24"/>
      <c r="ALV18" s="24"/>
      <c r="ALW18" s="24"/>
      <c r="ALX18" s="24"/>
      <c r="ALY18" s="24"/>
      <c r="ALZ18" s="24"/>
      <c r="AMA18" s="24"/>
      <c r="AMB18" s="24"/>
      <c r="AMC18" s="24"/>
      <c r="AMD18" s="24"/>
      <c r="AME18" s="24"/>
      <c r="AMF18" s="24"/>
      <c r="AMG18" s="24"/>
      <c r="AMH18" s="24"/>
    </row>
    <row r="19" spans="2:1022" ht="165.75">
      <c r="B19" s="603"/>
      <c r="C19" s="1135"/>
      <c r="D19" s="1137"/>
      <c r="E19" s="1140"/>
      <c r="F19" s="484"/>
      <c r="G19" s="1141"/>
      <c r="H19" s="1141"/>
      <c r="I19" s="1128"/>
      <c r="J19" s="1127"/>
      <c r="K19" s="602" t="s">
        <v>146</v>
      </c>
      <c r="L19" s="1127"/>
      <c r="M19" s="1127"/>
      <c r="N19" s="1127"/>
      <c r="O19" s="1127"/>
      <c r="P19" s="1127"/>
      <c r="Q19" s="1127"/>
      <c r="R19" s="1127"/>
      <c r="S19" s="1127"/>
      <c r="T19" s="1143"/>
      <c r="U19" s="1130"/>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4"/>
      <c r="NV19" s="24"/>
      <c r="NW19" s="24"/>
      <c r="NX19" s="24"/>
      <c r="NY19" s="24"/>
      <c r="NZ19" s="24"/>
      <c r="OA19" s="24"/>
      <c r="OB19" s="24"/>
      <c r="OC19" s="24"/>
      <c r="OD19" s="24"/>
      <c r="OE19" s="24"/>
      <c r="OF19" s="24"/>
      <c r="OG19" s="24"/>
      <c r="OH19" s="24"/>
      <c r="OI19" s="24"/>
      <c r="OJ19" s="24"/>
      <c r="OK19" s="24"/>
      <c r="OL19" s="24"/>
      <c r="OM19" s="24"/>
      <c r="ON19" s="24"/>
      <c r="OO19" s="24"/>
      <c r="OP19" s="24"/>
      <c r="OQ19" s="24"/>
      <c r="OR19" s="24"/>
      <c r="OS19" s="24"/>
      <c r="OT19" s="24"/>
      <c r="OU19" s="24"/>
      <c r="OV19" s="24"/>
      <c r="OW19" s="24"/>
      <c r="OX19" s="24"/>
      <c r="OY19" s="24"/>
      <c r="OZ19" s="24"/>
      <c r="PA19" s="24"/>
      <c r="PB19" s="24"/>
      <c r="PC19" s="24"/>
      <c r="PD19" s="24"/>
      <c r="PE19" s="24"/>
      <c r="PF19" s="24"/>
      <c r="PG19" s="24"/>
      <c r="PH19" s="24"/>
      <c r="PI19" s="24"/>
      <c r="PJ19" s="24"/>
      <c r="PK19" s="24"/>
      <c r="PL19" s="24"/>
      <c r="PM19" s="24"/>
      <c r="PN19" s="24"/>
      <c r="PO19" s="24"/>
      <c r="PP19" s="24"/>
      <c r="PQ19" s="24"/>
      <c r="PR19" s="24"/>
      <c r="PS19" s="24"/>
      <c r="PT19" s="24"/>
      <c r="PU19" s="24"/>
      <c r="PV19" s="24"/>
      <c r="PW19" s="24"/>
      <c r="PX19" s="24"/>
      <c r="PY19" s="24"/>
      <c r="PZ19" s="24"/>
      <c r="QA19" s="24"/>
      <c r="QB19" s="24"/>
      <c r="QC19" s="24"/>
      <c r="QD19" s="24"/>
      <c r="QE19" s="24"/>
      <c r="QF19" s="24"/>
      <c r="QG19" s="24"/>
      <c r="QH19" s="24"/>
      <c r="QI19" s="24"/>
      <c r="QJ19" s="24"/>
      <c r="QK19" s="24"/>
      <c r="QL19" s="24"/>
      <c r="QM19" s="24"/>
      <c r="QN19" s="24"/>
      <c r="QO19" s="24"/>
      <c r="QP19" s="24"/>
      <c r="QQ19" s="24"/>
      <c r="QR19" s="24"/>
      <c r="QS19" s="24"/>
      <c r="QT19" s="24"/>
      <c r="QU19" s="24"/>
      <c r="QV19" s="24"/>
      <c r="QW19" s="24"/>
      <c r="QX19" s="24"/>
      <c r="QY19" s="24"/>
      <c r="QZ19" s="24"/>
      <c r="RA19" s="24"/>
      <c r="RB19" s="24"/>
      <c r="RC19" s="24"/>
      <c r="RD19" s="24"/>
      <c r="RE19" s="24"/>
      <c r="RF19" s="24"/>
      <c r="RG19" s="24"/>
      <c r="RH19" s="24"/>
      <c r="RI19" s="24"/>
      <c r="RJ19" s="24"/>
      <c r="RK19" s="24"/>
      <c r="RL19" s="24"/>
      <c r="RM19" s="24"/>
      <c r="RN19" s="24"/>
      <c r="RO19" s="24"/>
      <c r="RP19" s="24"/>
      <c r="RQ19" s="24"/>
      <c r="RR19" s="24"/>
      <c r="RS19" s="24"/>
      <c r="RT19" s="24"/>
      <c r="RU19" s="24"/>
      <c r="RV19" s="24"/>
      <c r="RW19" s="24"/>
      <c r="RX19" s="24"/>
      <c r="RY19" s="24"/>
      <c r="RZ19" s="24"/>
      <c r="SA19" s="24"/>
      <c r="SB19" s="24"/>
      <c r="SC19" s="24"/>
      <c r="SD19" s="24"/>
      <c r="SE19" s="24"/>
      <c r="SF19" s="24"/>
      <c r="SG19" s="24"/>
      <c r="SH19" s="24"/>
      <c r="SI19" s="24"/>
      <c r="SJ19" s="24"/>
      <c r="SK19" s="24"/>
      <c r="SL19" s="24"/>
      <c r="SM19" s="24"/>
      <c r="SN19" s="24"/>
      <c r="SO19" s="24"/>
      <c r="SP19" s="24"/>
      <c r="SQ19" s="24"/>
      <c r="SR19" s="24"/>
      <c r="SS19" s="24"/>
      <c r="ST19" s="24"/>
      <c r="SU19" s="24"/>
      <c r="SV19" s="24"/>
      <c r="SW19" s="24"/>
      <c r="SX19" s="24"/>
      <c r="SY19" s="24"/>
      <c r="SZ19" s="24"/>
      <c r="TA19" s="24"/>
      <c r="TB19" s="24"/>
      <c r="TC19" s="24"/>
      <c r="TD19" s="24"/>
      <c r="TE19" s="24"/>
      <c r="TF19" s="24"/>
      <c r="TG19" s="24"/>
      <c r="TH19" s="24"/>
      <c r="TI19" s="24"/>
      <c r="TJ19" s="24"/>
      <c r="TK19" s="24"/>
      <c r="TL19" s="24"/>
      <c r="TM19" s="24"/>
      <c r="TN19" s="24"/>
      <c r="TO19" s="24"/>
      <c r="TP19" s="24"/>
      <c r="TQ19" s="24"/>
      <c r="TR19" s="24"/>
      <c r="TS19" s="24"/>
      <c r="TT19" s="24"/>
      <c r="TU19" s="24"/>
      <c r="TV19" s="24"/>
      <c r="TW19" s="24"/>
      <c r="TX19" s="24"/>
      <c r="TY19" s="24"/>
      <c r="TZ19" s="24"/>
      <c r="UA19" s="24"/>
      <c r="UB19" s="24"/>
      <c r="UC19" s="24"/>
      <c r="UD19" s="24"/>
      <c r="UE19" s="24"/>
      <c r="UF19" s="24"/>
      <c r="UG19" s="24"/>
      <c r="UH19" s="24"/>
      <c r="UI19" s="24"/>
      <c r="UJ19" s="24"/>
      <c r="UK19" s="24"/>
      <c r="UL19" s="24"/>
      <c r="UM19" s="24"/>
      <c r="UN19" s="24"/>
      <c r="UO19" s="24"/>
      <c r="UP19" s="24"/>
      <c r="UQ19" s="24"/>
      <c r="UR19" s="24"/>
      <c r="US19" s="24"/>
      <c r="UT19" s="24"/>
      <c r="UU19" s="24"/>
      <c r="UV19" s="24"/>
      <c r="UW19" s="24"/>
      <c r="UX19" s="24"/>
      <c r="UY19" s="24"/>
      <c r="UZ19" s="24"/>
      <c r="VA19" s="24"/>
      <c r="VB19" s="24"/>
      <c r="VC19" s="24"/>
      <c r="VD19" s="24"/>
      <c r="VE19" s="24"/>
      <c r="VF19" s="24"/>
      <c r="VG19" s="24"/>
      <c r="VH19" s="24"/>
      <c r="VI19" s="24"/>
      <c r="VJ19" s="24"/>
      <c r="VK19" s="24"/>
      <c r="VL19" s="24"/>
      <c r="VM19" s="24"/>
      <c r="VN19" s="24"/>
      <c r="VO19" s="24"/>
      <c r="VP19" s="24"/>
      <c r="VQ19" s="24"/>
      <c r="VR19" s="24"/>
      <c r="VS19" s="24"/>
      <c r="VT19" s="24"/>
      <c r="VU19" s="24"/>
      <c r="VV19" s="24"/>
      <c r="VW19" s="24"/>
      <c r="VX19" s="24"/>
      <c r="VY19" s="24"/>
      <c r="VZ19" s="24"/>
      <c r="WA19" s="24"/>
      <c r="WB19" s="24"/>
      <c r="WC19" s="24"/>
      <c r="WD19" s="24"/>
      <c r="WE19" s="24"/>
      <c r="WF19" s="24"/>
      <c r="WG19" s="24"/>
      <c r="WH19" s="24"/>
      <c r="WI19" s="24"/>
      <c r="WJ19" s="24"/>
      <c r="WK19" s="24"/>
      <c r="WL19" s="24"/>
      <c r="WM19" s="24"/>
      <c r="WN19" s="24"/>
      <c r="WO19" s="24"/>
      <c r="WP19" s="24"/>
      <c r="WQ19" s="24"/>
      <c r="WR19" s="24"/>
      <c r="WS19" s="24"/>
      <c r="WT19" s="24"/>
      <c r="WU19" s="24"/>
      <c r="WV19" s="24"/>
      <c r="WW19" s="24"/>
      <c r="WX19" s="24"/>
      <c r="WY19" s="24"/>
      <c r="WZ19" s="24"/>
      <c r="XA19" s="24"/>
      <c r="XB19" s="24"/>
      <c r="XC19" s="24"/>
      <c r="XD19" s="24"/>
      <c r="XE19" s="24"/>
      <c r="XF19" s="24"/>
      <c r="XG19" s="24"/>
      <c r="XH19" s="24"/>
      <c r="XI19" s="24"/>
      <c r="XJ19" s="24"/>
      <c r="XK19" s="24"/>
      <c r="XL19" s="24"/>
      <c r="XM19" s="24"/>
      <c r="XN19" s="24"/>
      <c r="XO19" s="24"/>
      <c r="XP19" s="24"/>
      <c r="XQ19" s="24"/>
      <c r="XR19" s="24"/>
      <c r="XS19" s="24"/>
      <c r="XT19" s="24"/>
      <c r="XU19" s="24"/>
      <c r="XV19" s="24"/>
      <c r="XW19" s="24"/>
      <c r="XX19" s="24"/>
      <c r="XY19" s="24"/>
      <c r="XZ19" s="24"/>
      <c r="YA19" s="24"/>
      <c r="YB19" s="24"/>
      <c r="YC19" s="24"/>
      <c r="YD19" s="24"/>
      <c r="YE19" s="24"/>
      <c r="YF19" s="24"/>
      <c r="YG19" s="24"/>
      <c r="YH19" s="24"/>
      <c r="YI19" s="24"/>
      <c r="YJ19" s="24"/>
      <c r="YK19" s="24"/>
      <c r="YL19" s="24"/>
      <c r="YM19" s="24"/>
      <c r="YN19" s="24"/>
      <c r="YO19" s="24"/>
      <c r="YP19" s="24"/>
      <c r="YQ19" s="24"/>
      <c r="YR19" s="24"/>
      <c r="YS19" s="24"/>
      <c r="YT19" s="24"/>
      <c r="YU19" s="24"/>
      <c r="YV19" s="24"/>
      <c r="YW19" s="24"/>
      <c r="YX19" s="24"/>
      <c r="YY19" s="24"/>
      <c r="YZ19" s="24"/>
      <c r="ZA19" s="24"/>
      <c r="ZB19" s="24"/>
      <c r="ZC19" s="24"/>
      <c r="ZD19" s="24"/>
      <c r="ZE19" s="24"/>
      <c r="ZF19" s="24"/>
      <c r="ZG19" s="24"/>
      <c r="ZH19" s="24"/>
      <c r="ZI19" s="24"/>
      <c r="ZJ19" s="24"/>
      <c r="ZK19" s="24"/>
      <c r="ZL19" s="24"/>
      <c r="ZM19" s="24"/>
      <c r="ZN19" s="24"/>
      <c r="ZO19" s="24"/>
      <c r="ZP19" s="24"/>
      <c r="ZQ19" s="24"/>
      <c r="ZR19" s="24"/>
      <c r="ZS19" s="24"/>
      <c r="ZT19" s="24"/>
      <c r="ZU19" s="24"/>
      <c r="ZV19" s="24"/>
      <c r="ZW19" s="24"/>
      <c r="ZX19" s="24"/>
      <c r="ZY19" s="24"/>
      <c r="ZZ19" s="24"/>
      <c r="AAA19" s="24"/>
      <c r="AAB19" s="24"/>
      <c r="AAC19" s="24"/>
      <c r="AAD19" s="24"/>
      <c r="AAE19" s="24"/>
      <c r="AAF19" s="24"/>
      <c r="AAG19" s="24"/>
      <c r="AAH19" s="24"/>
      <c r="AAI19" s="24"/>
      <c r="AAJ19" s="24"/>
      <c r="AAK19" s="24"/>
      <c r="AAL19" s="24"/>
      <c r="AAM19" s="24"/>
      <c r="AAN19" s="24"/>
      <c r="AAO19" s="24"/>
      <c r="AAP19" s="24"/>
      <c r="AAQ19" s="24"/>
      <c r="AAR19" s="24"/>
      <c r="AAS19" s="24"/>
      <c r="AAT19" s="24"/>
      <c r="AAU19" s="24"/>
      <c r="AAV19" s="24"/>
      <c r="AAW19" s="24"/>
      <c r="AAX19" s="24"/>
      <c r="AAY19" s="24"/>
      <c r="AAZ19" s="24"/>
      <c r="ABA19" s="24"/>
      <c r="ABB19" s="24"/>
      <c r="ABC19" s="24"/>
      <c r="ABD19" s="24"/>
      <c r="ABE19" s="24"/>
      <c r="ABF19" s="24"/>
      <c r="ABG19" s="24"/>
      <c r="ABH19" s="24"/>
      <c r="ABI19" s="24"/>
      <c r="ABJ19" s="24"/>
      <c r="ABK19" s="24"/>
      <c r="ABL19" s="24"/>
      <c r="ABM19" s="24"/>
      <c r="ABN19" s="24"/>
      <c r="ABO19" s="24"/>
      <c r="ABP19" s="24"/>
      <c r="ABQ19" s="24"/>
      <c r="ABR19" s="24"/>
      <c r="ABS19" s="24"/>
      <c r="ABT19" s="24"/>
      <c r="ABU19" s="24"/>
      <c r="ABV19" s="24"/>
      <c r="ABW19" s="24"/>
      <c r="ABX19" s="24"/>
      <c r="ABY19" s="24"/>
      <c r="ABZ19" s="24"/>
      <c r="ACA19" s="24"/>
      <c r="ACB19" s="24"/>
      <c r="ACC19" s="24"/>
      <c r="ACD19" s="24"/>
      <c r="ACE19" s="24"/>
      <c r="ACF19" s="24"/>
      <c r="ACG19" s="24"/>
      <c r="ACH19" s="24"/>
      <c r="ACI19" s="24"/>
      <c r="ACJ19" s="24"/>
      <c r="ACK19" s="24"/>
      <c r="ACL19" s="24"/>
      <c r="ACM19" s="24"/>
      <c r="ACN19" s="24"/>
      <c r="ACO19" s="24"/>
      <c r="ACP19" s="24"/>
      <c r="ACQ19" s="24"/>
      <c r="ACR19" s="24"/>
      <c r="ACS19" s="24"/>
      <c r="ACT19" s="24"/>
      <c r="ACU19" s="24"/>
      <c r="ACV19" s="24"/>
      <c r="ACW19" s="24"/>
      <c r="ACX19" s="24"/>
      <c r="ACY19" s="24"/>
      <c r="ACZ19" s="24"/>
      <c r="ADA19" s="24"/>
      <c r="ADB19" s="24"/>
      <c r="ADC19" s="24"/>
      <c r="ADD19" s="24"/>
      <c r="ADE19" s="24"/>
      <c r="ADF19" s="24"/>
      <c r="ADG19" s="24"/>
      <c r="ADH19" s="24"/>
      <c r="ADI19" s="24"/>
      <c r="ADJ19" s="24"/>
      <c r="ADK19" s="24"/>
      <c r="ADL19" s="24"/>
      <c r="ADM19" s="24"/>
      <c r="ADN19" s="24"/>
      <c r="ADO19" s="24"/>
      <c r="ADP19" s="24"/>
      <c r="ADQ19" s="24"/>
      <c r="ADR19" s="24"/>
      <c r="ADS19" s="24"/>
      <c r="ADT19" s="24"/>
      <c r="ADU19" s="24"/>
      <c r="ADV19" s="24"/>
      <c r="ADW19" s="24"/>
      <c r="ADX19" s="24"/>
      <c r="ADY19" s="24"/>
      <c r="ADZ19" s="24"/>
      <c r="AEA19" s="24"/>
      <c r="AEB19" s="24"/>
      <c r="AEC19" s="24"/>
      <c r="AED19" s="24"/>
      <c r="AEE19" s="24"/>
      <c r="AEF19" s="24"/>
      <c r="AEG19" s="24"/>
      <c r="AEH19" s="24"/>
      <c r="AEI19" s="24"/>
      <c r="AEJ19" s="24"/>
      <c r="AEK19" s="24"/>
      <c r="AEL19" s="24"/>
      <c r="AEM19" s="24"/>
      <c r="AEN19" s="24"/>
      <c r="AEO19" s="24"/>
      <c r="AEP19" s="24"/>
      <c r="AEQ19" s="24"/>
      <c r="AER19" s="24"/>
      <c r="AES19" s="24"/>
      <c r="AET19" s="24"/>
      <c r="AEU19" s="24"/>
      <c r="AEV19" s="24"/>
      <c r="AEW19" s="24"/>
      <c r="AEX19" s="24"/>
      <c r="AEY19" s="24"/>
      <c r="AEZ19" s="24"/>
      <c r="AFA19" s="24"/>
      <c r="AFB19" s="24"/>
      <c r="AFC19" s="24"/>
      <c r="AFD19" s="24"/>
      <c r="AFE19" s="24"/>
      <c r="AFF19" s="24"/>
      <c r="AFG19" s="24"/>
      <c r="AFH19" s="24"/>
      <c r="AFI19" s="24"/>
      <c r="AFJ19" s="24"/>
      <c r="AFK19" s="24"/>
      <c r="AFL19" s="24"/>
      <c r="AFM19" s="24"/>
      <c r="AFN19" s="24"/>
      <c r="AFO19" s="24"/>
      <c r="AFP19" s="24"/>
      <c r="AFQ19" s="24"/>
      <c r="AFR19" s="24"/>
      <c r="AFS19" s="24"/>
      <c r="AFT19" s="24"/>
      <c r="AFU19" s="24"/>
      <c r="AFV19" s="24"/>
      <c r="AFW19" s="24"/>
      <c r="AFX19" s="24"/>
      <c r="AFY19" s="24"/>
      <c r="AFZ19" s="24"/>
      <c r="AGA19" s="24"/>
      <c r="AGB19" s="24"/>
      <c r="AGC19" s="24"/>
      <c r="AGD19" s="24"/>
      <c r="AGE19" s="24"/>
      <c r="AGF19" s="24"/>
      <c r="AGG19" s="24"/>
      <c r="AGH19" s="24"/>
      <c r="AGI19" s="24"/>
      <c r="AGJ19" s="24"/>
      <c r="AGK19" s="24"/>
      <c r="AGL19" s="24"/>
      <c r="AGM19" s="24"/>
      <c r="AGN19" s="24"/>
      <c r="AGO19" s="24"/>
      <c r="AGP19" s="24"/>
      <c r="AGQ19" s="24"/>
      <c r="AGR19" s="24"/>
      <c r="AGS19" s="24"/>
      <c r="AGT19" s="24"/>
      <c r="AGU19" s="24"/>
      <c r="AGV19" s="24"/>
      <c r="AGW19" s="24"/>
      <c r="AGX19" s="24"/>
      <c r="AGY19" s="24"/>
      <c r="AGZ19" s="24"/>
      <c r="AHA19" s="24"/>
      <c r="AHB19" s="24"/>
      <c r="AHC19" s="24"/>
      <c r="AHD19" s="24"/>
      <c r="AHE19" s="24"/>
      <c r="AHF19" s="24"/>
      <c r="AHG19" s="24"/>
      <c r="AHH19" s="24"/>
      <c r="AHI19" s="24"/>
      <c r="AHJ19" s="24"/>
      <c r="AHK19" s="24"/>
      <c r="AHL19" s="24"/>
      <c r="AHM19" s="24"/>
      <c r="AHN19" s="24"/>
      <c r="AHO19" s="24"/>
      <c r="AHP19" s="24"/>
      <c r="AHQ19" s="24"/>
      <c r="AHR19" s="24"/>
      <c r="AHS19" s="24"/>
      <c r="AHT19" s="24"/>
      <c r="AHU19" s="24"/>
      <c r="AHV19" s="24"/>
      <c r="AHW19" s="24"/>
      <c r="AHX19" s="24"/>
      <c r="AHY19" s="24"/>
      <c r="AHZ19" s="24"/>
      <c r="AIA19" s="24"/>
      <c r="AIB19" s="24"/>
      <c r="AIC19" s="24"/>
      <c r="AID19" s="24"/>
      <c r="AIE19" s="24"/>
      <c r="AIF19" s="24"/>
      <c r="AIG19" s="24"/>
      <c r="AIH19" s="24"/>
      <c r="AII19" s="24"/>
      <c r="AIJ19" s="24"/>
      <c r="AIK19" s="24"/>
      <c r="AIL19" s="24"/>
      <c r="AIM19" s="24"/>
      <c r="AIN19" s="24"/>
      <c r="AIO19" s="24"/>
      <c r="AIP19" s="24"/>
      <c r="AIQ19" s="24"/>
      <c r="AIR19" s="24"/>
      <c r="AIS19" s="24"/>
      <c r="AIT19" s="24"/>
      <c r="AIU19" s="24"/>
      <c r="AIV19" s="24"/>
      <c r="AIW19" s="24"/>
      <c r="AIX19" s="24"/>
      <c r="AIY19" s="24"/>
      <c r="AIZ19" s="24"/>
      <c r="AJA19" s="24"/>
      <c r="AJB19" s="24"/>
      <c r="AJC19" s="24"/>
      <c r="AJD19" s="24"/>
      <c r="AJE19" s="24"/>
      <c r="AJF19" s="24"/>
      <c r="AJG19" s="24"/>
      <c r="AJH19" s="24"/>
      <c r="AJI19" s="24"/>
      <c r="AJJ19" s="24"/>
      <c r="AJK19" s="24"/>
      <c r="AJL19" s="24"/>
      <c r="AJM19" s="24"/>
      <c r="AJN19" s="24"/>
      <c r="AJO19" s="24"/>
      <c r="AJP19" s="24"/>
      <c r="AJQ19" s="24"/>
      <c r="AJR19" s="24"/>
      <c r="AJS19" s="24"/>
      <c r="AJT19" s="24"/>
      <c r="AJU19" s="24"/>
      <c r="AJV19" s="24"/>
      <c r="AJW19" s="24"/>
      <c r="AJX19" s="24"/>
      <c r="AJY19" s="24"/>
      <c r="AJZ19" s="24"/>
      <c r="AKA19" s="24"/>
      <c r="AKB19" s="24"/>
      <c r="AKC19" s="24"/>
      <c r="AKD19" s="24"/>
      <c r="AKE19" s="24"/>
      <c r="AKF19" s="24"/>
      <c r="AKG19" s="24"/>
      <c r="AKH19" s="24"/>
      <c r="AKI19" s="24"/>
      <c r="AKJ19" s="24"/>
      <c r="AKK19" s="24"/>
      <c r="AKL19" s="24"/>
      <c r="AKM19" s="24"/>
      <c r="AKN19" s="24"/>
      <c r="AKO19" s="24"/>
      <c r="AKP19" s="24"/>
      <c r="AKQ19" s="24"/>
      <c r="AKR19" s="24"/>
      <c r="AKS19" s="24"/>
      <c r="AKT19" s="24"/>
      <c r="AKU19" s="24"/>
      <c r="AKV19" s="24"/>
      <c r="AKW19" s="24"/>
      <c r="AKX19" s="24"/>
      <c r="AKY19" s="24"/>
      <c r="AKZ19" s="24"/>
      <c r="ALA19" s="24"/>
      <c r="ALB19" s="24"/>
      <c r="ALC19" s="24"/>
      <c r="ALD19" s="24"/>
      <c r="ALE19" s="24"/>
      <c r="ALF19" s="24"/>
      <c r="ALG19" s="24"/>
      <c r="ALH19" s="24"/>
      <c r="ALI19" s="24"/>
      <c r="ALJ19" s="24"/>
      <c r="ALK19" s="24"/>
      <c r="ALL19" s="24"/>
      <c r="ALM19" s="24"/>
      <c r="ALN19" s="24"/>
      <c r="ALO19" s="24"/>
      <c r="ALP19" s="24"/>
      <c r="ALQ19" s="24"/>
      <c r="ALR19" s="24"/>
      <c r="ALS19" s="24"/>
      <c r="ALT19" s="24"/>
      <c r="ALU19" s="24"/>
      <c r="ALV19" s="24"/>
      <c r="ALW19" s="24"/>
      <c r="ALX19" s="24"/>
      <c r="ALY19" s="24"/>
      <c r="ALZ19" s="24"/>
      <c r="AMA19" s="24"/>
      <c r="AMB19" s="24"/>
      <c r="AMC19" s="24"/>
      <c r="AMD19" s="24"/>
      <c r="AME19" s="24"/>
      <c r="AMF19" s="24"/>
      <c r="AMG19" s="24"/>
      <c r="AMH19" s="24"/>
    </row>
    <row r="20" spans="2:1022" ht="76.5">
      <c r="B20" s="603"/>
      <c r="C20" s="1135"/>
      <c r="D20" s="1137"/>
      <c r="E20" s="1140"/>
      <c r="F20" s="484"/>
      <c r="G20" s="99" t="s">
        <v>907</v>
      </c>
      <c r="H20" s="608" t="s">
        <v>491</v>
      </c>
      <c r="I20" s="608" t="s">
        <v>926</v>
      </c>
      <c r="J20" s="1127"/>
      <c r="K20" s="602" t="s">
        <v>145</v>
      </c>
      <c r="L20" s="1127"/>
      <c r="M20" s="1127"/>
      <c r="N20" s="1128"/>
      <c r="O20" s="1127"/>
      <c r="P20" s="1128"/>
      <c r="Q20" s="1128"/>
      <c r="R20" s="1128"/>
      <c r="S20" s="1128"/>
      <c r="T20" s="1144"/>
      <c r="U20" s="1130"/>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c r="KI20" s="24"/>
      <c r="KJ20" s="24"/>
      <c r="KK20" s="24"/>
      <c r="KL20" s="24"/>
      <c r="KM20" s="24"/>
      <c r="KN20" s="24"/>
      <c r="KO20" s="24"/>
      <c r="KP20" s="24"/>
      <c r="KQ20" s="24"/>
      <c r="KR20" s="24"/>
      <c r="KS20" s="24"/>
      <c r="KT20" s="24"/>
      <c r="KU20" s="24"/>
      <c r="KV20" s="24"/>
      <c r="KW20" s="24"/>
      <c r="KX20" s="24"/>
      <c r="KY20" s="24"/>
      <c r="KZ20" s="24"/>
      <c r="LA20" s="24"/>
      <c r="LB20" s="24"/>
      <c r="LC20" s="24"/>
      <c r="LD20" s="24"/>
      <c r="LE20" s="24"/>
      <c r="LF20" s="24"/>
      <c r="LG20" s="24"/>
      <c r="LH20" s="24"/>
      <c r="LI20" s="24"/>
      <c r="LJ20" s="24"/>
      <c r="LK20" s="24"/>
      <c r="LL20" s="24"/>
      <c r="LM20" s="24"/>
      <c r="LN20" s="24"/>
      <c r="LO20" s="24"/>
      <c r="LP20" s="24"/>
      <c r="LQ20" s="24"/>
      <c r="LR20" s="24"/>
      <c r="LS20" s="24"/>
      <c r="LT20" s="24"/>
      <c r="LU20" s="24"/>
      <c r="LV20" s="24"/>
      <c r="LW20" s="24"/>
      <c r="LX20" s="24"/>
      <c r="LY20" s="24"/>
      <c r="LZ20" s="24"/>
      <c r="MA20" s="24"/>
      <c r="MB20" s="24"/>
      <c r="MC20" s="24"/>
      <c r="MD20" s="24"/>
      <c r="ME20" s="24"/>
      <c r="MF20" s="24"/>
      <c r="MG20" s="24"/>
      <c r="MH20" s="24"/>
      <c r="MI20" s="24"/>
      <c r="MJ20" s="24"/>
      <c r="MK20" s="24"/>
      <c r="ML20" s="24"/>
      <c r="MM20" s="24"/>
      <c r="MN20" s="24"/>
      <c r="MO20" s="24"/>
      <c r="MP20" s="24"/>
      <c r="MQ20" s="24"/>
      <c r="MR20" s="24"/>
      <c r="MS20" s="24"/>
      <c r="MT20" s="24"/>
      <c r="MU20" s="24"/>
      <c r="MV20" s="24"/>
      <c r="MW20" s="24"/>
      <c r="MX20" s="24"/>
      <c r="MY20" s="24"/>
      <c r="MZ20" s="24"/>
      <c r="NA20" s="24"/>
      <c r="NB20" s="24"/>
      <c r="NC20" s="24"/>
      <c r="ND20" s="24"/>
      <c r="NE20" s="24"/>
      <c r="NF20" s="24"/>
      <c r="NG20" s="24"/>
      <c r="NH20" s="24"/>
      <c r="NI20" s="24"/>
      <c r="NJ20" s="24"/>
      <c r="NK20" s="24"/>
      <c r="NL20" s="24"/>
      <c r="NM20" s="24"/>
      <c r="NN20" s="24"/>
      <c r="NO20" s="24"/>
      <c r="NP20" s="24"/>
      <c r="NQ20" s="24"/>
      <c r="NR20" s="24"/>
      <c r="NS20" s="24"/>
      <c r="NT20" s="24"/>
      <c r="NU20" s="24"/>
      <c r="NV20" s="24"/>
      <c r="NW20" s="24"/>
      <c r="NX20" s="24"/>
      <c r="NY20" s="24"/>
      <c r="NZ20" s="24"/>
      <c r="OA20" s="24"/>
      <c r="OB20" s="24"/>
      <c r="OC20" s="24"/>
      <c r="OD20" s="24"/>
      <c r="OE20" s="24"/>
      <c r="OF20" s="24"/>
      <c r="OG20" s="24"/>
      <c r="OH20" s="24"/>
      <c r="OI20" s="24"/>
      <c r="OJ20" s="24"/>
      <c r="OK20" s="24"/>
      <c r="OL20" s="24"/>
      <c r="OM20" s="24"/>
      <c r="ON20" s="24"/>
      <c r="OO20" s="24"/>
      <c r="OP20" s="24"/>
      <c r="OQ20" s="24"/>
      <c r="OR20" s="24"/>
      <c r="OS20" s="24"/>
      <c r="OT20" s="24"/>
      <c r="OU20" s="24"/>
      <c r="OV20" s="24"/>
      <c r="OW20" s="24"/>
      <c r="OX20" s="24"/>
      <c r="OY20" s="24"/>
      <c r="OZ20" s="24"/>
      <c r="PA20" s="24"/>
      <c r="PB20" s="24"/>
      <c r="PC20" s="24"/>
      <c r="PD20" s="24"/>
      <c r="PE20" s="24"/>
      <c r="PF20" s="24"/>
      <c r="PG20" s="24"/>
      <c r="PH20" s="24"/>
      <c r="PI20" s="24"/>
      <c r="PJ20" s="24"/>
      <c r="PK20" s="24"/>
      <c r="PL20" s="24"/>
      <c r="PM20" s="24"/>
      <c r="PN20" s="24"/>
      <c r="PO20" s="24"/>
      <c r="PP20" s="24"/>
      <c r="PQ20" s="24"/>
      <c r="PR20" s="24"/>
      <c r="PS20" s="24"/>
      <c r="PT20" s="24"/>
      <c r="PU20" s="24"/>
      <c r="PV20" s="24"/>
      <c r="PW20" s="24"/>
      <c r="PX20" s="24"/>
      <c r="PY20" s="24"/>
      <c r="PZ20" s="24"/>
      <c r="QA20" s="24"/>
      <c r="QB20" s="24"/>
      <c r="QC20" s="24"/>
      <c r="QD20" s="24"/>
      <c r="QE20" s="24"/>
      <c r="QF20" s="24"/>
      <c r="QG20" s="24"/>
      <c r="QH20" s="24"/>
      <c r="QI20" s="24"/>
      <c r="QJ20" s="24"/>
      <c r="QK20" s="24"/>
      <c r="QL20" s="24"/>
      <c r="QM20" s="24"/>
      <c r="QN20" s="24"/>
      <c r="QO20" s="24"/>
      <c r="QP20" s="24"/>
      <c r="QQ20" s="24"/>
      <c r="QR20" s="24"/>
      <c r="QS20" s="24"/>
      <c r="QT20" s="24"/>
      <c r="QU20" s="24"/>
      <c r="QV20" s="24"/>
      <c r="QW20" s="24"/>
      <c r="QX20" s="24"/>
      <c r="QY20" s="24"/>
      <c r="QZ20" s="24"/>
      <c r="RA20" s="24"/>
      <c r="RB20" s="24"/>
      <c r="RC20" s="24"/>
      <c r="RD20" s="24"/>
      <c r="RE20" s="24"/>
      <c r="RF20" s="24"/>
      <c r="RG20" s="24"/>
      <c r="RH20" s="24"/>
      <c r="RI20" s="24"/>
      <c r="RJ20" s="24"/>
      <c r="RK20" s="24"/>
      <c r="RL20" s="24"/>
      <c r="RM20" s="24"/>
      <c r="RN20" s="24"/>
      <c r="RO20" s="24"/>
      <c r="RP20" s="24"/>
      <c r="RQ20" s="24"/>
      <c r="RR20" s="24"/>
      <c r="RS20" s="24"/>
      <c r="RT20" s="24"/>
      <c r="RU20" s="24"/>
      <c r="RV20" s="24"/>
      <c r="RW20" s="24"/>
      <c r="RX20" s="24"/>
      <c r="RY20" s="24"/>
      <c r="RZ20" s="24"/>
      <c r="SA20" s="24"/>
      <c r="SB20" s="24"/>
      <c r="SC20" s="24"/>
      <c r="SD20" s="24"/>
      <c r="SE20" s="24"/>
      <c r="SF20" s="24"/>
      <c r="SG20" s="24"/>
      <c r="SH20" s="24"/>
      <c r="SI20" s="24"/>
      <c r="SJ20" s="24"/>
      <c r="SK20" s="24"/>
      <c r="SL20" s="24"/>
      <c r="SM20" s="24"/>
      <c r="SN20" s="24"/>
      <c r="SO20" s="24"/>
      <c r="SP20" s="24"/>
      <c r="SQ20" s="24"/>
      <c r="SR20" s="24"/>
      <c r="SS20" s="24"/>
      <c r="ST20" s="24"/>
      <c r="SU20" s="24"/>
      <c r="SV20" s="24"/>
      <c r="SW20" s="24"/>
      <c r="SX20" s="24"/>
      <c r="SY20" s="24"/>
      <c r="SZ20" s="24"/>
      <c r="TA20" s="24"/>
      <c r="TB20" s="24"/>
      <c r="TC20" s="24"/>
      <c r="TD20" s="24"/>
      <c r="TE20" s="24"/>
      <c r="TF20" s="24"/>
      <c r="TG20" s="24"/>
      <c r="TH20" s="24"/>
      <c r="TI20" s="24"/>
      <c r="TJ20" s="24"/>
      <c r="TK20" s="24"/>
      <c r="TL20" s="24"/>
      <c r="TM20" s="24"/>
      <c r="TN20" s="24"/>
      <c r="TO20" s="24"/>
      <c r="TP20" s="24"/>
      <c r="TQ20" s="24"/>
      <c r="TR20" s="24"/>
      <c r="TS20" s="24"/>
      <c r="TT20" s="24"/>
      <c r="TU20" s="24"/>
      <c r="TV20" s="24"/>
      <c r="TW20" s="24"/>
      <c r="TX20" s="24"/>
      <c r="TY20" s="24"/>
      <c r="TZ20" s="24"/>
      <c r="UA20" s="24"/>
      <c r="UB20" s="24"/>
      <c r="UC20" s="24"/>
      <c r="UD20" s="24"/>
      <c r="UE20" s="24"/>
      <c r="UF20" s="24"/>
      <c r="UG20" s="24"/>
      <c r="UH20" s="24"/>
      <c r="UI20" s="24"/>
      <c r="UJ20" s="24"/>
      <c r="UK20" s="24"/>
      <c r="UL20" s="24"/>
      <c r="UM20" s="24"/>
      <c r="UN20" s="24"/>
      <c r="UO20" s="24"/>
      <c r="UP20" s="24"/>
      <c r="UQ20" s="24"/>
      <c r="UR20" s="24"/>
      <c r="US20" s="24"/>
      <c r="UT20" s="24"/>
      <c r="UU20" s="24"/>
      <c r="UV20" s="24"/>
      <c r="UW20" s="24"/>
      <c r="UX20" s="24"/>
      <c r="UY20" s="24"/>
      <c r="UZ20" s="24"/>
      <c r="VA20" s="24"/>
      <c r="VB20" s="24"/>
      <c r="VC20" s="24"/>
      <c r="VD20" s="24"/>
      <c r="VE20" s="24"/>
      <c r="VF20" s="24"/>
      <c r="VG20" s="24"/>
      <c r="VH20" s="24"/>
      <c r="VI20" s="24"/>
      <c r="VJ20" s="24"/>
      <c r="VK20" s="24"/>
      <c r="VL20" s="24"/>
      <c r="VM20" s="24"/>
      <c r="VN20" s="24"/>
      <c r="VO20" s="24"/>
      <c r="VP20" s="24"/>
      <c r="VQ20" s="24"/>
      <c r="VR20" s="24"/>
      <c r="VS20" s="24"/>
      <c r="VT20" s="24"/>
      <c r="VU20" s="24"/>
      <c r="VV20" s="24"/>
      <c r="VW20" s="24"/>
      <c r="VX20" s="24"/>
      <c r="VY20" s="24"/>
      <c r="VZ20" s="24"/>
      <c r="WA20" s="24"/>
      <c r="WB20" s="24"/>
      <c r="WC20" s="24"/>
      <c r="WD20" s="24"/>
      <c r="WE20" s="24"/>
      <c r="WF20" s="24"/>
      <c r="WG20" s="24"/>
      <c r="WH20" s="24"/>
      <c r="WI20" s="24"/>
      <c r="WJ20" s="24"/>
      <c r="WK20" s="24"/>
      <c r="WL20" s="24"/>
      <c r="WM20" s="24"/>
      <c r="WN20" s="24"/>
      <c r="WO20" s="24"/>
      <c r="WP20" s="24"/>
      <c r="WQ20" s="24"/>
      <c r="WR20" s="24"/>
      <c r="WS20" s="24"/>
      <c r="WT20" s="24"/>
      <c r="WU20" s="24"/>
      <c r="WV20" s="24"/>
      <c r="WW20" s="24"/>
      <c r="WX20" s="24"/>
      <c r="WY20" s="24"/>
      <c r="WZ20" s="24"/>
      <c r="XA20" s="24"/>
      <c r="XB20" s="24"/>
      <c r="XC20" s="24"/>
      <c r="XD20" s="24"/>
      <c r="XE20" s="24"/>
      <c r="XF20" s="24"/>
      <c r="XG20" s="24"/>
      <c r="XH20" s="24"/>
      <c r="XI20" s="24"/>
      <c r="XJ20" s="24"/>
      <c r="XK20" s="24"/>
      <c r="XL20" s="24"/>
      <c r="XM20" s="24"/>
      <c r="XN20" s="24"/>
      <c r="XO20" s="24"/>
      <c r="XP20" s="24"/>
      <c r="XQ20" s="24"/>
      <c r="XR20" s="24"/>
      <c r="XS20" s="24"/>
      <c r="XT20" s="24"/>
      <c r="XU20" s="24"/>
      <c r="XV20" s="24"/>
      <c r="XW20" s="24"/>
      <c r="XX20" s="24"/>
      <c r="XY20" s="24"/>
      <c r="XZ20" s="24"/>
      <c r="YA20" s="24"/>
      <c r="YB20" s="24"/>
      <c r="YC20" s="24"/>
      <c r="YD20" s="24"/>
      <c r="YE20" s="24"/>
      <c r="YF20" s="24"/>
      <c r="YG20" s="24"/>
      <c r="YH20" s="24"/>
      <c r="YI20" s="24"/>
      <c r="YJ20" s="24"/>
      <c r="YK20" s="24"/>
      <c r="YL20" s="24"/>
      <c r="YM20" s="24"/>
      <c r="YN20" s="24"/>
      <c r="YO20" s="24"/>
      <c r="YP20" s="24"/>
      <c r="YQ20" s="24"/>
      <c r="YR20" s="24"/>
      <c r="YS20" s="24"/>
      <c r="YT20" s="24"/>
      <c r="YU20" s="24"/>
      <c r="YV20" s="24"/>
      <c r="YW20" s="24"/>
      <c r="YX20" s="24"/>
      <c r="YY20" s="24"/>
      <c r="YZ20" s="24"/>
      <c r="ZA20" s="24"/>
      <c r="ZB20" s="24"/>
      <c r="ZC20" s="24"/>
      <c r="ZD20" s="24"/>
      <c r="ZE20" s="24"/>
      <c r="ZF20" s="24"/>
      <c r="ZG20" s="24"/>
      <c r="ZH20" s="24"/>
      <c r="ZI20" s="24"/>
      <c r="ZJ20" s="24"/>
      <c r="ZK20" s="24"/>
      <c r="ZL20" s="24"/>
      <c r="ZM20" s="24"/>
      <c r="ZN20" s="24"/>
      <c r="ZO20" s="24"/>
      <c r="ZP20" s="24"/>
      <c r="ZQ20" s="24"/>
      <c r="ZR20" s="24"/>
      <c r="ZS20" s="24"/>
      <c r="ZT20" s="24"/>
      <c r="ZU20" s="24"/>
      <c r="ZV20" s="24"/>
      <c r="ZW20" s="24"/>
      <c r="ZX20" s="24"/>
      <c r="ZY20" s="24"/>
      <c r="ZZ20" s="24"/>
      <c r="AAA20" s="24"/>
      <c r="AAB20" s="24"/>
      <c r="AAC20" s="24"/>
      <c r="AAD20" s="24"/>
      <c r="AAE20" s="24"/>
      <c r="AAF20" s="24"/>
      <c r="AAG20" s="24"/>
      <c r="AAH20" s="24"/>
      <c r="AAI20" s="24"/>
      <c r="AAJ20" s="24"/>
      <c r="AAK20" s="24"/>
      <c r="AAL20" s="24"/>
      <c r="AAM20" s="24"/>
      <c r="AAN20" s="24"/>
      <c r="AAO20" s="24"/>
      <c r="AAP20" s="24"/>
      <c r="AAQ20" s="24"/>
      <c r="AAR20" s="24"/>
      <c r="AAS20" s="24"/>
      <c r="AAT20" s="24"/>
      <c r="AAU20" s="24"/>
      <c r="AAV20" s="24"/>
      <c r="AAW20" s="24"/>
      <c r="AAX20" s="24"/>
      <c r="AAY20" s="24"/>
      <c r="AAZ20" s="24"/>
      <c r="ABA20" s="24"/>
      <c r="ABB20" s="24"/>
      <c r="ABC20" s="24"/>
      <c r="ABD20" s="24"/>
      <c r="ABE20" s="24"/>
      <c r="ABF20" s="24"/>
      <c r="ABG20" s="24"/>
      <c r="ABH20" s="24"/>
      <c r="ABI20" s="24"/>
      <c r="ABJ20" s="24"/>
      <c r="ABK20" s="24"/>
      <c r="ABL20" s="24"/>
      <c r="ABM20" s="24"/>
      <c r="ABN20" s="24"/>
      <c r="ABO20" s="24"/>
      <c r="ABP20" s="24"/>
      <c r="ABQ20" s="24"/>
      <c r="ABR20" s="24"/>
      <c r="ABS20" s="24"/>
      <c r="ABT20" s="24"/>
      <c r="ABU20" s="24"/>
      <c r="ABV20" s="24"/>
      <c r="ABW20" s="24"/>
      <c r="ABX20" s="24"/>
      <c r="ABY20" s="24"/>
      <c r="ABZ20" s="24"/>
      <c r="ACA20" s="24"/>
      <c r="ACB20" s="24"/>
      <c r="ACC20" s="24"/>
      <c r="ACD20" s="24"/>
      <c r="ACE20" s="24"/>
      <c r="ACF20" s="24"/>
      <c r="ACG20" s="24"/>
      <c r="ACH20" s="24"/>
      <c r="ACI20" s="24"/>
      <c r="ACJ20" s="24"/>
      <c r="ACK20" s="24"/>
      <c r="ACL20" s="24"/>
      <c r="ACM20" s="24"/>
      <c r="ACN20" s="24"/>
      <c r="ACO20" s="24"/>
      <c r="ACP20" s="24"/>
      <c r="ACQ20" s="24"/>
      <c r="ACR20" s="24"/>
      <c r="ACS20" s="24"/>
      <c r="ACT20" s="24"/>
      <c r="ACU20" s="24"/>
      <c r="ACV20" s="24"/>
      <c r="ACW20" s="24"/>
      <c r="ACX20" s="24"/>
      <c r="ACY20" s="24"/>
      <c r="ACZ20" s="24"/>
      <c r="ADA20" s="24"/>
      <c r="ADB20" s="24"/>
      <c r="ADC20" s="24"/>
      <c r="ADD20" s="24"/>
      <c r="ADE20" s="24"/>
      <c r="ADF20" s="24"/>
      <c r="ADG20" s="24"/>
      <c r="ADH20" s="24"/>
      <c r="ADI20" s="24"/>
      <c r="ADJ20" s="24"/>
      <c r="ADK20" s="24"/>
      <c r="ADL20" s="24"/>
      <c r="ADM20" s="24"/>
      <c r="ADN20" s="24"/>
      <c r="ADO20" s="24"/>
      <c r="ADP20" s="24"/>
      <c r="ADQ20" s="24"/>
      <c r="ADR20" s="24"/>
      <c r="ADS20" s="24"/>
      <c r="ADT20" s="24"/>
      <c r="ADU20" s="24"/>
      <c r="ADV20" s="24"/>
      <c r="ADW20" s="24"/>
      <c r="ADX20" s="24"/>
      <c r="ADY20" s="24"/>
      <c r="ADZ20" s="24"/>
      <c r="AEA20" s="24"/>
      <c r="AEB20" s="24"/>
      <c r="AEC20" s="24"/>
      <c r="AED20" s="24"/>
      <c r="AEE20" s="24"/>
      <c r="AEF20" s="24"/>
      <c r="AEG20" s="24"/>
      <c r="AEH20" s="24"/>
      <c r="AEI20" s="24"/>
      <c r="AEJ20" s="24"/>
      <c r="AEK20" s="24"/>
      <c r="AEL20" s="24"/>
      <c r="AEM20" s="24"/>
      <c r="AEN20" s="24"/>
      <c r="AEO20" s="24"/>
      <c r="AEP20" s="24"/>
      <c r="AEQ20" s="24"/>
      <c r="AER20" s="24"/>
      <c r="AES20" s="24"/>
      <c r="AET20" s="24"/>
      <c r="AEU20" s="24"/>
      <c r="AEV20" s="24"/>
      <c r="AEW20" s="24"/>
      <c r="AEX20" s="24"/>
      <c r="AEY20" s="24"/>
      <c r="AEZ20" s="24"/>
      <c r="AFA20" s="24"/>
      <c r="AFB20" s="24"/>
      <c r="AFC20" s="24"/>
      <c r="AFD20" s="24"/>
      <c r="AFE20" s="24"/>
      <c r="AFF20" s="24"/>
      <c r="AFG20" s="24"/>
      <c r="AFH20" s="24"/>
      <c r="AFI20" s="24"/>
      <c r="AFJ20" s="24"/>
      <c r="AFK20" s="24"/>
      <c r="AFL20" s="24"/>
      <c r="AFM20" s="24"/>
      <c r="AFN20" s="24"/>
      <c r="AFO20" s="24"/>
      <c r="AFP20" s="24"/>
      <c r="AFQ20" s="24"/>
      <c r="AFR20" s="24"/>
      <c r="AFS20" s="24"/>
      <c r="AFT20" s="24"/>
      <c r="AFU20" s="24"/>
      <c r="AFV20" s="24"/>
      <c r="AFW20" s="24"/>
      <c r="AFX20" s="24"/>
      <c r="AFY20" s="24"/>
      <c r="AFZ20" s="24"/>
      <c r="AGA20" s="24"/>
      <c r="AGB20" s="24"/>
      <c r="AGC20" s="24"/>
      <c r="AGD20" s="24"/>
      <c r="AGE20" s="24"/>
      <c r="AGF20" s="24"/>
      <c r="AGG20" s="24"/>
      <c r="AGH20" s="24"/>
      <c r="AGI20" s="24"/>
      <c r="AGJ20" s="24"/>
      <c r="AGK20" s="24"/>
      <c r="AGL20" s="24"/>
      <c r="AGM20" s="24"/>
      <c r="AGN20" s="24"/>
      <c r="AGO20" s="24"/>
      <c r="AGP20" s="24"/>
      <c r="AGQ20" s="24"/>
      <c r="AGR20" s="24"/>
      <c r="AGS20" s="24"/>
      <c r="AGT20" s="24"/>
      <c r="AGU20" s="24"/>
      <c r="AGV20" s="24"/>
      <c r="AGW20" s="24"/>
      <c r="AGX20" s="24"/>
      <c r="AGY20" s="24"/>
      <c r="AGZ20" s="24"/>
      <c r="AHA20" s="24"/>
      <c r="AHB20" s="24"/>
      <c r="AHC20" s="24"/>
      <c r="AHD20" s="24"/>
      <c r="AHE20" s="24"/>
      <c r="AHF20" s="24"/>
      <c r="AHG20" s="24"/>
      <c r="AHH20" s="24"/>
      <c r="AHI20" s="24"/>
      <c r="AHJ20" s="24"/>
      <c r="AHK20" s="24"/>
      <c r="AHL20" s="24"/>
      <c r="AHM20" s="24"/>
      <c r="AHN20" s="24"/>
      <c r="AHO20" s="24"/>
      <c r="AHP20" s="24"/>
      <c r="AHQ20" s="24"/>
      <c r="AHR20" s="24"/>
      <c r="AHS20" s="24"/>
      <c r="AHT20" s="24"/>
      <c r="AHU20" s="24"/>
      <c r="AHV20" s="24"/>
      <c r="AHW20" s="24"/>
      <c r="AHX20" s="24"/>
      <c r="AHY20" s="24"/>
      <c r="AHZ20" s="24"/>
      <c r="AIA20" s="24"/>
      <c r="AIB20" s="24"/>
      <c r="AIC20" s="24"/>
      <c r="AID20" s="24"/>
      <c r="AIE20" s="24"/>
      <c r="AIF20" s="24"/>
      <c r="AIG20" s="24"/>
      <c r="AIH20" s="24"/>
      <c r="AII20" s="24"/>
      <c r="AIJ20" s="24"/>
      <c r="AIK20" s="24"/>
      <c r="AIL20" s="24"/>
      <c r="AIM20" s="24"/>
      <c r="AIN20" s="24"/>
      <c r="AIO20" s="24"/>
      <c r="AIP20" s="24"/>
      <c r="AIQ20" s="24"/>
      <c r="AIR20" s="24"/>
      <c r="AIS20" s="24"/>
      <c r="AIT20" s="24"/>
      <c r="AIU20" s="24"/>
      <c r="AIV20" s="24"/>
      <c r="AIW20" s="24"/>
      <c r="AIX20" s="24"/>
      <c r="AIY20" s="24"/>
      <c r="AIZ20" s="24"/>
      <c r="AJA20" s="24"/>
      <c r="AJB20" s="24"/>
      <c r="AJC20" s="24"/>
      <c r="AJD20" s="24"/>
      <c r="AJE20" s="24"/>
      <c r="AJF20" s="24"/>
      <c r="AJG20" s="24"/>
      <c r="AJH20" s="24"/>
      <c r="AJI20" s="24"/>
      <c r="AJJ20" s="24"/>
      <c r="AJK20" s="24"/>
      <c r="AJL20" s="24"/>
      <c r="AJM20" s="24"/>
      <c r="AJN20" s="24"/>
      <c r="AJO20" s="24"/>
      <c r="AJP20" s="24"/>
      <c r="AJQ20" s="24"/>
      <c r="AJR20" s="24"/>
      <c r="AJS20" s="24"/>
      <c r="AJT20" s="24"/>
      <c r="AJU20" s="24"/>
      <c r="AJV20" s="24"/>
      <c r="AJW20" s="24"/>
      <c r="AJX20" s="24"/>
      <c r="AJY20" s="24"/>
      <c r="AJZ20" s="24"/>
      <c r="AKA20" s="24"/>
      <c r="AKB20" s="24"/>
      <c r="AKC20" s="24"/>
      <c r="AKD20" s="24"/>
      <c r="AKE20" s="24"/>
      <c r="AKF20" s="24"/>
      <c r="AKG20" s="24"/>
      <c r="AKH20" s="24"/>
      <c r="AKI20" s="24"/>
      <c r="AKJ20" s="24"/>
      <c r="AKK20" s="24"/>
      <c r="AKL20" s="24"/>
      <c r="AKM20" s="24"/>
      <c r="AKN20" s="24"/>
      <c r="AKO20" s="24"/>
      <c r="AKP20" s="24"/>
      <c r="AKQ20" s="24"/>
      <c r="AKR20" s="24"/>
      <c r="AKS20" s="24"/>
      <c r="AKT20" s="24"/>
      <c r="AKU20" s="24"/>
      <c r="AKV20" s="24"/>
      <c r="AKW20" s="24"/>
      <c r="AKX20" s="24"/>
      <c r="AKY20" s="24"/>
      <c r="AKZ20" s="24"/>
      <c r="ALA20" s="24"/>
      <c r="ALB20" s="24"/>
      <c r="ALC20" s="24"/>
      <c r="ALD20" s="24"/>
      <c r="ALE20" s="24"/>
      <c r="ALF20" s="24"/>
      <c r="ALG20" s="24"/>
      <c r="ALH20" s="24"/>
      <c r="ALI20" s="24"/>
      <c r="ALJ20" s="24"/>
      <c r="ALK20" s="24"/>
      <c r="ALL20" s="24"/>
      <c r="ALM20" s="24"/>
      <c r="ALN20" s="24"/>
      <c r="ALO20" s="24"/>
      <c r="ALP20" s="24"/>
      <c r="ALQ20" s="24"/>
      <c r="ALR20" s="24"/>
      <c r="ALS20" s="24"/>
      <c r="ALT20" s="24"/>
      <c r="ALU20" s="24"/>
      <c r="ALV20" s="24"/>
      <c r="ALW20" s="24"/>
      <c r="ALX20" s="24"/>
      <c r="ALY20" s="24"/>
      <c r="ALZ20" s="24"/>
      <c r="AMA20" s="24"/>
      <c r="AMB20" s="24"/>
      <c r="AMC20" s="24"/>
      <c r="AMD20" s="24"/>
      <c r="AME20" s="24"/>
      <c r="AMF20" s="24"/>
      <c r="AMG20" s="24"/>
      <c r="AMH20" s="24"/>
    </row>
    <row r="21" spans="2:1022" ht="76.5">
      <c r="B21" s="603"/>
      <c r="C21" s="1135"/>
      <c r="D21" s="1137"/>
      <c r="E21" s="1140"/>
      <c r="F21" s="484"/>
      <c r="G21" s="605" t="s">
        <v>909</v>
      </c>
      <c r="H21" s="602" t="s">
        <v>486</v>
      </c>
      <c r="I21" s="602" t="s">
        <v>718</v>
      </c>
      <c r="J21" s="1127"/>
      <c r="K21" s="601" t="s">
        <v>487</v>
      </c>
      <c r="L21" s="601" t="s">
        <v>996</v>
      </c>
      <c r="M21" s="1127"/>
      <c r="N21" s="608" t="s">
        <v>966</v>
      </c>
      <c r="O21" s="1127"/>
      <c r="P21" s="1126" t="s">
        <v>192</v>
      </c>
      <c r="Q21" s="1126" t="s">
        <v>780</v>
      </c>
      <c r="R21" s="1126"/>
      <c r="S21" s="1126">
        <v>1</v>
      </c>
      <c r="T21" s="1126" t="s">
        <v>919</v>
      </c>
      <c r="U21" s="1130"/>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c r="KI21" s="24"/>
      <c r="KJ21" s="24"/>
      <c r="KK21" s="24"/>
      <c r="KL21" s="24"/>
      <c r="KM21" s="24"/>
      <c r="KN21" s="24"/>
      <c r="KO21" s="24"/>
      <c r="KP21" s="24"/>
      <c r="KQ21" s="24"/>
      <c r="KR21" s="24"/>
      <c r="KS21" s="24"/>
      <c r="KT21" s="24"/>
      <c r="KU21" s="24"/>
      <c r="KV21" s="24"/>
      <c r="KW21" s="24"/>
      <c r="KX21" s="24"/>
      <c r="KY21" s="24"/>
      <c r="KZ21" s="24"/>
      <c r="LA21" s="24"/>
      <c r="LB21" s="24"/>
      <c r="LC21" s="24"/>
      <c r="LD21" s="24"/>
      <c r="LE21" s="24"/>
      <c r="LF21" s="24"/>
      <c r="LG21" s="24"/>
      <c r="LH21" s="24"/>
      <c r="LI21" s="24"/>
      <c r="LJ21" s="24"/>
      <c r="LK21" s="24"/>
      <c r="LL21" s="24"/>
      <c r="LM21" s="24"/>
      <c r="LN21" s="24"/>
      <c r="LO21" s="24"/>
      <c r="LP21" s="24"/>
      <c r="LQ21" s="24"/>
      <c r="LR21" s="24"/>
      <c r="LS21" s="24"/>
      <c r="LT21" s="24"/>
      <c r="LU21" s="24"/>
      <c r="LV21" s="24"/>
      <c r="LW21" s="24"/>
      <c r="LX21" s="24"/>
      <c r="LY21" s="24"/>
      <c r="LZ21" s="24"/>
      <c r="MA21" s="24"/>
      <c r="MB21" s="24"/>
      <c r="MC21" s="24"/>
      <c r="MD21" s="24"/>
      <c r="ME21" s="24"/>
      <c r="MF21" s="24"/>
      <c r="MG21" s="24"/>
      <c r="MH21" s="24"/>
      <c r="MI21" s="24"/>
      <c r="MJ21" s="24"/>
      <c r="MK21" s="24"/>
      <c r="ML21" s="24"/>
      <c r="MM21" s="24"/>
      <c r="MN21" s="24"/>
      <c r="MO21" s="24"/>
      <c r="MP21" s="24"/>
      <c r="MQ21" s="24"/>
      <c r="MR21" s="24"/>
      <c r="MS21" s="24"/>
      <c r="MT21" s="24"/>
      <c r="MU21" s="24"/>
      <c r="MV21" s="24"/>
      <c r="MW21" s="24"/>
      <c r="MX21" s="24"/>
      <c r="MY21" s="24"/>
      <c r="MZ21" s="24"/>
      <c r="NA21" s="24"/>
      <c r="NB21" s="24"/>
      <c r="NC21" s="24"/>
      <c r="ND21" s="24"/>
      <c r="NE21" s="24"/>
      <c r="NF21" s="24"/>
      <c r="NG21" s="24"/>
      <c r="NH21" s="24"/>
      <c r="NI21" s="24"/>
      <c r="NJ21" s="24"/>
      <c r="NK21" s="24"/>
      <c r="NL21" s="24"/>
      <c r="NM21" s="24"/>
      <c r="NN21" s="24"/>
      <c r="NO21" s="24"/>
      <c r="NP21" s="24"/>
      <c r="NQ21" s="24"/>
      <c r="NR21" s="24"/>
      <c r="NS21" s="24"/>
      <c r="NT21" s="24"/>
      <c r="NU21" s="24"/>
      <c r="NV21" s="24"/>
      <c r="NW21" s="24"/>
      <c r="NX21" s="24"/>
      <c r="NY21" s="24"/>
      <c r="NZ21" s="24"/>
      <c r="OA21" s="24"/>
      <c r="OB21" s="24"/>
      <c r="OC21" s="24"/>
      <c r="OD21" s="24"/>
      <c r="OE21" s="24"/>
      <c r="OF21" s="24"/>
      <c r="OG21" s="24"/>
      <c r="OH21" s="24"/>
      <c r="OI21" s="24"/>
      <c r="OJ21" s="24"/>
      <c r="OK21" s="24"/>
      <c r="OL21" s="24"/>
      <c r="OM21" s="24"/>
      <c r="ON21" s="24"/>
      <c r="OO21" s="24"/>
      <c r="OP21" s="24"/>
      <c r="OQ21" s="24"/>
      <c r="OR21" s="24"/>
      <c r="OS21" s="24"/>
      <c r="OT21" s="24"/>
      <c r="OU21" s="24"/>
      <c r="OV21" s="24"/>
      <c r="OW21" s="24"/>
      <c r="OX21" s="24"/>
      <c r="OY21" s="24"/>
      <c r="OZ21" s="24"/>
      <c r="PA21" s="24"/>
      <c r="PB21" s="24"/>
      <c r="PC21" s="24"/>
      <c r="PD21" s="24"/>
      <c r="PE21" s="24"/>
      <c r="PF21" s="24"/>
      <c r="PG21" s="24"/>
      <c r="PH21" s="24"/>
      <c r="PI21" s="24"/>
      <c r="PJ21" s="24"/>
      <c r="PK21" s="24"/>
      <c r="PL21" s="24"/>
      <c r="PM21" s="24"/>
      <c r="PN21" s="24"/>
      <c r="PO21" s="24"/>
      <c r="PP21" s="24"/>
      <c r="PQ21" s="24"/>
      <c r="PR21" s="24"/>
      <c r="PS21" s="24"/>
      <c r="PT21" s="24"/>
      <c r="PU21" s="24"/>
      <c r="PV21" s="24"/>
      <c r="PW21" s="24"/>
      <c r="PX21" s="24"/>
      <c r="PY21" s="24"/>
      <c r="PZ21" s="24"/>
      <c r="QA21" s="24"/>
      <c r="QB21" s="24"/>
      <c r="QC21" s="24"/>
      <c r="QD21" s="24"/>
      <c r="QE21" s="24"/>
      <c r="QF21" s="24"/>
      <c r="QG21" s="24"/>
      <c r="QH21" s="24"/>
      <c r="QI21" s="24"/>
      <c r="QJ21" s="24"/>
      <c r="QK21" s="24"/>
      <c r="QL21" s="24"/>
      <c r="QM21" s="24"/>
      <c r="QN21" s="24"/>
      <c r="QO21" s="24"/>
      <c r="QP21" s="24"/>
      <c r="QQ21" s="24"/>
      <c r="QR21" s="24"/>
      <c r="QS21" s="24"/>
      <c r="QT21" s="24"/>
      <c r="QU21" s="24"/>
      <c r="QV21" s="24"/>
      <c r="QW21" s="24"/>
      <c r="QX21" s="24"/>
      <c r="QY21" s="24"/>
      <c r="QZ21" s="24"/>
      <c r="RA21" s="24"/>
      <c r="RB21" s="24"/>
      <c r="RC21" s="24"/>
      <c r="RD21" s="24"/>
      <c r="RE21" s="24"/>
      <c r="RF21" s="24"/>
      <c r="RG21" s="24"/>
      <c r="RH21" s="24"/>
      <c r="RI21" s="24"/>
      <c r="RJ21" s="24"/>
      <c r="RK21" s="24"/>
      <c r="RL21" s="24"/>
      <c r="RM21" s="24"/>
      <c r="RN21" s="24"/>
      <c r="RO21" s="24"/>
      <c r="RP21" s="24"/>
      <c r="RQ21" s="24"/>
      <c r="RR21" s="24"/>
      <c r="RS21" s="24"/>
      <c r="RT21" s="24"/>
      <c r="RU21" s="24"/>
      <c r="RV21" s="24"/>
      <c r="RW21" s="24"/>
      <c r="RX21" s="24"/>
      <c r="RY21" s="24"/>
      <c r="RZ21" s="24"/>
      <c r="SA21" s="24"/>
      <c r="SB21" s="24"/>
      <c r="SC21" s="24"/>
      <c r="SD21" s="24"/>
      <c r="SE21" s="24"/>
      <c r="SF21" s="24"/>
      <c r="SG21" s="24"/>
      <c r="SH21" s="24"/>
      <c r="SI21" s="24"/>
      <c r="SJ21" s="24"/>
      <c r="SK21" s="24"/>
      <c r="SL21" s="24"/>
      <c r="SM21" s="24"/>
      <c r="SN21" s="24"/>
      <c r="SO21" s="24"/>
      <c r="SP21" s="24"/>
      <c r="SQ21" s="24"/>
      <c r="SR21" s="24"/>
      <c r="SS21" s="24"/>
      <c r="ST21" s="24"/>
      <c r="SU21" s="24"/>
      <c r="SV21" s="24"/>
      <c r="SW21" s="24"/>
      <c r="SX21" s="24"/>
      <c r="SY21" s="24"/>
      <c r="SZ21" s="24"/>
      <c r="TA21" s="24"/>
      <c r="TB21" s="24"/>
      <c r="TC21" s="24"/>
      <c r="TD21" s="24"/>
      <c r="TE21" s="24"/>
      <c r="TF21" s="24"/>
      <c r="TG21" s="24"/>
      <c r="TH21" s="24"/>
      <c r="TI21" s="24"/>
      <c r="TJ21" s="24"/>
      <c r="TK21" s="24"/>
      <c r="TL21" s="24"/>
      <c r="TM21" s="24"/>
      <c r="TN21" s="24"/>
      <c r="TO21" s="24"/>
      <c r="TP21" s="24"/>
      <c r="TQ21" s="24"/>
      <c r="TR21" s="24"/>
      <c r="TS21" s="24"/>
      <c r="TT21" s="24"/>
      <c r="TU21" s="24"/>
      <c r="TV21" s="24"/>
      <c r="TW21" s="24"/>
      <c r="TX21" s="24"/>
      <c r="TY21" s="24"/>
      <c r="TZ21" s="24"/>
      <c r="UA21" s="24"/>
      <c r="UB21" s="24"/>
      <c r="UC21" s="24"/>
      <c r="UD21" s="24"/>
      <c r="UE21" s="24"/>
      <c r="UF21" s="24"/>
      <c r="UG21" s="24"/>
      <c r="UH21" s="24"/>
      <c r="UI21" s="24"/>
      <c r="UJ21" s="24"/>
      <c r="UK21" s="24"/>
      <c r="UL21" s="24"/>
      <c r="UM21" s="24"/>
      <c r="UN21" s="24"/>
      <c r="UO21" s="24"/>
      <c r="UP21" s="24"/>
      <c r="UQ21" s="24"/>
      <c r="UR21" s="24"/>
      <c r="US21" s="24"/>
      <c r="UT21" s="24"/>
      <c r="UU21" s="24"/>
      <c r="UV21" s="24"/>
      <c r="UW21" s="24"/>
      <c r="UX21" s="24"/>
      <c r="UY21" s="24"/>
      <c r="UZ21" s="24"/>
      <c r="VA21" s="24"/>
      <c r="VB21" s="24"/>
      <c r="VC21" s="24"/>
      <c r="VD21" s="24"/>
      <c r="VE21" s="24"/>
      <c r="VF21" s="24"/>
      <c r="VG21" s="24"/>
      <c r="VH21" s="24"/>
      <c r="VI21" s="24"/>
      <c r="VJ21" s="24"/>
      <c r="VK21" s="24"/>
      <c r="VL21" s="24"/>
      <c r="VM21" s="24"/>
      <c r="VN21" s="24"/>
      <c r="VO21" s="24"/>
      <c r="VP21" s="24"/>
      <c r="VQ21" s="24"/>
      <c r="VR21" s="24"/>
      <c r="VS21" s="24"/>
      <c r="VT21" s="24"/>
      <c r="VU21" s="24"/>
      <c r="VV21" s="24"/>
      <c r="VW21" s="24"/>
      <c r="VX21" s="24"/>
      <c r="VY21" s="24"/>
      <c r="VZ21" s="24"/>
      <c r="WA21" s="24"/>
      <c r="WB21" s="24"/>
      <c r="WC21" s="24"/>
      <c r="WD21" s="24"/>
      <c r="WE21" s="24"/>
      <c r="WF21" s="24"/>
      <c r="WG21" s="24"/>
      <c r="WH21" s="24"/>
      <c r="WI21" s="24"/>
      <c r="WJ21" s="24"/>
      <c r="WK21" s="24"/>
      <c r="WL21" s="24"/>
      <c r="WM21" s="24"/>
      <c r="WN21" s="24"/>
      <c r="WO21" s="24"/>
      <c r="WP21" s="24"/>
      <c r="WQ21" s="24"/>
      <c r="WR21" s="24"/>
      <c r="WS21" s="24"/>
      <c r="WT21" s="24"/>
      <c r="WU21" s="24"/>
      <c r="WV21" s="24"/>
      <c r="WW21" s="24"/>
      <c r="WX21" s="24"/>
      <c r="WY21" s="24"/>
      <c r="WZ21" s="24"/>
      <c r="XA21" s="24"/>
      <c r="XB21" s="24"/>
      <c r="XC21" s="24"/>
      <c r="XD21" s="24"/>
      <c r="XE21" s="24"/>
      <c r="XF21" s="24"/>
      <c r="XG21" s="24"/>
      <c r="XH21" s="24"/>
      <c r="XI21" s="24"/>
      <c r="XJ21" s="24"/>
      <c r="XK21" s="24"/>
      <c r="XL21" s="24"/>
      <c r="XM21" s="24"/>
      <c r="XN21" s="24"/>
      <c r="XO21" s="24"/>
      <c r="XP21" s="24"/>
      <c r="XQ21" s="24"/>
      <c r="XR21" s="24"/>
      <c r="XS21" s="24"/>
      <c r="XT21" s="24"/>
      <c r="XU21" s="24"/>
      <c r="XV21" s="24"/>
      <c r="XW21" s="24"/>
      <c r="XX21" s="24"/>
      <c r="XY21" s="24"/>
      <c r="XZ21" s="24"/>
      <c r="YA21" s="24"/>
      <c r="YB21" s="24"/>
      <c r="YC21" s="24"/>
      <c r="YD21" s="24"/>
      <c r="YE21" s="24"/>
      <c r="YF21" s="24"/>
      <c r="YG21" s="24"/>
      <c r="YH21" s="24"/>
      <c r="YI21" s="24"/>
      <c r="YJ21" s="24"/>
      <c r="YK21" s="24"/>
      <c r="YL21" s="24"/>
      <c r="YM21" s="24"/>
      <c r="YN21" s="24"/>
      <c r="YO21" s="24"/>
      <c r="YP21" s="24"/>
      <c r="YQ21" s="24"/>
      <c r="YR21" s="24"/>
      <c r="YS21" s="24"/>
      <c r="YT21" s="24"/>
      <c r="YU21" s="24"/>
      <c r="YV21" s="24"/>
      <c r="YW21" s="24"/>
      <c r="YX21" s="24"/>
      <c r="YY21" s="24"/>
      <c r="YZ21" s="24"/>
      <c r="ZA21" s="24"/>
      <c r="ZB21" s="24"/>
      <c r="ZC21" s="24"/>
      <c r="ZD21" s="24"/>
      <c r="ZE21" s="24"/>
      <c r="ZF21" s="24"/>
      <c r="ZG21" s="24"/>
      <c r="ZH21" s="24"/>
      <c r="ZI21" s="24"/>
      <c r="ZJ21" s="24"/>
      <c r="ZK21" s="24"/>
      <c r="ZL21" s="24"/>
      <c r="ZM21" s="24"/>
      <c r="ZN21" s="24"/>
      <c r="ZO21" s="24"/>
      <c r="ZP21" s="24"/>
      <c r="ZQ21" s="24"/>
      <c r="ZR21" s="24"/>
      <c r="ZS21" s="24"/>
      <c r="ZT21" s="24"/>
      <c r="ZU21" s="24"/>
      <c r="ZV21" s="24"/>
      <c r="ZW21" s="24"/>
      <c r="ZX21" s="24"/>
      <c r="ZY21" s="24"/>
      <c r="ZZ21" s="24"/>
      <c r="AAA21" s="24"/>
      <c r="AAB21" s="24"/>
      <c r="AAC21" s="24"/>
      <c r="AAD21" s="24"/>
      <c r="AAE21" s="24"/>
      <c r="AAF21" s="24"/>
      <c r="AAG21" s="24"/>
      <c r="AAH21" s="24"/>
      <c r="AAI21" s="24"/>
      <c r="AAJ21" s="24"/>
      <c r="AAK21" s="24"/>
      <c r="AAL21" s="24"/>
      <c r="AAM21" s="24"/>
      <c r="AAN21" s="24"/>
      <c r="AAO21" s="24"/>
      <c r="AAP21" s="24"/>
      <c r="AAQ21" s="24"/>
      <c r="AAR21" s="24"/>
      <c r="AAS21" s="24"/>
      <c r="AAT21" s="24"/>
      <c r="AAU21" s="24"/>
      <c r="AAV21" s="24"/>
      <c r="AAW21" s="24"/>
      <c r="AAX21" s="24"/>
      <c r="AAY21" s="24"/>
      <c r="AAZ21" s="24"/>
      <c r="ABA21" s="24"/>
      <c r="ABB21" s="24"/>
      <c r="ABC21" s="24"/>
      <c r="ABD21" s="24"/>
      <c r="ABE21" s="24"/>
      <c r="ABF21" s="24"/>
      <c r="ABG21" s="24"/>
      <c r="ABH21" s="24"/>
      <c r="ABI21" s="24"/>
      <c r="ABJ21" s="24"/>
      <c r="ABK21" s="24"/>
      <c r="ABL21" s="24"/>
      <c r="ABM21" s="24"/>
      <c r="ABN21" s="24"/>
      <c r="ABO21" s="24"/>
      <c r="ABP21" s="24"/>
      <c r="ABQ21" s="24"/>
      <c r="ABR21" s="24"/>
      <c r="ABS21" s="24"/>
      <c r="ABT21" s="24"/>
      <c r="ABU21" s="24"/>
      <c r="ABV21" s="24"/>
      <c r="ABW21" s="24"/>
      <c r="ABX21" s="24"/>
      <c r="ABY21" s="24"/>
      <c r="ABZ21" s="24"/>
      <c r="ACA21" s="24"/>
      <c r="ACB21" s="24"/>
      <c r="ACC21" s="24"/>
      <c r="ACD21" s="24"/>
      <c r="ACE21" s="24"/>
      <c r="ACF21" s="24"/>
      <c r="ACG21" s="24"/>
      <c r="ACH21" s="24"/>
      <c r="ACI21" s="24"/>
      <c r="ACJ21" s="24"/>
      <c r="ACK21" s="24"/>
      <c r="ACL21" s="24"/>
      <c r="ACM21" s="24"/>
      <c r="ACN21" s="24"/>
      <c r="ACO21" s="24"/>
      <c r="ACP21" s="24"/>
      <c r="ACQ21" s="24"/>
      <c r="ACR21" s="24"/>
      <c r="ACS21" s="24"/>
      <c r="ACT21" s="24"/>
      <c r="ACU21" s="24"/>
      <c r="ACV21" s="24"/>
      <c r="ACW21" s="24"/>
      <c r="ACX21" s="24"/>
      <c r="ACY21" s="24"/>
      <c r="ACZ21" s="24"/>
      <c r="ADA21" s="24"/>
      <c r="ADB21" s="24"/>
      <c r="ADC21" s="24"/>
      <c r="ADD21" s="24"/>
      <c r="ADE21" s="24"/>
      <c r="ADF21" s="24"/>
      <c r="ADG21" s="24"/>
      <c r="ADH21" s="24"/>
      <c r="ADI21" s="24"/>
      <c r="ADJ21" s="24"/>
      <c r="ADK21" s="24"/>
      <c r="ADL21" s="24"/>
      <c r="ADM21" s="24"/>
      <c r="ADN21" s="24"/>
      <c r="ADO21" s="24"/>
      <c r="ADP21" s="24"/>
      <c r="ADQ21" s="24"/>
      <c r="ADR21" s="24"/>
      <c r="ADS21" s="24"/>
      <c r="ADT21" s="24"/>
      <c r="ADU21" s="24"/>
      <c r="ADV21" s="24"/>
      <c r="ADW21" s="24"/>
      <c r="ADX21" s="24"/>
      <c r="ADY21" s="24"/>
      <c r="ADZ21" s="24"/>
      <c r="AEA21" s="24"/>
      <c r="AEB21" s="24"/>
      <c r="AEC21" s="24"/>
      <c r="AED21" s="24"/>
      <c r="AEE21" s="24"/>
      <c r="AEF21" s="24"/>
      <c r="AEG21" s="24"/>
      <c r="AEH21" s="24"/>
      <c r="AEI21" s="24"/>
      <c r="AEJ21" s="24"/>
      <c r="AEK21" s="24"/>
      <c r="AEL21" s="24"/>
      <c r="AEM21" s="24"/>
      <c r="AEN21" s="24"/>
      <c r="AEO21" s="24"/>
      <c r="AEP21" s="24"/>
      <c r="AEQ21" s="24"/>
      <c r="AER21" s="24"/>
      <c r="AES21" s="24"/>
      <c r="AET21" s="24"/>
      <c r="AEU21" s="24"/>
      <c r="AEV21" s="24"/>
      <c r="AEW21" s="24"/>
      <c r="AEX21" s="24"/>
      <c r="AEY21" s="24"/>
      <c r="AEZ21" s="24"/>
      <c r="AFA21" s="24"/>
      <c r="AFB21" s="24"/>
      <c r="AFC21" s="24"/>
      <c r="AFD21" s="24"/>
      <c r="AFE21" s="24"/>
      <c r="AFF21" s="24"/>
      <c r="AFG21" s="24"/>
      <c r="AFH21" s="24"/>
      <c r="AFI21" s="24"/>
      <c r="AFJ21" s="24"/>
      <c r="AFK21" s="24"/>
      <c r="AFL21" s="24"/>
      <c r="AFM21" s="24"/>
      <c r="AFN21" s="24"/>
      <c r="AFO21" s="24"/>
      <c r="AFP21" s="24"/>
      <c r="AFQ21" s="24"/>
      <c r="AFR21" s="24"/>
      <c r="AFS21" s="24"/>
      <c r="AFT21" s="24"/>
      <c r="AFU21" s="24"/>
      <c r="AFV21" s="24"/>
      <c r="AFW21" s="24"/>
      <c r="AFX21" s="24"/>
      <c r="AFY21" s="24"/>
      <c r="AFZ21" s="24"/>
      <c r="AGA21" s="24"/>
      <c r="AGB21" s="24"/>
      <c r="AGC21" s="24"/>
      <c r="AGD21" s="24"/>
      <c r="AGE21" s="24"/>
      <c r="AGF21" s="24"/>
      <c r="AGG21" s="24"/>
      <c r="AGH21" s="24"/>
      <c r="AGI21" s="24"/>
      <c r="AGJ21" s="24"/>
      <c r="AGK21" s="24"/>
      <c r="AGL21" s="24"/>
      <c r="AGM21" s="24"/>
      <c r="AGN21" s="24"/>
      <c r="AGO21" s="24"/>
      <c r="AGP21" s="24"/>
      <c r="AGQ21" s="24"/>
      <c r="AGR21" s="24"/>
      <c r="AGS21" s="24"/>
      <c r="AGT21" s="24"/>
      <c r="AGU21" s="24"/>
      <c r="AGV21" s="24"/>
      <c r="AGW21" s="24"/>
      <c r="AGX21" s="24"/>
      <c r="AGY21" s="24"/>
      <c r="AGZ21" s="24"/>
      <c r="AHA21" s="24"/>
      <c r="AHB21" s="24"/>
      <c r="AHC21" s="24"/>
      <c r="AHD21" s="24"/>
      <c r="AHE21" s="24"/>
      <c r="AHF21" s="24"/>
      <c r="AHG21" s="24"/>
      <c r="AHH21" s="24"/>
      <c r="AHI21" s="24"/>
      <c r="AHJ21" s="24"/>
      <c r="AHK21" s="24"/>
      <c r="AHL21" s="24"/>
      <c r="AHM21" s="24"/>
      <c r="AHN21" s="24"/>
      <c r="AHO21" s="24"/>
      <c r="AHP21" s="24"/>
      <c r="AHQ21" s="24"/>
      <c r="AHR21" s="24"/>
      <c r="AHS21" s="24"/>
      <c r="AHT21" s="24"/>
      <c r="AHU21" s="24"/>
      <c r="AHV21" s="24"/>
      <c r="AHW21" s="24"/>
      <c r="AHX21" s="24"/>
      <c r="AHY21" s="24"/>
      <c r="AHZ21" s="24"/>
      <c r="AIA21" s="24"/>
      <c r="AIB21" s="24"/>
      <c r="AIC21" s="24"/>
      <c r="AID21" s="24"/>
      <c r="AIE21" s="24"/>
      <c r="AIF21" s="24"/>
      <c r="AIG21" s="24"/>
      <c r="AIH21" s="24"/>
      <c r="AII21" s="24"/>
      <c r="AIJ21" s="24"/>
      <c r="AIK21" s="24"/>
      <c r="AIL21" s="24"/>
      <c r="AIM21" s="24"/>
      <c r="AIN21" s="24"/>
      <c r="AIO21" s="24"/>
      <c r="AIP21" s="24"/>
      <c r="AIQ21" s="24"/>
      <c r="AIR21" s="24"/>
      <c r="AIS21" s="24"/>
      <c r="AIT21" s="24"/>
      <c r="AIU21" s="24"/>
      <c r="AIV21" s="24"/>
      <c r="AIW21" s="24"/>
      <c r="AIX21" s="24"/>
      <c r="AIY21" s="24"/>
      <c r="AIZ21" s="24"/>
      <c r="AJA21" s="24"/>
      <c r="AJB21" s="24"/>
      <c r="AJC21" s="24"/>
      <c r="AJD21" s="24"/>
      <c r="AJE21" s="24"/>
      <c r="AJF21" s="24"/>
      <c r="AJG21" s="24"/>
      <c r="AJH21" s="24"/>
      <c r="AJI21" s="24"/>
      <c r="AJJ21" s="24"/>
      <c r="AJK21" s="24"/>
      <c r="AJL21" s="24"/>
      <c r="AJM21" s="24"/>
      <c r="AJN21" s="24"/>
      <c r="AJO21" s="24"/>
      <c r="AJP21" s="24"/>
      <c r="AJQ21" s="24"/>
      <c r="AJR21" s="24"/>
      <c r="AJS21" s="24"/>
      <c r="AJT21" s="24"/>
      <c r="AJU21" s="24"/>
      <c r="AJV21" s="24"/>
      <c r="AJW21" s="24"/>
      <c r="AJX21" s="24"/>
      <c r="AJY21" s="24"/>
      <c r="AJZ21" s="24"/>
      <c r="AKA21" s="24"/>
      <c r="AKB21" s="24"/>
      <c r="AKC21" s="24"/>
      <c r="AKD21" s="24"/>
      <c r="AKE21" s="24"/>
      <c r="AKF21" s="24"/>
      <c r="AKG21" s="24"/>
      <c r="AKH21" s="24"/>
      <c r="AKI21" s="24"/>
      <c r="AKJ21" s="24"/>
      <c r="AKK21" s="24"/>
      <c r="AKL21" s="24"/>
      <c r="AKM21" s="24"/>
      <c r="AKN21" s="24"/>
      <c r="AKO21" s="24"/>
      <c r="AKP21" s="24"/>
      <c r="AKQ21" s="24"/>
      <c r="AKR21" s="24"/>
      <c r="AKS21" s="24"/>
      <c r="AKT21" s="24"/>
      <c r="AKU21" s="24"/>
      <c r="AKV21" s="24"/>
      <c r="AKW21" s="24"/>
      <c r="AKX21" s="24"/>
      <c r="AKY21" s="24"/>
      <c r="AKZ21" s="24"/>
      <c r="ALA21" s="24"/>
      <c r="ALB21" s="24"/>
      <c r="ALC21" s="24"/>
      <c r="ALD21" s="24"/>
      <c r="ALE21" s="24"/>
      <c r="ALF21" s="24"/>
      <c r="ALG21" s="24"/>
      <c r="ALH21" s="24"/>
      <c r="ALI21" s="24"/>
      <c r="ALJ21" s="24"/>
      <c r="ALK21" s="24"/>
      <c r="ALL21" s="24"/>
      <c r="ALM21" s="24"/>
      <c r="ALN21" s="24"/>
      <c r="ALO21" s="24"/>
      <c r="ALP21" s="24"/>
      <c r="ALQ21" s="24"/>
      <c r="ALR21" s="24"/>
      <c r="ALS21" s="24"/>
      <c r="ALT21" s="24"/>
      <c r="ALU21" s="24"/>
      <c r="ALV21" s="24"/>
      <c r="ALW21" s="24"/>
      <c r="ALX21" s="24"/>
      <c r="ALY21" s="24"/>
      <c r="ALZ21" s="24"/>
      <c r="AMA21" s="24"/>
      <c r="AMB21" s="24"/>
      <c r="AMC21" s="24"/>
      <c r="AMD21" s="24"/>
      <c r="AME21" s="24"/>
      <c r="AMF21" s="24"/>
      <c r="AMG21" s="24"/>
      <c r="AMH21" s="24"/>
    </row>
    <row r="22" spans="2:1022" ht="141.75">
      <c r="B22" s="603"/>
      <c r="C22" s="1135"/>
      <c r="D22" s="1137"/>
      <c r="E22" s="1140"/>
      <c r="F22" s="484"/>
      <c r="G22" s="607" t="s">
        <v>997</v>
      </c>
      <c r="H22" s="607" t="s">
        <v>998</v>
      </c>
      <c r="I22" s="607" t="s">
        <v>195</v>
      </c>
      <c r="J22" s="1127"/>
      <c r="K22" s="612" t="s">
        <v>1126</v>
      </c>
      <c r="L22" s="612" t="s">
        <v>1127</v>
      </c>
      <c r="M22" s="1152"/>
      <c r="N22" s="591" t="s">
        <v>999</v>
      </c>
      <c r="O22" s="1128"/>
      <c r="P22" s="1128"/>
      <c r="Q22" s="1128"/>
      <c r="R22" s="1128"/>
      <c r="S22" s="1128"/>
      <c r="T22" s="1128"/>
      <c r="U22" s="1131"/>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c r="JB22" s="24"/>
      <c r="JC22" s="24"/>
      <c r="JD22" s="24"/>
      <c r="JE22" s="24"/>
      <c r="JF22" s="24"/>
      <c r="JG22" s="24"/>
      <c r="JH22" s="24"/>
      <c r="JI22" s="24"/>
      <c r="JJ22" s="24"/>
      <c r="JK22" s="24"/>
      <c r="JL22" s="24"/>
      <c r="JM22" s="24"/>
      <c r="JN22" s="24"/>
      <c r="JO22" s="24"/>
      <c r="JP22" s="24"/>
      <c r="JQ22" s="24"/>
      <c r="JR22" s="24"/>
      <c r="JS22" s="24"/>
      <c r="JT22" s="24"/>
      <c r="JU22" s="24"/>
      <c r="JV22" s="24"/>
      <c r="JW22" s="24"/>
      <c r="JX22" s="24"/>
      <c r="JY22" s="24"/>
      <c r="JZ22" s="24"/>
      <c r="KA22" s="24"/>
      <c r="KB22" s="24"/>
      <c r="KC22" s="24"/>
      <c r="KD22" s="24"/>
      <c r="KE22" s="24"/>
      <c r="KF22" s="24"/>
      <c r="KG22" s="24"/>
      <c r="KH22" s="24"/>
      <c r="KI22" s="24"/>
      <c r="KJ22" s="24"/>
      <c r="KK22" s="24"/>
      <c r="KL22" s="24"/>
      <c r="KM22" s="24"/>
      <c r="KN22" s="24"/>
      <c r="KO22" s="24"/>
      <c r="KP22" s="24"/>
      <c r="KQ22" s="24"/>
      <c r="KR22" s="24"/>
      <c r="KS22" s="24"/>
      <c r="KT22" s="24"/>
      <c r="KU22" s="24"/>
      <c r="KV22" s="24"/>
      <c r="KW22" s="24"/>
      <c r="KX22" s="24"/>
      <c r="KY22" s="24"/>
      <c r="KZ22" s="24"/>
      <c r="LA22" s="24"/>
      <c r="LB22" s="24"/>
      <c r="LC22" s="24"/>
      <c r="LD22" s="24"/>
      <c r="LE22" s="24"/>
      <c r="LF22" s="24"/>
      <c r="LG22" s="24"/>
      <c r="LH22" s="24"/>
      <c r="LI22" s="24"/>
      <c r="LJ22" s="24"/>
      <c r="LK22" s="24"/>
      <c r="LL22" s="24"/>
      <c r="LM22" s="24"/>
      <c r="LN22" s="24"/>
      <c r="LO22" s="24"/>
      <c r="LP22" s="24"/>
      <c r="LQ22" s="24"/>
      <c r="LR22" s="24"/>
      <c r="LS22" s="24"/>
      <c r="LT22" s="24"/>
      <c r="LU22" s="24"/>
      <c r="LV22" s="24"/>
      <c r="LW22" s="24"/>
      <c r="LX22" s="24"/>
      <c r="LY22" s="24"/>
      <c r="LZ22" s="24"/>
      <c r="MA22" s="24"/>
      <c r="MB22" s="24"/>
      <c r="MC22" s="24"/>
      <c r="MD22" s="24"/>
      <c r="ME22" s="24"/>
      <c r="MF22" s="24"/>
      <c r="MG22" s="24"/>
      <c r="MH22" s="24"/>
      <c r="MI22" s="24"/>
      <c r="MJ22" s="24"/>
      <c r="MK22" s="24"/>
      <c r="ML22" s="24"/>
      <c r="MM22" s="24"/>
      <c r="MN22" s="24"/>
      <c r="MO22" s="24"/>
      <c r="MP22" s="24"/>
      <c r="MQ22" s="24"/>
      <c r="MR22" s="24"/>
      <c r="MS22" s="24"/>
      <c r="MT22" s="24"/>
      <c r="MU22" s="24"/>
      <c r="MV22" s="24"/>
      <c r="MW22" s="24"/>
      <c r="MX22" s="24"/>
      <c r="MY22" s="24"/>
      <c r="MZ22" s="24"/>
      <c r="NA22" s="24"/>
      <c r="NB22" s="24"/>
      <c r="NC22" s="24"/>
      <c r="ND22" s="24"/>
      <c r="NE22" s="24"/>
      <c r="NF22" s="24"/>
      <c r="NG22" s="24"/>
      <c r="NH22" s="24"/>
      <c r="NI22" s="24"/>
      <c r="NJ22" s="24"/>
      <c r="NK22" s="24"/>
      <c r="NL22" s="24"/>
      <c r="NM22" s="24"/>
      <c r="NN22" s="24"/>
      <c r="NO22" s="24"/>
      <c r="NP22" s="24"/>
      <c r="NQ22" s="24"/>
      <c r="NR22" s="24"/>
      <c r="NS22" s="24"/>
      <c r="NT22" s="24"/>
      <c r="NU22" s="24"/>
      <c r="NV22" s="24"/>
      <c r="NW22" s="24"/>
      <c r="NX22" s="24"/>
      <c r="NY22" s="24"/>
      <c r="NZ22" s="24"/>
      <c r="OA22" s="24"/>
      <c r="OB22" s="24"/>
      <c r="OC22" s="24"/>
      <c r="OD22" s="24"/>
      <c r="OE22" s="24"/>
      <c r="OF22" s="24"/>
      <c r="OG22" s="24"/>
      <c r="OH22" s="24"/>
      <c r="OI22" s="24"/>
      <c r="OJ22" s="24"/>
      <c r="OK22" s="24"/>
      <c r="OL22" s="24"/>
      <c r="OM22" s="24"/>
      <c r="ON22" s="24"/>
      <c r="OO22" s="24"/>
      <c r="OP22" s="24"/>
      <c r="OQ22" s="24"/>
      <c r="OR22" s="24"/>
      <c r="OS22" s="24"/>
      <c r="OT22" s="24"/>
      <c r="OU22" s="24"/>
      <c r="OV22" s="24"/>
      <c r="OW22" s="24"/>
      <c r="OX22" s="24"/>
      <c r="OY22" s="24"/>
      <c r="OZ22" s="24"/>
      <c r="PA22" s="24"/>
      <c r="PB22" s="24"/>
      <c r="PC22" s="24"/>
      <c r="PD22" s="24"/>
      <c r="PE22" s="24"/>
      <c r="PF22" s="24"/>
      <c r="PG22" s="24"/>
      <c r="PH22" s="24"/>
      <c r="PI22" s="24"/>
      <c r="PJ22" s="24"/>
      <c r="PK22" s="24"/>
      <c r="PL22" s="24"/>
      <c r="PM22" s="24"/>
      <c r="PN22" s="24"/>
      <c r="PO22" s="24"/>
      <c r="PP22" s="24"/>
      <c r="PQ22" s="24"/>
      <c r="PR22" s="24"/>
      <c r="PS22" s="24"/>
      <c r="PT22" s="24"/>
      <c r="PU22" s="24"/>
      <c r="PV22" s="24"/>
      <c r="PW22" s="24"/>
      <c r="PX22" s="24"/>
      <c r="PY22" s="24"/>
      <c r="PZ22" s="24"/>
      <c r="QA22" s="24"/>
      <c r="QB22" s="24"/>
      <c r="QC22" s="24"/>
      <c r="QD22" s="24"/>
      <c r="QE22" s="24"/>
      <c r="QF22" s="24"/>
      <c r="QG22" s="24"/>
      <c r="QH22" s="24"/>
      <c r="QI22" s="24"/>
      <c r="QJ22" s="24"/>
      <c r="QK22" s="24"/>
      <c r="QL22" s="24"/>
      <c r="QM22" s="24"/>
      <c r="QN22" s="24"/>
      <c r="QO22" s="24"/>
      <c r="QP22" s="24"/>
      <c r="QQ22" s="24"/>
      <c r="QR22" s="24"/>
      <c r="QS22" s="24"/>
      <c r="QT22" s="24"/>
      <c r="QU22" s="24"/>
      <c r="QV22" s="24"/>
      <c r="QW22" s="24"/>
      <c r="QX22" s="24"/>
      <c r="QY22" s="24"/>
      <c r="QZ22" s="24"/>
      <c r="RA22" s="24"/>
      <c r="RB22" s="24"/>
      <c r="RC22" s="24"/>
      <c r="RD22" s="24"/>
      <c r="RE22" s="24"/>
      <c r="RF22" s="24"/>
      <c r="RG22" s="24"/>
      <c r="RH22" s="24"/>
      <c r="RI22" s="24"/>
      <c r="RJ22" s="24"/>
      <c r="RK22" s="24"/>
      <c r="RL22" s="24"/>
      <c r="RM22" s="24"/>
      <c r="RN22" s="24"/>
      <c r="RO22" s="24"/>
      <c r="RP22" s="24"/>
      <c r="RQ22" s="24"/>
      <c r="RR22" s="24"/>
      <c r="RS22" s="24"/>
      <c r="RT22" s="24"/>
      <c r="RU22" s="24"/>
      <c r="RV22" s="24"/>
      <c r="RW22" s="24"/>
      <c r="RX22" s="24"/>
      <c r="RY22" s="24"/>
      <c r="RZ22" s="24"/>
      <c r="SA22" s="24"/>
      <c r="SB22" s="24"/>
      <c r="SC22" s="24"/>
      <c r="SD22" s="24"/>
      <c r="SE22" s="24"/>
      <c r="SF22" s="24"/>
      <c r="SG22" s="24"/>
      <c r="SH22" s="24"/>
      <c r="SI22" s="24"/>
      <c r="SJ22" s="24"/>
      <c r="SK22" s="24"/>
      <c r="SL22" s="24"/>
      <c r="SM22" s="24"/>
      <c r="SN22" s="24"/>
      <c r="SO22" s="24"/>
      <c r="SP22" s="24"/>
      <c r="SQ22" s="24"/>
      <c r="SR22" s="24"/>
      <c r="SS22" s="24"/>
      <c r="ST22" s="24"/>
      <c r="SU22" s="24"/>
      <c r="SV22" s="24"/>
      <c r="SW22" s="24"/>
      <c r="SX22" s="24"/>
      <c r="SY22" s="24"/>
      <c r="SZ22" s="24"/>
      <c r="TA22" s="24"/>
      <c r="TB22" s="24"/>
      <c r="TC22" s="24"/>
      <c r="TD22" s="24"/>
      <c r="TE22" s="24"/>
      <c r="TF22" s="24"/>
      <c r="TG22" s="24"/>
      <c r="TH22" s="24"/>
      <c r="TI22" s="24"/>
      <c r="TJ22" s="24"/>
      <c r="TK22" s="24"/>
      <c r="TL22" s="24"/>
      <c r="TM22" s="24"/>
      <c r="TN22" s="24"/>
      <c r="TO22" s="24"/>
      <c r="TP22" s="24"/>
      <c r="TQ22" s="24"/>
      <c r="TR22" s="24"/>
      <c r="TS22" s="24"/>
      <c r="TT22" s="24"/>
      <c r="TU22" s="24"/>
      <c r="TV22" s="24"/>
      <c r="TW22" s="24"/>
      <c r="TX22" s="24"/>
      <c r="TY22" s="24"/>
      <c r="TZ22" s="24"/>
      <c r="UA22" s="24"/>
      <c r="UB22" s="24"/>
      <c r="UC22" s="24"/>
      <c r="UD22" s="24"/>
      <c r="UE22" s="24"/>
      <c r="UF22" s="24"/>
      <c r="UG22" s="24"/>
      <c r="UH22" s="24"/>
      <c r="UI22" s="24"/>
      <c r="UJ22" s="24"/>
      <c r="UK22" s="24"/>
      <c r="UL22" s="24"/>
      <c r="UM22" s="24"/>
      <c r="UN22" s="24"/>
      <c r="UO22" s="24"/>
      <c r="UP22" s="24"/>
      <c r="UQ22" s="24"/>
      <c r="UR22" s="24"/>
      <c r="US22" s="24"/>
      <c r="UT22" s="24"/>
      <c r="UU22" s="24"/>
      <c r="UV22" s="24"/>
      <c r="UW22" s="24"/>
      <c r="UX22" s="24"/>
      <c r="UY22" s="24"/>
      <c r="UZ22" s="24"/>
      <c r="VA22" s="24"/>
      <c r="VB22" s="24"/>
      <c r="VC22" s="24"/>
      <c r="VD22" s="24"/>
      <c r="VE22" s="24"/>
      <c r="VF22" s="24"/>
      <c r="VG22" s="24"/>
      <c r="VH22" s="24"/>
      <c r="VI22" s="24"/>
      <c r="VJ22" s="24"/>
      <c r="VK22" s="24"/>
      <c r="VL22" s="24"/>
      <c r="VM22" s="24"/>
      <c r="VN22" s="24"/>
      <c r="VO22" s="24"/>
      <c r="VP22" s="24"/>
      <c r="VQ22" s="24"/>
      <c r="VR22" s="24"/>
      <c r="VS22" s="24"/>
      <c r="VT22" s="24"/>
      <c r="VU22" s="24"/>
      <c r="VV22" s="24"/>
      <c r="VW22" s="24"/>
      <c r="VX22" s="24"/>
      <c r="VY22" s="24"/>
      <c r="VZ22" s="24"/>
      <c r="WA22" s="24"/>
      <c r="WB22" s="24"/>
      <c r="WC22" s="24"/>
      <c r="WD22" s="24"/>
      <c r="WE22" s="24"/>
      <c r="WF22" s="24"/>
      <c r="WG22" s="24"/>
      <c r="WH22" s="24"/>
      <c r="WI22" s="24"/>
      <c r="WJ22" s="24"/>
      <c r="WK22" s="24"/>
      <c r="WL22" s="24"/>
      <c r="WM22" s="24"/>
      <c r="WN22" s="24"/>
      <c r="WO22" s="24"/>
      <c r="WP22" s="24"/>
      <c r="WQ22" s="24"/>
      <c r="WR22" s="24"/>
      <c r="WS22" s="24"/>
      <c r="WT22" s="24"/>
      <c r="WU22" s="24"/>
      <c r="WV22" s="24"/>
      <c r="WW22" s="24"/>
      <c r="WX22" s="24"/>
      <c r="WY22" s="24"/>
      <c r="WZ22" s="24"/>
      <c r="XA22" s="24"/>
      <c r="XB22" s="24"/>
      <c r="XC22" s="24"/>
      <c r="XD22" s="24"/>
      <c r="XE22" s="24"/>
      <c r="XF22" s="24"/>
      <c r="XG22" s="24"/>
      <c r="XH22" s="24"/>
      <c r="XI22" s="24"/>
      <c r="XJ22" s="24"/>
      <c r="XK22" s="24"/>
      <c r="XL22" s="24"/>
      <c r="XM22" s="24"/>
      <c r="XN22" s="24"/>
      <c r="XO22" s="24"/>
      <c r="XP22" s="24"/>
      <c r="XQ22" s="24"/>
      <c r="XR22" s="24"/>
      <c r="XS22" s="24"/>
      <c r="XT22" s="24"/>
      <c r="XU22" s="24"/>
      <c r="XV22" s="24"/>
      <c r="XW22" s="24"/>
      <c r="XX22" s="24"/>
      <c r="XY22" s="24"/>
      <c r="XZ22" s="24"/>
      <c r="YA22" s="24"/>
      <c r="YB22" s="24"/>
      <c r="YC22" s="24"/>
      <c r="YD22" s="24"/>
      <c r="YE22" s="24"/>
      <c r="YF22" s="24"/>
      <c r="YG22" s="24"/>
      <c r="YH22" s="24"/>
      <c r="YI22" s="24"/>
      <c r="YJ22" s="24"/>
      <c r="YK22" s="24"/>
      <c r="YL22" s="24"/>
      <c r="YM22" s="24"/>
      <c r="YN22" s="24"/>
      <c r="YO22" s="24"/>
      <c r="YP22" s="24"/>
      <c r="YQ22" s="24"/>
      <c r="YR22" s="24"/>
      <c r="YS22" s="24"/>
      <c r="YT22" s="24"/>
      <c r="YU22" s="24"/>
      <c r="YV22" s="24"/>
      <c r="YW22" s="24"/>
      <c r="YX22" s="24"/>
      <c r="YY22" s="24"/>
      <c r="YZ22" s="24"/>
      <c r="ZA22" s="24"/>
      <c r="ZB22" s="24"/>
      <c r="ZC22" s="24"/>
      <c r="ZD22" s="24"/>
      <c r="ZE22" s="24"/>
      <c r="ZF22" s="24"/>
      <c r="ZG22" s="24"/>
      <c r="ZH22" s="24"/>
      <c r="ZI22" s="24"/>
      <c r="ZJ22" s="24"/>
      <c r="ZK22" s="24"/>
      <c r="ZL22" s="24"/>
      <c r="ZM22" s="24"/>
      <c r="ZN22" s="24"/>
      <c r="ZO22" s="24"/>
      <c r="ZP22" s="24"/>
      <c r="ZQ22" s="24"/>
      <c r="ZR22" s="24"/>
      <c r="ZS22" s="24"/>
      <c r="ZT22" s="24"/>
      <c r="ZU22" s="24"/>
      <c r="ZV22" s="24"/>
      <c r="ZW22" s="24"/>
      <c r="ZX22" s="24"/>
      <c r="ZY22" s="24"/>
      <c r="ZZ22" s="24"/>
      <c r="AAA22" s="24"/>
      <c r="AAB22" s="24"/>
      <c r="AAC22" s="24"/>
      <c r="AAD22" s="24"/>
      <c r="AAE22" s="24"/>
      <c r="AAF22" s="24"/>
      <c r="AAG22" s="24"/>
      <c r="AAH22" s="24"/>
      <c r="AAI22" s="24"/>
      <c r="AAJ22" s="24"/>
      <c r="AAK22" s="24"/>
      <c r="AAL22" s="24"/>
      <c r="AAM22" s="24"/>
      <c r="AAN22" s="24"/>
      <c r="AAO22" s="24"/>
      <c r="AAP22" s="24"/>
      <c r="AAQ22" s="24"/>
      <c r="AAR22" s="24"/>
      <c r="AAS22" s="24"/>
      <c r="AAT22" s="24"/>
      <c r="AAU22" s="24"/>
      <c r="AAV22" s="24"/>
      <c r="AAW22" s="24"/>
      <c r="AAX22" s="24"/>
      <c r="AAY22" s="24"/>
      <c r="AAZ22" s="24"/>
      <c r="ABA22" s="24"/>
      <c r="ABB22" s="24"/>
      <c r="ABC22" s="24"/>
      <c r="ABD22" s="24"/>
      <c r="ABE22" s="24"/>
      <c r="ABF22" s="24"/>
      <c r="ABG22" s="24"/>
      <c r="ABH22" s="24"/>
      <c r="ABI22" s="24"/>
      <c r="ABJ22" s="24"/>
      <c r="ABK22" s="24"/>
      <c r="ABL22" s="24"/>
      <c r="ABM22" s="24"/>
      <c r="ABN22" s="24"/>
      <c r="ABO22" s="24"/>
      <c r="ABP22" s="24"/>
      <c r="ABQ22" s="24"/>
      <c r="ABR22" s="24"/>
      <c r="ABS22" s="24"/>
      <c r="ABT22" s="24"/>
      <c r="ABU22" s="24"/>
      <c r="ABV22" s="24"/>
      <c r="ABW22" s="24"/>
      <c r="ABX22" s="24"/>
      <c r="ABY22" s="24"/>
      <c r="ABZ22" s="24"/>
      <c r="ACA22" s="24"/>
      <c r="ACB22" s="24"/>
      <c r="ACC22" s="24"/>
      <c r="ACD22" s="24"/>
      <c r="ACE22" s="24"/>
      <c r="ACF22" s="24"/>
      <c r="ACG22" s="24"/>
      <c r="ACH22" s="24"/>
      <c r="ACI22" s="24"/>
      <c r="ACJ22" s="24"/>
      <c r="ACK22" s="24"/>
      <c r="ACL22" s="24"/>
      <c r="ACM22" s="24"/>
      <c r="ACN22" s="24"/>
      <c r="ACO22" s="24"/>
      <c r="ACP22" s="24"/>
      <c r="ACQ22" s="24"/>
      <c r="ACR22" s="24"/>
      <c r="ACS22" s="24"/>
      <c r="ACT22" s="24"/>
      <c r="ACU22" s="24"/>
      <c r="ACV22" s="24"/>
      <c r="ACW22" s="24"/>
      <c r="ACX22" s="24"/>
      <c r="ACY22" s="24"/>
      <c r="ACZ22" s="24"/>
      <c r="ADA22" s="24"/>
      <c r="ADB22" s="24"/>
      <c r="ADC22" s="24"/>
      <c r="ADD22" s="24"/>
      <c r="ADE22" s="24"/>
      <c r="ADF22" s="24"/>
      <c r="ADG22" s="24"/>
      <c r="ADH22" s="24"/>
      <c r="ADI22" s="24"/>
      <c r="ADJ22" s="24"/>
      <c r="ADK22" s="24"/>
      <c r="ADL22" s="24"/>
      <c r="ADM22" s="24"/>
      <c r="ADN22" s="24"/>
      <c r="ADO22" s="24"/>
      <c r="ADP22" s="24"/>
      <c r="ADQ22" s="24"/>
      <c r="ADR22" s="24"/>
      <c r="ADS22" s="24"/>
      <c r="ADT22" s="24"/>
      <c r="ADU22" s="24"/>
      <c r="ADV22" s="24"/>
      <c r="ADW22" s="24"/>
      <c r="ADX22" s="24"/>
      <c r="ADY22" s="24"/>
      <c r="ADZ22" s="24"/>
      <c r="AEA22" s="24"/>
      <c r="AEB22" s="24"/>
      <c r="AEC22" s="24"/>
      <c r="AED22" s="24"/>
      <c r="AEE22" s="24"/>
      <c r="AEF22" s="24"/>
      <c r="AEG22" s="24"/>
      <c r="AEH22" s="24"/>
      <c r="AEI22" s="24"/>
      <c r="AEJ22" s="24"/>
      <c r="AEK22" s="24"/>
      <c r="AEL22" s="24"/>
      <c r="AEM22" s="24"/>
      <c r="AEN22" s="24"/>
      <c r="AEO22" s="24"/>
      <c r="AEP22" s="24"/>
      <c r="AEQ22" s="24"/>
      <c r="AER22" s="24"/>
      <c r="AES22" s="24"/>
      <c r="AET22" s="24"/>
      <c r="AEU22" s="24"/>
      <c r="AEV22" s="24"/>
      <c r="AEW22" s="24"/>
      <c r="AEX22" s="24"/>
      <c r="AEY22" s="24"/>
      <c r="AEZ22" s="24"/>
      <c r="AFA22" s="24"/>
      <c r="AFB22" s="24"/>
      <c r="AFC22" s="24"/>
      <c r="AFD22" s="24"/>
      <c r="AFE22" s="24"/>
      <c r="AFF22" s="24"/>
      <c r="AFG22" s="24"/>
      <c r="AFH22" s="24"/>
      <c r="AFI22" s="24"/>
      <c r="AFJ22" s="24"/>
      <c r="AFK22" s="24"/>
      <c r="AFL22" s="24"/>
      <c r="AFM22" s="24"/>
      <c r="AFN22" s="24"/>
      <c r="AFO22" s="24"/>
      <c r="AFP22" s="24"/>
      <c r="AFQ22" s="24"/>
      <c r="AFR22" s="24"/>
      <c r="AFS22" s="24"/>
      <c r="AFT22" s="24"/>
      <c r="AFU22" s="24"/>
      <c r="AFV22" s="24"/>
      <c r="AFW22" s="24"/>
      <c r="AFX22" s="24"/>
      <c r="AFY22" s="24"/>
      <c r="AFZ22" s="24"/>
      <c r="AGA22" s="24"/>
      <c r="AGB22" s="24"/>
      <c r="AGC22" s="24"/>
      <c r="AGD22" s="24"/>
      <c r="AGE22" s="24"/>
      <c r="AGF22" s="24"/>
      <c r="AGG22" s="24"/>
      <c r="AGH22" s="24"/>
      <c r="AGI22" s="24"/>
      <c r="AGJ22" s="24"/>
      <c r="AGK22" s="24"/>
      <c r="AGL22" s="24"/>
      <c r="AGM22" s="24"/>
      <c r="AGN22" s="24"/>
      <c r="AGO22" s="24"/>
      <c r="AGP22" s="24"/>
      <c r="AGQ22" s="24"/>
      <c r="AGR22" s="24"/>
      <c r="AGS22" s="24"/>
      <c r="AGT22" s="24"/>
      <c r="AGU22" s="24"/>
      <c r="AGV22" s="24"/>
      <c r="AGW22" s="24"/>
      <c r="AGX22" s="24"/>
      <c r="AGY22" s="24"/>
      <c r="AGZ22" s="24"/>
      <c r="AHA22" s="24"/>
      <c r="AHB22" s="24"/>
      <c r="AHC22" s="24"/>
      <c r="AHD22" s="24"/>
      <c r="AHE22" s="24"/>
      <c r="AHF22" s="24"/>
      <c r="AHG22" s="24"/>
      <c r="AHH22" s="24"/>
      <c r="AHI22" s="24"/>
      <c r="AHJ22" s="24"/>
      <c r="AHK22" s="24"/>
      <c r="AHL22" s="24"/>
      <c r="AHM22" s="24"/>
      <c r="AHN22" s="24"/>
      <c r="AHO22" s="24"/>
      <c r="AHP22" s="24"/>
      <c r="AHQ22" s="24"/>
      <c r="AHR22" s="24"/>
      <c r="AHS22" s="24"/>
      <c r="AHT22" s="24"/>
      <c r="AHU22" s="24"/>
      <c r="AHV22" s="24"/>
      <c r="AHW22" s="24"/>
      <c r="AHX22" s="24"/>
      <c r="AHY22" s="24"/>
      <c r="AHZ22" s="24"/>
      <c r="AIA22" s="24"/>
      <c r="AIB22" s="24"/>
      <c r="AIC22" s="24"/>
      <c r="AID22" s="24"/>
      <c r="AIE22" s="24"/>
      <c r="AIF22" s="24"/>
      <c r="AIG22" s="24"/>
      <c r="AIH22" s="24"/>
      <c r="AII22" s="24"/>
      <c r="AIJ22" s="24"/>
      <c r="AIK22" s="24"/>
      <c r="AIL22" s="24"/>
      <c r="AIM22" s="24"/>
      <c r="AIN22" s="24"/>
      <c r="AIO22" s="24"/>
      <c r="AIP22" s="24"/>
      <c r="AIQ22" s="24"/>
      <c r="AIR22" s="24"/>
      <c r="AIS22" s="24"/>
      <c r="AIT22" s="24"/>
      <c r="AIU22" s="24"/>
      <c r="AIV22" s="24"/>
      <c r="AIW22" s="24"/>
      <c r="AIX22" s="24"/>
      <c r="AIY22" s="24"/>
      <c r="AIZ22" s="24"/>
      <c r="AJA22" s="24"/>
      <c r="AJB22" s="24"/>
      <c r="AJC22" s="24"/>
      <c r="AJD22" s="24"/>
      <c r="AJE22" s="24"/>
      <c r="AJF22" s="24"/>
      <c r="AJG22" s="24"/>
      <c r="AJH22" s="24"/>
      <c r="AJI22" s="24"/>
      <c r="AJJ22" s="24"/>
      <c r="AJK22" s="24"/>
      <c r="AJL22" s="24"/>
      <c r="AJM22" s="24"/>
      <c r="AJN22" s="24"/>
      <c r="AJO22" s="24"/>
      <c r="AJP22" s="24"/>
      <c r="AJQ22" s="24"/>
      <c r="AJR22" s="24"/>
      <c r="AJS22" s="24"/>
      <c r="AJT22" s="24"/>
      <c r="AJU22" s="24"/>
      <c r="AJV22" s="24"/>
      <c r="AJW22" s="24"/>
      <c r="AJX22" s="24"/>
      <c r="AJY22" s="24"/>
      <c r="AJZ22" s="24"/>
      <c r="AKA22" s="24"/>
      <c r="AKB22" s="24"/>
      <c r="AKC22" s="24"/>
      <c r="AKD22" s="24"/>
      <c r="AKE22" s="24"/>
      <c r="AKF22" s="24"/>
      <c r="AKG22" s="24"/>
      <c r="AKH22" s="24"/>
      <c r="AKI22" s="24"/>
      <c r="AKJ22" s="24"/>
      <c r="AKK22" s="24"/>
      <c r="AKL22" s="24"/>
      <c r="AKM22" s="24"/>
      <c r="AKN22" s="24"/>
      <c r="AKO22" s="24"/>
      <c r="AKP22" s="24"/>
      <c r="AKQ22" s="24"/>
      <c r="AKR22" s="24"/>
      <c r="AKS22" s="24"/>
      <c r="AKT22" s="24"/>
      <c r="AKU22" s="24"/>
      <c r="AKV22" s="24"/>
      <c r="AKW22" s="24"/>
      <c r="AKX22" s="24"/>
      <c r="AKY22" s="24"/>
      <c r="AKZ22" s="24"/>
      <c r="ALA22" s="24"/>
      <c r="ALB22" s="24"/>
      <c r="ALC22" s="24"/>
      <c r="ALD22" s="24"/>
      <c r="ALE22" s="24"/>
      <c r="ALF22" s="24"/>
      <c r="ALG22" s="24"/>
      <c r="ALH22" s="24"/>
      <c r="ALI22" s="24"/>
      <c r="ALJ22" s="24"/>
      <c r="ALK22" s="24"/>
      <c r="ALL22" s="24"/>
      <c r="ALM22" s="24"/>
      <c r="ALN22" s="24"/>
      <c r="ALO22" s="24"/>
      <c r="ALP22" s="24"/>
      <c r="ALQ22" s="24"/>
      <c r="ALR22" s="24"/>
      <c r="ALS22" s="24"/>
      <c r="ALT22" s="24"/>
      <c r="ALU22" s="24"/>
      <c r="ALV22" s="24"/>
      <c r="ALW22" s="24"/>
      <c r="ALX22" s="24"/>
      <c r="ALY22" s="24"/>
      <c r="ALZ22" s="24"/>
      <c r="AMA22" s="24"/>
      <c r="AMB22" s="24"/>
      <c r="AMC22" s="24"/>
      <c r="AMD22" s="24"/>
      <c r="AME22" s="24"/>
      <c r="AMF22" s="24"/>
      <c r="AMG22" s="24"/>
      <c r="AMH22" s="24"/>
    </row>
    <row r="23" spans="2:1022" ht="75.75" customHeight="1">
      <c r="B23" s="502"/>
      <c r="C23" s="1135" t="s">
        <v>608</v>
      </c>
      <c r="D23" s="1136" t="s">
        <v>609</v>
      </c>
      <c r="E23" s="1139" t="s">
        <v>897</v>
      </c>
      <c r="F23" s="485"/>
      <c r="G23" s="604" t="s">
        <v>923</v>
      </c>
      <c r="H23" s="600" t="s">
        <v>1030</v>
      </c>
      <c r="I23" s="600" t="s">
        <v>925</v>
      </c>
      <c r="J23" s="1126">
        <v>1</v>
      </c>
      <c r="K23" s="601" t="s">
        <v>568</v>
      </c>
      <c r="L23" s="594" t="s">
        <v>927</v>
      </c>
      <c r="M23" s="1126" t="s">
        <v>941</v>
      </c>
      <c r="N23" s="608" t="s">
        <v>1031</v>
      </c>
      <c r="O23" s="600" t="s">
        <v>935</v>
      </c>
      <c r="P23" s="1126" t="s">
        <v>940</v>
      </c>
      <c r="Q23" s="1126" t="s">
        <v>780</v>
      </c>
      <c r="R23" s="1126"/>
      <c r="S23" s="1126">
        <v>1</v>
      </c>
      <c r="T23" s="1126" t="s">
        <v>657</v>
      </c>
      <c r="U23" s="1129" t="s">
        <v>939</v>
      </c>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c r="JB23" s="24"/>
      <c r="JC23" s="24"/>
      <c r="JD23" s="24"/>
      <c r="JE23" s="24"/>
      <c r="JF23" s="24"/>
      <c r="JG23" s="24"/>
      <c r="JH23" s="24"/>
      <c r="JI23" s="24"/>
      <c r="JJ23" s="24"/>
      <c r="JK23" s="24"/>
      <c r="JL23" s="24"/>
      <c r="JM23" s="24"/>
      <c r="JN23" s="24"/>
      <c r="JO23" s="24"/>
      <c r="JP23" s="24"/>
      <c r="JQ23" s="24"/>
      <c r="JR23" s="24"/>
      <c r="JS23" s="24"/>
      <c r="JT23" s="24"/>
      <c r="JU23" s="24"/>
      <c r="JV23" s="24"/>
      <c r="JW23" s="24"/>
      <c r="JX23" s="24"/>
      <c r="JY23" s="24"/>
      <c r="JZ23" s="24"/>
      <c r="KA23" s="24"/>
      <c r="KB23" s="24"/>
      <c r="KC23" s="24"/>
      <c r="KD23" s="24"/>
      <c r="KE23" s="24"/>
      <c r="KF23" s="24"/>
      <c r="KG23" s="24"/>
      <c r="KH23" s="24"/>
      <c r="KI23" s="24"/>
      <c r="KJ23" s="24"/>
      <c r="KK23" s="24"/>
      <c r="KL23" s="24"/>
      <c r="KM23" s="24"/>
      <c r="KN23" s="24"/>
      <c r="KO23" s="24"/>
      <c r="KP23" s="24"/>
      <c r="KQ23" s="24"/>
      <c r="KR23" s="24"/>
      <c r="KS23" s="24"/>
      <c r="KT23" s="24"/>
      <c r="KU23" s="24"/>
      <c r="KV23" s="24"/>
      <c r="KW23" s="24"/>
      <c r="KX23" s="24"/>
      <c r="KY23" s="24"/>
      <c r="KZ23" s="24"/>
      <c r="LA23" s="24"/>
      <c r="LB23" s="24"/>
      <c r="LC23" s="24"/>
      <c r="LD23" s="24"/>
      <c r="LE23" s="24"/>
      <c r="LF23" s="24"/>
      <c r="LG23" s="24"/>
      <c r="LH23" s="24"/>
      <c r="LI23" s="24"/>
      <c r="LJ23" s="24"/>
      <c r="LK23" s="24"/>
      <c r="LL23" s="24"/>
      <c r="LM23" s="24"/>
      <c r="LN23" s="24"/>
      <c r="LO23" s="24"/>
      <c r="LP23" s="24"/>
      <c r="LQ23" s="24"/>
      <c r="LR23" s="24"/>
      <c r="LS23" s="24"/>
      <c r="LT23" s="24"/>
      <c r="LU23" s="24"/>
      <c r="LV23" s="24"/>
      <c r="LW23" s="24"/>
      <c r="LX23" s="24"/>
      <c r="LY23" s="24"/>
      <c r="LZ23" s="24"/>
      <c r="MA23" s="24"/>
      <c r="MB23" s="24"/>
      <c r="MC23" s="24"/>
      <c r="MD23" s="24"/>
      <c r="ME23" s="24"/>
      <c r="MF23" s="24"/>
      <c r="MG23" s="24"/>
      <c r="MH23" s="24"/>
      <c r="MI23" s="24"/>
      <c r="MJ23" s="24"/>
      <c r="MK23" s="24"/>
      <c r="ML23" s="24"/>
      <c r="MM23" s="24"/>
      <c r="MN23" s="24"/>
      <c r="MO23" s="24"/>
      <c r="MP23" s="24"/>
      <c r="MQ23" s="24"/>
      <c r="MR23" s="24"/>
      <c r="MS23" s="24"/>
      <c r="MT23" s="24"/>
      <c r="MU23" s="24"/>
      <c r="MV23" s="24"/>
      <c r="MW23" s="24"/>
      <c r="MX23" s="24"/>
      <c r="MY23" s="24"/>
      <c r="MZ23" s="24"/>
      <c r="NA23" s="24"/>
      <c r="NB23" s="24"/>
      <c r="NC23" s="24"/>
      <c r="ND23" s="24"/>
      <c r="NE23" s="24"/>
      <c r="NF23" s="24"/>
      <c r="NG23" s="24"/>
      <c r="NH23" s="24"/>
      <c r="NI23" s="24"/>
      <c r="NJ23" s="24"/>
      <c r="NK23" s="24"/>
      <c r="NL23" s="24"/>
      <c r="NM23" s="24"/>
      <c r="NN23" s="24"/>
      <c r="NO23" s="24"/>
      <c r="NP23" s="24"/>
      <c r="NQ23" s="24"/>
      <c r="NR23" s="24"/>
      <c r="NS23" s="24"/>
      <c r="NT23" s="24"/>
      <c r="NU23" s="24"/>
      <c r="NV23" s="24"/>
      <c r="NW23" s="24"/>
      <c r="NX23" s="24"/>
      <c r="NY23" s="24"/>
      <c r="NZ23" s="24"/>
      <c r="OA23" s="24"/>
      <c r="OB23" s="24"/>
      <c r="OC23" s="24"/>
      <c r="OD23" s="24"/>
      <c r="OE23" s="24"/>
      <c r="OF23" s="24"/>
      <c r="OG23" s="24"/>
      <c r="OH23" s="24"/>
      <c r="OI23" s="24"/>
      <c r="OJ23" s="24"/>
      <c r="OK23" s="24"/>
      <c r="OL23" s="24"/>
      <c r="OM23" s="24"/>
      <c r="ON23" s="24"/>
      <c r="OO23" s="24"/>
      <c r="OP23" s="24"/>
      <c r="OQ23" s="24"/>
      <c r="OR23" s="24"/>
      <c r="OS23" s="24"/>
      <c r="OT23" s="24"/>
      <c r="OU23" s="24"/>
      <c r="OV23" s="24"/>
      <c r="OW23" s="24"/>
      <c r="OX23" s="24"/>
      <c r="OY23" s="24"/>
      <c r="OZ23" s="24"/>
      <c r="PA23" s="24"/>
      <c r="PB23" s="24"/>
      <c r="PC23" s="24"/>
      <c r="PD23" s="24"/>
      <c r="PE23" s="24"/>
      <c r="PF23" s="24"/>
      <c r="PG23" s="24"/>
      <c r="PH23" s="24"/>
      <c r="PI23" s="24"/>
      <c r="PJ23" s="24"/>
      <c r="PK23" s="24"/>
      <c r="PL23" s="24"/>
      <c r="PM23" s="24"/>
      <c r="PN23" s="24"/>
      <c r="PO23" s="24"/>
      <c r="PP23" s="24"/>
      <c r="PQ23" s="24"/>
      <c r="PR23" s="24"/>
      <c r="PS23" s="24"/>
      <c r="PT23" s="24"/>
      <c r="PU23" s="24"/>
      <c r="PV23" s="24"/>
      <c r="PW23" s="24"/>
      <c r="PX23" s="24"/>
      <c r="PY23" s="24"/>
      <c r="PZ23" s="24"/>
      <c r="QA23" s="24"/>
      <c r="QB23" s="24"/>
      <c r="QC23" s="24"/>
      <c r="QD23" s="24"/>
      <c r="QE23" s="24"/>
      <c r="QF23" s="24"/>
      <c r="QG23" s="24"/>
      <c r="QH23" s="24"/>
      <c r="QI23" s="24"/>
      <c r="QJ23" s="24"/>
      <c r="QK23" s="24"/>
      <c r="QL23" s="24"/>
      <c r="QM23" s="24"/>
      <c r="QN23" s="24"/>
      <c r="QO23" s="24"/>
      <c r="QP23" s="24"/>
      <c r="QQ23" s="24"/>
      <c r="QR23" s="24"/>
      <c r="QS23" s="24"/>
      <c r="QT23" s="24"/>
      <c r="QU23" s="24"/>
      <c r="QV23" s="24"/>
      <c r="QW23" s="24"/>
      <c r="QX23" s="24"/>
      <c r="QY23" s="24"/>
      <c r="QZ23" s="24"/>
      <c r="RA23" s="24"/>
      <c r="RB23" s="24"/>
      <c r="RC23" s="24"/>
      <c r="RD23" s="24"/>
      <c r="RE23" s="24"/>
      <c r="RF23" s="24"/>
      <c r="RG23" s="24"/>
      <c r="RH23" s="24"/>
      <c r="RI23" s="24"/>
      <c r="RJ23" s="24"/>
      <c r="RK23" s="24"/>
      <c r="RL23" s="24"/>
      <c r="RM23" s="24"/>
      <c r="RN23" s="24"/>
      <c r="RO23" s="24"/>
      <c r="RP23" s="24"/>
      <c r="RQ23" s="24"/>
      <c r="RR23" s="24"/>
      <c r="RS23" s="24"/>
      <c r="RT23" s="24"/>
      <c r="RU23" s="24"/>
      <c r="RV23" s="24"/>
      <c r="RW23" s="24"/>
      <c r="RX23" s="24"/>
      <c r="RY23" s="24"/>
      <c r="RZ23" s="24"/>
      <c r="SA23" s="24"/>
      <c r="SB23" s="24"/>
      <c r="SC23" s="24"/>
      <c r="SD23" s="24"/>
      <c r="SE23" s="24"/>
      <c r="SF23" s="24"/>
      <c r="SG23" s="24"/>
      <c r="SH23" s="24"/>
      <c r="SI23" s="24"/>
      <c r="SJ23" s="24"/>
      <c r="SK23" s="24"/>
      <c r="SL23" s="24"/>
      <c r="SM23" s="24"/>
      <c r="SN23" s="24"/>
      <c r="SO23" s="24"/>
      <c r="SP23" s="24"/>
      <c r="SQ23" s="24"/>
      <c r="SR23" s="24"/>
      <c r="SS23" s="24"/>
      <c r="ST23" s="24"/>
      <c r="SU23" s="24"/>
      <c r="SV23" s="24"/>
      <c r="SW23" s="24"/>
      <c r="SX23" s="24"/>
      <c r="SY23" s="24"/>
      <c r="SZ23" s="24"/>
      <c r="TA23" s="24"/>
      <c r="TB23" s="24"/>
      <c r="TC23" s="24"/>
      <c r="TD23" s="24"/>
      <c r="TE23" s="24"/>
      <c r="TF23" s="24"/>
      <c r="TG23" s="24"/>
      <c r="TH23" s="24"/>
      <c r="TI23" s="24"/>
      <c r="TJ23" s="24"/>
      <c r="TK23" s="24"/>
      <c r="TL23" s="24"/>
      <c r="TM23" s="24"/>
      <c r="TN23" s="24"/>
      <c r="TO23" s="24"/>
      <c r="TP23" s="24"/>
      <c r="TQ23" s="24"/>
      <c r="TR23" s="24"/>
      <c r="TS23" s="24"/>
      <c r="TT23" s="24"/>
      <c r="TU23" s="24"/>
      <c r="TV23" s="24"/>
      <c r="TW23" s="24"/>
      <c r="TX23" s="24"/>
      <c r="TY23" s="24"/>
      <c r="TZ23" s="24"/>
      <c r="UA23" s="24"/>
      <c r="UB23" s="24"/>
      <c r="UC23" s="24"/>
      <c r="UD23" s="24"/>
      <c r="UE23" s="24"/>
      <c r="UF23" s="24"/>
      <c r="UG23" s="24"/>
      <c r="UH23" s="24"/>
      <c r="UI23" s="24"/>
      <c r="UJ23" s="24"/>
      <c r="UK23" s="24"/>
      <c r="UL23" s="24"/>
      <c r="UM23" s="24"/>
      <c r="UN23" s="24"/>
      <c r="UO23" s="24"/>
      <c r="UP23" s="24"/>
      <c r="UQ23" s="24"/>
      <c r="UR23" s="24"/>
      <c r="US23" s="24"/>
      <c r="UT23" s="24"/>
      <c r="UU23" s="24"/>
      <c r="UV23" s="24"/>
      <c r="UW23" s="24"/>
      <c r="UX23" s="24"/>
      <c r="UY23" s="24"/>
      <c r="UZ23" s="24"/>
      <c r="VA23" s="24"/>
      <c r="VB23" s="24"/>
      <c r="VC23" s="24"/>
      <c r="VD23" s="24"/>
      <c r="VE23" s="24"/>
      <c r="VF23" s="24"/>
      <c r="VG23" s="24"/>
      <c r="VH23" s="24"/>
      <c r="VI23" s="24"/>
      <c r="VJ23" s="24"/>
      <c r="VK23" s="24"/>
      <c r="VL23" s="24"/>
      <c r="VM23" s="24"/>
      <c r="VN23" s="24"/>
      <c r="VO23" s="24"/>
      <c r="VP23" s="24"/>
      <c r="VQ23" s="24"/>
      <c r="VR23" s="24"/>
      <c r="VS23" s="24"/>
      <c r="VT23" s="24"/>
      <c r="VU23" s="24"/>
      <c r="VV23" s="24"/>
      <c r="VW23" s="24"/>
      <c r="VX23" s="24"/>
      <c r="VY23" s="24"/>
      <c r="VZ23" s="24"/>
      <c r="WA23" s="24"/>
      <c r="WB23" s="24"/>
      <c r="WC23" s="24"/>
      <c r="WD23" s="24"/>
      <c r="WE23" s="24"/>
      <c r="WF23" s="24"/>
      <c r="WG23" s="24"/>
      <c r="WH23" s="24"/>
      <c r="WI23" s="24"/>
      <c r="WJ23" s="24"/>
      <c r="WK23" s="24"/>
      <c r="WL23" s="24"/>
      <c r="WM23" s="24"/>
      <c r="WN23" s="24"/>
      <c r="WO23" s="24"/>
      <c r="WP23" s="24"/>
      <c r="WQ23" s="24"/>
      <c r="WR23" s="24"/>
      <c r="WS23" s="24"/>
      <c r="WT23" s="24"/>
      <c r="WU23" s="24"/>
      <c r="WV23" s="24"/>
      <c r="WW23" s="24"/>
      <c r="WX23" s="24"/>
      <c r="WY23" s="24"/>
      <c r="WZ23" s="24"/>
      <c r="XA23" s="24"/>
      <c r="XB23" s="24"/>
      <c r="XC23" s="24"/>
      <c r="XD23" s="24"/>
      <c r="XE23" s="24"/>
      <c r="XF23" s="24"/>
      <c r="XG23" s="24"/>
      <c r="XH23" s="24"/>
      <c r="XI23" s="24"/>
      <c r="XJ23" s="24"/>
      <c r="XK23" s="24"/>
      <c r="XL23" s="24"/>
      <c r="XM23" s="24"/>
      <c r="XN23" s="24"/>
      <c r="XO23" s="24"/>
      <c r="XP23" s="24"/>
      <c r="XQ23" s="24"/>
      <c r="XR23" s="24"/>
      <c r="XS23" s="24"/>
      <c r="XT23" s="24"/>
      <c r="XU23" s="24"/>
      <c r="XV23" s="24"/>
      <c r="XW23" s="24"/>
      <c r="XX23" s="24"/>
      <c r="XY23" s="24"/>
      <c r="XZ23" s="24"/>
      <c r="YA23" s="24"/>
      <c r="YB23" s="24"/>
      <c r="YC23" s="24"/>
      <c r="YD23" s="24"/>
      <c r="YE23" s="24"/>
      <c r="YF23" s="24"/>
      <c r="YG23" s="24"/>
      <c r="YH23" s="24"/>
      <c r="YI23" s="24"/>
      <c r="YJ23" s="24"/>
      <c r="YK23" s="24"/>
      <c r="YL23" s="24"/>
      <c r="YM23" s="24"/>
      <c r="YN23" s="24"/>
      <c r="YO23" s="24"/>
      <c r="YP23" s="24"/>
      <c r="YQ23" s="24"/>
      <c r="YR23" s="24"/>
      <c r="YS23" s="24"/>
      <c r="YT23" s="24"/>
      <c r="YU23" s="24"/>
      <c r="YV23" s="24"/>
      <c r="YW23" s="24"/>
      <c r="YX23" s="24"/>
      <c r="YY23" s="24"/>
      <c r="YZ23" s="24"/>
      <c r="ZA23" s="24"/>
      <c r="ZB23" s="24"/>
      <c r="ZC23" s="24"/>
      <c r="ZD23" s="24"/>
      <c r="ZE23" s="24"/>
      <c r="ZF23" s="24"/>
      <c r="ZG23" s="24"/>
      <c r="ZH23" s="24"/>
      <c r="ZI23" s="24"/>
      <c r="ZJ23" s="24"/>
      <c r="ZK23" s="24"/>
      <c r="ZL23" s="24"/>
      <c r="ZM23" s="24"/>
      <c r="ZN23" s="24"/>
      <c r="ZO23" s="24"/>
      <c r="ZP23" s="24"/>
      <c r="ZQ23" s="24"/>
      <c r="ZR23" s="24"/>
      <c r="ZS23" s="24"/>
      <c r="ZT23" s="24"/>
      <c r="ZU23" s="24"/>
      <c r="ZV23" s="24"/>
      <c r="ZW23" s="24"/>
      <c r="ZX23" s="24"/>
      <c r="ZY23" s="24"/>
      <c r="ZZ23" s="24"/>
      <c r="AAA23" s="24"/>
      <c r="AAB23" s="24"/>
      <c r="AAC23" s="24"/>
      <c r="AAD23" s="24"/>
      <c r="AAE23" s="24"/>
      <c r="AAF23" s="24"/>
      <c r="AAG23" s="24"/>
      <c r="AAH23" s="24"/>
      <c r="AAI23" s="24"/>
      <c r="AAJ23" s="24"/>
      <c r="AAK23" s="24"/>
      <c r="AAL23" s="24"/>
      <c r="AAM23" s="24"/>
      <c r="AAN23" s="24"/>
      <c r="AAO23" s="24"/>
      <c r="AAP23" s="24"/>
      <c r="AAQ23" s="24"/>
      <c r="AAR23" s="24"/>
      <c r="AAS23" s="24"/>
      <c r="AAT23" s="24"/>
      <c r="AAU23" s="24"/>
      <c r="AAV23" s="24"/>
      <c r="AAW23" s="24"/>
      <c r="AAX23" s="24"/>
      <c r="AAY23" s="24"/>
      <c r="AAZ23" s="24"/>
      <c r="ABA23" s="24"/>
      <c r="ABB23" s="24"/>
      <c r="ABC23" s="24"/>
      <c r="ABD23" s="24"/>
      <c r="ABE23" s="24"/>
      <c r="ABF23" s="24"/>
      <c r="ABG23" s="24"/>
      <c r="ABH23" s="24"/>
      <c r="ABI23" s="24"/>
      <c r="ABJ23" s="24"/>
      <c r="ABK23" s="24"/>
      <c r="ABL23" s="24"/>
      <c r="ABM23" s="24"/>
      <c r="ABN23" s="24"/>
      <c r="ABO23" s="24"/>
      <c r="ABP23" s="24"/>
      <c r="ABQ23" s="24"/>
      <c r="ABR23" s="24"/>
      <c r="ABS23" s="24"/>
      <c r="ABT23" s="24"/>
      <c r="ABU23" s="24"/>
      <c r="ABV23" s="24"/>
      <c r="ABW23" s="24"/>
      <c r="ABX23" s="24"/>
      <c r="ABY23" s="24"/>
      <c r="ABZ23" s="24"/>
      <c r="ACA23" s="24"/>
      <c r="ACB23" s="24"/>
      <c r="ACC23" s="24"/>
      <c r="ACD23" s="24"/>
      <c r="ACE23" s="24"/>
      <c r="ACF23" s="24"/>
      <c r="ACG23" s="24"/>
      <c r="ACH23" s="24"/>
      <c r="ACI23" s="24"/>
      <c r="ACJ23" s="24"/>
      <c r="ACK23" s="24"/>
      <c r="ACL23" s="24"/>
      <c r="ACM23" s="24"/>
      <c r="ACN23" s="24"/>
      <c r="ACO23" s="24"/>
      <c r="ACP23" s="24"/>
      <c r="ACQ23" s="24"/>
      <c r="ACR23" s="24"/>
      <c r="ACS23" s="24"/>
      <c r="ACT23" s="24"/>
      <c r="ACU23" s="24"/>
      <c r="ACV23" s="24"/>
      <c r="ACW23" s="24"/>
      <c r="ACX23" s="24"/>
      <c r="ACY23" s="24"/>
      <c r="ACZ23" s="24"/>
      <c r="ADA23" s="24"/>
      <c r="ADB23" s="24"/>
      <c r="ADC23" s="24"/>
      <c r="ADD23" s="24"/>
      <c r="ADE23" s="24"/>
      <c r="ADF23" s="24"/>
      <c r="ADG23" s="24"/>
      <c r="ADH23" s="24"/>
      <c r="ADI23" s="24"/>
      <c r="ADJ23" s="24"/>
      <c r="ADK23" s="24"/>
      <c r="ADL23" s="24"/>
      <c r="ADM23" s="24"/>
      <c r="ADN23" s="24"/>
      <c r="ADO23" s="24"/>
      <c r="ADP23" s="24"/>
      <c r="ADQ23" s="24"/>
      <c r="ADR23" s="24"/>
      <c r="ADS23" s="24"/>
      <c r="ADT23" s="24"/>
      <c r="ADU23" s="24"/>
      <c r="ADV23" s="24"/>
      <c r="ADW23" s="24"/>
      <c r="ADX23" s="24"/>
      <c r="ADY23" s="24"/>
      <c r="ADZ23" s="24"/>
      <c r="AEA23" s="24"/>
      <c r="AEB23" s="24"/>
      <c r="AEC23" s="24"/>
      <c r="AED23" s="24"/>
      <c r="AEE23" s="24"/>
      <c r="AEF23" s="24"/>
      <c r="AEG23" s="24"/>
      <c r="AEH23" s="24"/>
      <c r="AEI23" s="24"/>
      <c r="AEJ23" s="24"/>
      <c r="AEK23" s="24"/>
      <c r="AEL23" s="24"/>
      <c r="AEM23" s="24"/>
      <c r="AEN23" s="24"/>
      <c r="AEO23" s="24"/>
      <c r="AEP23" s="24"/>
      <c r="AEQ23" s="24"/>
      <c r="AER23" s="24"/>
      <c r="AES23" s="24"/>
      <c r="AET23" s="24"/>
      <c r="AEU23" s="24"/>
      <c r="AEV23" s="24"/>
      <c r="AEW23" s="24"/>
      <c r="AEX23" s="24"/>
      <c r="AEY23" s="24"/>
      <c r="AEZ23" s="24"/>
      <c r="AFA23" s="24"/>
      <c r="AFB23" s="24"/>
      <c r="AFC23" s="24"/>
      <c r="AFD23" s="24"/>
      <c r="AFE23" s="24"/>
      <c r="AFF23" s="24"/>
      <c r="AFG23" s="24"/>
      <c r="AFH23" s="24"/>
      <c r="AFI23" s="24"/>
      <c r="AFJ23" s="24"/>
      <c r="AFK23" s="24"/>
      <c r="AFL23" s="24"/>
      <c r="AFM23" s="24"/>
      <c r="AFN23" s="24"/>
      <c r="AFO23" s="24"/>
      <c r="AFP23" s="24"/>
      <c r="AFQ23" s="24"/>
      <c r="AFR23" s="24"/>
      <c r="AFS23" s="24"/>
      <c r="AFT23" s="24"/>
      <c r="AFU23" s="24"/>
      <c r="AFV23" s="24"/>
      <c r="AFW23" s="24"/>
      <c r="AFX23" s="24"/>
      <c r="AFY23" s="24"/>
      <c r="AFZ23" s="24"/>
      <c r="AGA23" s="24"/>
      <c r="AGB23" s="24"/>
      <c r="AGC23" s="24"/>
      <c r="AGD23" s="24"/>
      <c r="AGE23" s="24"/>
      <c r="AGF23" s="24"/>
      <c r="AGG23" s="24"/>
      <c r="AGH23" s="24"/>
      <c r="AGI23" s="24"/>
      <c r="AGJ23" s="24"/>
      <c r="AGK23" s="24"/>
      <c r="AGL23" s="24"/>
      <c r="AGM23" s="24"/>
      <c r="AGN23" s="24"/>
      <c r="AGO23" s="24"/>
      <c r="AGP23" s="24"/>
      <c r="AGQ23" s="24"/>
      <c r="AGR23" s="24"/>
      <c r="AGS23" s="24"/>
      <c r="AGT23" s="24"/>
      <c r="AGU23" s="24"/>
      <c r="AGV23" s="24"/>
      <c r="AGW23" s="24"/>
      <c r="AGX23" s="24"/>
      <c r="AGY23" s="24"/>
      <c r="AGZ23" s="24"/>
      <c r="AHA23" s="24"/>
      <c r="AHB23" s="24"/>
      <c r="AHC23" s="24"/>
      <c r="AHD23" s="24"/>
      <c r="AHE23" s="24"/>
      <c r="AHF23" s="24"/>
      <c r="AHG23" s="24"/>
      <c r="AHH23" s="24"/>
      <c r="AHI23" s="24"/>
      <c r="AHJ23" s="24"/>
      <c r="AHK23" s="24"/>
      <c r="AHL23" s="24"/>
      <c r="AHM23" s="24"/>
      <c r="AHN23" s="24"/>
      <c r="AHO23" s="24"/>
      <c r="AHP23" s="24"/>
      <c r="AHQ23" s="24"/>
      <c r="AHR23" s="24"/>
      <c r="AHS23" s="24"/>
      <c r="AHT23" s="24"/>
      <c r="AHU23" s="24"/>
      <c r="AHV23" s="24"/>
      <c r="AHW23" s="24"/>
      <c r="AHX23" s="24"/>
      <c r="AHY23" s="24"/>
      <c r="AHZ23" s="24"/>
      <c r="AIA23" s="24"/>
      <c r="AIB23" s="24"/>
      <c r="AIC23" s="24"/>
      <c r="AID23" s="24"/>
      <c r="AIE23" s="24"/>
      <c r="AIF23" s="24"/>
      <c r="AIG23" s="24"/>
      <c r="AIH23" s="24"/>
      <c r="AII23" s="24"/>
      <c r="AIJ23" s="24"/>
      <c r="AIK23" s="24"/>
      <c r="AIL23" s="24"/>
      <c r="AIM23" s="24"/>
      <c r="AIN23" s="24"/>
      <c r="AIO23" s="24"/>
      <c r="AIP23" s="24"/>
      <c r="AIQ23" s="24"/>
      <c r="AIR23" s="24"/>
      <c r="AIS23" s="24"/>
      <c r="AIT23" s="24"/>
      <c r="AIU23" s="24"/>
      <c r="AIV23" s="24"/>
      <c r="AIW23" s="24"/>
      <c r="AIX23" s="24"/>
      <c r="AIY23" s="24"/>
      <c r="AIZ23" s="24"/>
      <c r="AJA23" s="24"/>
      <c r="AJB23" s="24"/>
      <c r="AJC23" s="24"/>
      <c r="AJD23" s="24"/>
      <c r="AJE23" s="24"/>
      <c r="AJF23" s="24"/>
      <c r="AJG23" s="24"/>
      <c r="AJH23" s="24"/>
      <c r="AJI23" s="24"/>
      <c r="AJJ23" s="24"/>
      <c r="AJK23" s="24"/>
      <c r="AJL23" s="24"/>
      <c r="AJM23" s="24"/>
      <c r="AJN23" s="24"/>
      <c r="AJO23" s="24"/>
      <c r="AJP23" s="24"/>
      <c r="AJQ23" s="24"/>
      <c r="AJR23" s="24"/>
      <c r="AJS23" s="24"/>
      <c r="AJT23" s="24"/>
      <c r="AJU23" s="24"/>
      <c r="AJV23" s="24"/>
      <c r="AJW23" s="24"/>
      <c r="AJX23" s="24"/>
      <c r="AJY23" s="24"/>
      <c r="AJZ23" s="24"/>
      <c r="AKA23" s="24"/>
      <c r="AKB23" s="24"/>
      <c r="AKC23" s="24"/>
      <c r="AKD23" s="24"/>
      <c r="AKE23" s="24"/>
      <c r="AKF23" s="24"/>
      <c r="AKG23" s="24"/>
      <c r="AKH23" s="24"/>
      <c r="AKI23" s="24"/>
      <c r="AKJ23" s="24"/>
      <c r="AKK23" s="24"/>
      <c r="AKL23" s="24"/>
      <c r="AKM23" s="24"/>
      <c r="AKN23" s="24"/>
      <c r="AKO23" s="24"/>
      <c r="AKP23" s="24"/>
      <c r="AKQ23" s="24"/>
      <c r="AKR23" s="24"/>
      <c r="AKS23" s="24"/>
      <c r="AKT23" s="24"/>
      <c r="AKU23" s="24"/>
      <c r="AKV23" s="24"/>
      <c r="AKW23" s="24"/>
      <c r="AKX23" s="24"/>
      <c r="AKY23" s="24"/>
      <c r="AKZ23" s="24"/>
      <c r="ALA23" s="24"/>
      <c r="ALB23" s="24"/>
      <c r="ALC23" s="24"/>
      <c r="ALD23" s="24"/>
      <c r="ALE23" s="24"/>
      <c r="ALF23" s="24"/>
      <c r="ALG23" s="24"/>
      <c r="ALH23" s="24"/>
      <c r="ALI23" s="24"/>
      <c r="ALJ23" s="24"/>
      <c r="ALK23" s="24"/>
      <c r="ALL23" s="24"/>
      <c r="ALM23" s="24"/>
      <c r="ALN23" s="24"/>
      <c r="ALO23" s="24"/>
      <c r="ALP23" s="24"/>
      <c r="ALQ23" s="24"/>
      <c r="ALR23" s="24"/>
      <c r="ALS23" s="24"/>
      <c r="ALT23" s="24"/>
      <c r="ALU23" s="24"/>
      <c r="ALV23" s="24"/>
      <c r="ALW23" s="24"/>
      <c r="ALX23" s="24"/>
      <c r="ALY23" s="24"/>
      <c r="ALZ23" s="24"/>
      <c r="AMA23" s="24"/>
      <c r="AMB23" s="24"/>
      <c r="AMC23" s="24"/>
      <c r="AMD23" s="24"/>
      <c r="AME23" s="24"/>
      <c r="AMF23" s="24"/>
      <c r="AMG23" s="24"/>
      <c r="AMH23" s="24"/>
    </row>
    <row r="24" spans="2:1022" ht="174" customHeight="1">
      <c r="B24" s="502"/>
      <c r="C24" s="1135"/>
      <c r="D24" s="1137"/>
      <c r="E24" s="1140"/>
      <c r="F24" s="595"/>
      <c r="G24" s="609" t="s">
        <v>969</v>
      </c>
      <c r="H24" s="609" t="s">
        <v>1128</v>
      </c>
      <c r="I24" s="609" t="s">
        <v>924</v>
      </c>
      <c r="J24" s="1125"/>
      <c r="K24" s="609" t="s">
        <v>568</v>
      </c>
      <c r="L24" s="520" t="s">
        <v>1049</v>
      </c>
      <c r="M24" s="1152"/>
      <c r="N24" s="602" t="s">
        <v>1050</v>
      </c>
      <c r="O24" s="601"/>
      <c r="P24" s="1127"/>
      <c r="Q24" s="1127"/>
      <c r="R24" s="1127"/>
      <c r="S24" s="1127"/>
      <c r="T24" s="1127"/>
      <c r="U24" s="1130"/>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c r="IY24" s="24"/>
      <c r="IZ24" s="24"/>
      <c r="JA24" s="24"/>
      <c r="JB24" s="24"/>
      <c r="JC24" s="24"/>
      <c r="JD24" s="24"/>
      <c r="JE24" s="24"/>
      <c r="JF24" s="24"/>
      <c r="JG24" s="24"/>
      <c r="JH24" s="24"/>
      <c r="JI24" s="24"/>
      <c r="JJ24" s="24"/>
      <c r="JK24" s="24"/>
      <c r="JL24" s="24"/>
      <c r="JM24" s="24"/>
      <c r="JN24" s="24"/>
      <c r="JO24" s="24"/>
      <c r="JP24" s="24"/>
      <c r="JQ24" s="24"/>
      <c r="JR24" s="24"/>
      <c r="JS24" s="24"/>
      <c r="JT24" s="24"/>
      <c r="JU24" s="24"/>
      <c r="JV24" s="24"/>
      <c r="JW24" s="24"/>
      <c r="JX24" s="24"/>
      <c r="JY24" s="24"/>
      <c r="JZ24" s="24"/>
      <c r="KA24" s="24"/>
      <c r="KB24" s="24"/>
      <c r="KC24" s="24"/>
      <c r="KD24" s="24"/>
      <c r="KE24" s="24"/>
      <c r="KF24" s="24"/>
      <c r="KG24" s="24"/>
      <c r="KH24" s="24"/>
      <c r="KI24" s="24"/>
      <c r="KJ24" s="24"/>
      <c r="KK24" s="24"/>
      <c r="KL24" s="24"/>
      <c r="KM24" s="24"/>
      <c r="KN24" s="24"/>
      <c r="KO24" s="24"/>
      <c r="KP24" s="24"/>
      <c r="KQ24" s="24"/>
      <c r="KR24" s="24"/>
      <c r="KS24" s="24"/>
      <c r="KT24" s="24"/>
      <c r="KU24" s="24"/>
      <c r="KV24" s="24"/>
      <c r="KW24" s="24"/>
      <c r="KX24" s="24"/>
      <c r="KY24" s="24"/>
      <c r="KZ24" s="24"/>
      <c r="LA24" s="24"/>
      <c r="LB24" s="24"/>
      <c r="LC24" s="24"/>
      <c r="LD24" s="24"/>
      <c r="LE24" s="24"/>
      <c r="LF24" s="24"/>
      <c r="LG24" s="24"/>
      <c r="LH24" s="24"/>
      <c r="LI24" s="24"/>
      <c r="LJ24" s="24"/>
      <c r="LK24" s="24"/>
      <c r="LL24" s="24"/>
      <c r="LM24" s="24"/>
      <c r="LN24" s="24"/>
      <c r="LO24" s="24"/>
      <c r="LP24" s="24"/>
      <c r="LQ24" s="24"/>
      <c r="LR24" s="24"/>
      <c r="LS24" s="24"/>
      <c r="LT24" s="24"/>
      <c r="LU24" s="24"/>
      <c r="LV24" s="24"/>
      <c r="LW24" s="24"/>
      <c r="LX24" s="24"/>
      <c r="LY24" s="24"/>
      <c r="LZ24" s="24"/>
      <c r="MA24" s="24"/>
      <c r="MB24" s="24"/>
      <c r="MC24" s="24"/>
      <c r="MD24" s="24"/>
      <c r="ME24" s="24"/>
      <c r="MF24" s="24"/>
      <c r="MG24" s="24"/>
      <c r="MH24" s="24"/>
      <c r="MI24" s="24"/>
      <c r="MJ24" s="24"/>
      <c r="MK24" s="24"/>
      <c r="ML24" s="24"/>
      <c r="MM24" s="24"/>
      <c r="MN24" s="24"/>
      <c r="MO24" s="24"/>
      <c r="MP24" s="24"/>
      <c r="MQ24" s="24"/>
      <c r="MR24" s="24"/>
      <c r="MS24" s="24"/>
      <c r="MT24" s="24"/>
      <c r="MU24" s="24"/>
      <c r="MV24" s="24"/>
      <c r="MW24" s="24"/>
      <c r="MX24" s="24"/>
      <c r="MY24" s="24"/>
      <c r="MZ24" s="24"/>
      <c r="NA24" s="24"/>
      <c r="NB24" s="24"/>
      <c r="NC24" s="24"/>
      <c r="ND24" s="24"/>
      <c r="NE24" s="24"/>
      <c r="NF24" s="24"/>
      <c r="NG24" s="24"/>
      <c r="NH24" s="24"/>
      <c r="NI24" s="24"/>
      <c r="NJ24" s="24"/>
      <c r="NK24" s="24"/>
      <c r="NL24" s="24"/>
      <c r="NM24" s="24"/>
      <c r="NN24" s="24"/>
      <c r="NO24" s="24"/>
      <c r="NP24" s="24"/>
      <c r="NQ24" s="24"/>
      <c r="NR24" s="24"/>
      <c r="NS24" s="24"/>
      <c r="NT24" s="24"/>
      <c r="NU24" s="24"/>
      <c r="NV24" s="24"/>
      <c r="NW24" s="24"/>
      <c r="NX24" s="24"/>
      <c r="NY24" s="24"/>
      <c r="NZ24" s="24"/>
      <c r="OA24" s="24"/>
      <c r="OB24" s="24"/>
      <c r="OC24" s="24"/>
      <c r="OD24" s="24"/>
      <c r="OE24" s="24"/>
      <c r="OF24" s="24"/>
      <c r="OG24" s="24"/>
      <c r="OH24" s="24"/>
      <c r="OI24" s="24"/>
      <c r="OJ24" s="24"/>
      <c r="OK24" s="24"/>
      <c r="OL24" s="24"/>
      <c r="OM24" s="24"/>
      <c r="ON24" s="24"/>
      <c r="OO24" s="24"/>
      <c r="OP24" s="24"/>
      <c r="OQ24" s="24"/>
      <c r="OR24" s="24"/>
      <c r="OS24" s="24"/>
      <c r="OT24" s="24"/>
      <c r="OU24" s="24"/>
      <c r="OV24" s="24"/>
      <c r="OW24" s="24"/>
      <c r="OX24" s="24"/>
      <c r="OY24" s="24"/>
      <c r="OZ24" s="24"/>
      <c r="PA24" s="24"/>
      <c r="PB24" s="24"/>
      <c r="PC24" s="24"/>
      <c r="PD24" s="24"/>
      <c r="PE24" s="24"/>
      <c r="PF24" s="24"/>
      <c r="PG24" s="24"/>
      <c r="PH24" s="24"/>
      <c r="PI24" s="24"/>
      <c r="PJ24" s="24"/>
      <c r="PK24" s="24"/>
      <c r="PL24" s="24"/>
      <c r="PM24" s="24"/>
      <c r="PN24" s="24"/>
      <c r="PO24" s="24"/>
      <c r="PP24" s="24"/>
      <c r="PQ24" s="24"/>
      <c r="PR24" s="24"/>
      <c r="PS24" s="24"/>
      <c r="PT24" s="24"/>
      <c r="PU24" s="24"/>
      <c r="PV24" s="24"/>
      <c r="PW24" s="24"/>
      <c r="PX24" s="24"/>
      <c r="PY24" s="24"/>
      <c r="PZ24" s="24"/>
      <c r="QA24" s="24"/>
      <c r="QB24" s="24"/>
      <c r="QC24" s="24"/>
      <c r="QD24" s="24"/>
      <c r="QE24" s="24"/>
      <c r="QF24" s="24"/>
      <c r="QG24" s="24"/>
      <c r="QH24" s="24"/>
      <c r="QI24" s="24"/>
      <c r="QJ24" s="24"/>
      <c r="QK24" s="24"/>
      <c r="QL24" s="24"/>
      <c r="QM24" s="24"/>
      <c r="QN24" s="24"/>
      <c r="QO24" s="24"/>
      <c r="QP24" s="24"/>
      <c r="QQ24" s="24"/>
      <c r="QR24" s="24"/>
      <c r="QS24" s="24"/>
      <c r="QT24" s="24"/>
      <c r="QU24" s="24"/>
      <c r="QV24" s="24"/>
      <c r="QW24" s="24"/>
      <c r="QX24" s="24"/>
      <c r="QY24" s="24"/>
      <c r="QZ24" s="24"/>
      <c r="RA24" s="24"/>
      <c r="RB24" s="24"/>
      <c r="RC24" s="24"/>
      <c r="RD24" s="24"/>
      <c r="RE24" s="24"/>
      <c r="RF24" s="24"/>
      <c r="RG24" s="24"/>
      <c r="RH24" s="24"/>
      <c r="RI24" s="24"/>
      <c r="RJ24" s="24"/>
      <c r="RK24" s="24"/>
      <c r="RL24" s="24"/>
      <c r="RM24" s="24"/>
      <c r="RN24" s="24"/>
      <c r="RO24" s="24"/>
      <c r="RP24" s="24"/>
      <c r="RQ24" s="24"/>
      <c r="RR24" s="24"/>
      <c r="RS24" s="24"/>
      <c r="RT24" s="24"/>
      <c r="RU24" s="24"/>
      <c r="RV24" s="24"/>
      <c r="RW24" s="24"/>
      <c r="RX24" s="24"/>
      <c r="RY24" s="24"/>
      <c r="RZ24" s="24"/>
      <c r="SA24" s="24"/>
      <c r="SB24" s="24"/>
      <c r="SC24" s="24"/>
      <c r="SD24" s="24"/>
      <c r="SE24" s="24"/>
      <c r="SF24" s="24"/>
      <c r="SG24" s="24"/>
      <c r="SH24" s="24"/>
      <c r="SI24" s="24"/>
      <c r="SJ24" s="24"/>
      <c r="SK24" s="24"/>
      <c r="SL24" s="24"/>
      <c r="SM24" s="24"/>
      <c r="SN24" s="24"/>
      <c r="SO24" s="24"/>
      <c r="SP24" s="24"/>
      <c r="SQ24" s="24"/>
      <c r="SR24" s="24"/>
      <c r="SS24" s="24"/>
      <c r="ST24" s="24"/>
      <c r="SU24" s="24"/>
      <c r="SV24" s="24"/>
      <c r="SW24" s="24"/>
      <c r="SX24" s="24"/>
      <c r="SY24" s="24"/>
      <c r="SZ24" s="24"/>
      <c r="TA24" s="24"/>
      <c r="TB24" s="24"/>
      <c r="TC24" s="24"/>
      <c r="TD24" s="24"/>
      <c r="TE24" s="24"/>
      <c r="TF24" s="24"/>
      <c r="TG24" s="24"/>
      <c r="TH24" s="24"/>
      <c r="TI24" s="24"/>
      <c r="TJ24" s="24"/>
      <c r="TK24" s="24"/>
      <c r="TL24" s="24"/>
      <c r="TM24" s="24"/>
      <c r="TN24" s="24"/>
      <c r="TO24" s="24"/>
      <c r="TP24" s="24"/>
      <c r="TQ24" s="24"/>
      <c r="TR24" s="24"/>
      <c r="TS24" s="24"/>
      <c r="TT24" s="24"/>
      <c r="TU24" s="24"/>
      <c r="TV24" s="24"/>
      <c r="TW24" s="24"/>
      <c r="TX24" s="24"/>
      <c r="TY24" s="24"/>
      <c r="TZ24" s="24"/>
      <c r="UA24" s="24"/>
      <c r="UB24" s="24"/>
      <c r="UC24" s="24"/>
      <c r="UD24" s="24"/>
      <c r="UE24" s="24"/>
      <c r="UF24" s="24"/>
      <c r="UG24" s="24"/>
      <c r="UH24" s="24"/>
      <c r="UI24" s="24"/>
      <c r="UJ24" s="24"/>
      <c r="UK24" s="24"/>
      <c r="UL24" s="24"/>
      <c r="UM24" s="24"/>
      <c r="UN24" s="24"/>
      <c r="UO24" s="24"/>
      <c r="UP24" s="24"/>
      <c r="UQ24" s="24"/>
      <c r="UR24" s="24"/>
      <c r="US24" s="24"/>
      <c r="UT24" s="24"/>
      <c r="UU24" s="24"/>
      <c r="UV24" s="24"/>
      <c r="UW24" s="24"/>
      <c r="UX24" s="24"/>
      <c r="UY24" s="24"/>
      <c r="UZ24" s="24"/>
      <c r="VA24" s="24"/>
      <c r="VB24" s="24"/>
      <c r="VC24" s="24"/>
      <c r="VD24" s="24"/>
      <c r="VE24" s="24"/>
      <c r="VF24" s="24"/>
      <c r="VG24" s="24"/>
      <c r="VH24" s="24"/>
      <c r="VI24" s="24"/>
      <c r="VJ24" s="24"/>
      <c r="VK24" s="24"/>
      <c r="VL24" s="24"/>
      <c r="VM24" s="24"/>
      <c r="VN24" s="24"/>
      <c r="VO24" s="24"/>
      <c r="VP24" s="24"/>
      <c r="VQ24" s="24"/>
      <c r="VR24" s="24"/>
      <c r="VS24" s="24"/>
      <c r="VT24" s="24"/>
      <c r="VU24" s="24"/>
      <c r="VV24" s="24"/>
      <c r="VW24" s="24"/>
      <c r="VX24" s="24"/>
      <c r="VY24" s="24"/>
      <c r="VZ24" s="24"/>
      <c r="WA24" s="24"/>
      <c r="WB24" s="24"/>
      <c r="WC24" s="24"/>
      <c r="WD24" s="24"/>
      <c r="WE24" s="24"/>
      <c r="WF24" s="24"/>
      <c r="WG24" s="24"/>
      <c r="WH24" s="24"/>
      <c r="WI24" s="24"/>
      <c r="WJ24" s="24"/>
      <c r="WK24" s="24"/>
      <c r="WL24" s="24"/>
      <c r="WM24" s="24"/>
      <c r="WN24" s="24"/>
      <c r="WO24" s="24"/>
      <c r="WP24" s="24"/>
      <c r="WQ24" s="24"/>
      <c r="WR24" s="24"/>
      <c r="WS24" s="24"/>
      <c r="WT24" s="24"/>
      <c r="WU24" s="24"/>
      <c r="WV24" s="24"/>
      <c r="WW24" s="24"/>
      <c r="WX24" s="24"/>
      <c r="WY24" s="24"/>
      <c r="WZ24" s="24"/>
      <c r="XA24" s="24"/>
      <c r="XB24" s="24"/>
      <c r="XC24" s="24"/>
      <c r="XD24" s="24"/>
      <c r="XE24" s="24"/>
      <c r="XF24" s="24"/>
      <c r="XG24" s="24"/>
      <c r="XH24" s="24"/>
      <c r="XI24" s="24"/>
      <c r="XJ24" s="24"/>
      <c r="XK24" s="24"/>
      <c r="XL24" s="24"/>
      <c r="XM24" s="24"/>
      <c r="XN24" s="24"/>
      <c r="XO24" s="24"/>
      <c r="XP24" s="24"/>
      <c r="XQ24" s="24"/>
      <c r="XR24" s="24"/>
      <c r="XS24" s="24"/>
      <c r="XT24" s="24"/>
      <c r="XU24" s="24"/>
      <c r="XV24" s="24"/>
      <c r="XW24" s="24"/>
      <c r="XX24" s="24"/>
      <c r="XY24" s="24"/>
      <c r="XZ24" s="24"/>
      <c r="YA24" s="24"/>
      <c r="YB24" s="24"/>
      <c r="YC24" s="24"/>
      <c r="YD24" s="24"/>
      <c r="YE24" s="24"/>
      <c r="YF24" s="24"/>
      <c r="YG24" s="24"/>
      <c r="YH24" s="24"/>
      <c r="YI24" s="24"/>
      <c r="YJ24" s="24"/>
      <c r="YK24" s="24"/>
      <c r="YL24" s="24"/>
      <c r="YM24" s="24"/>
      <c r="YN24" s="24"/>
      <c r="YO24" s="24"/>
      <c r="YP24" s="24"/>
      <c r="YQ24" s="24"/>
      <c r="YR24" s="24"/>
      <c r="YS24" s="24"/>
      <c r="YT24" s="24"/>
      <c r="YU24" s="24"/>
      <c r="YV24" s="24"/>
      <c r="YW24" s="24"/>
      <c r="YX24" s="24"/>
      <c r="YY24" s="24"/>
      <c r="YZ24" s="24"/>
      <c r="ZA24" s="24"/>
      <c r="ZB24" s="24"/>
      <c r="ZC24" s="24"/>
      <c r="ZD24" s="24"/>
      <c r="ZE24" s="24"/>
      <c r="ZF24" s="24"/>
      <c r="ZG24" s="24"/>
      <c r="ZH24" s="24"/>
      <c r="ZI24" s="24"/>
      <c r="ZJ24" s="24"/>
      <c r="ZK24" s="24"/>
      <c r="ZL24" s="24"/>
      <c r="ZM24" s="24"/>
      <c r="ZN24" s="24"/>
      <c r="ZO24" s="24"/>
      <c r="ZP24" s="24"/>
      <c r="ZQ24" s="24"/>
      <c r="ZR24" s="24"/>
      <c r="ZS24" s="24"/>
      <c r="ZT24" s="24"/>
      <c r="ZU24" s="24"/>
      <c r="ZV24" s="24"/>
      <c r="ZW24" s="24"/>
      <c r="ZX24" s="24"/>
      <c r="ZY24" s="24"/>
      <c r="ZZ24" s="24"/>
      <c r="AAA24" s="24"/>
      <c r="AAB24" s="24"/>
      <c r="AAC24" s="24"/>
      <c r="AAD24" s="24"/>
      <c r="AAE24" s="24"/>
      <c r="AAF24" s="24"/>
      <c r="AAG24" s="24"/>
      <c r="AAH24" s="24"/>
      <c r="AAI24" s="24"/>
      <c r="AAJ24" s="24"/>
      <c r="AAK24" s="24"/>
      <c r="AAL24" s="24"/>
      <c r="AAM24" s="24"/>
      <c r="AAN24" s="24"/>
      <c r="AAO24" s="24"/>
      <c r="AAP24" s="24"/>
      <c r="AAQ24" s="24"/>
      <c r="AAR24" s="24"/>
      <c r="AAS24" s="24"/>
      <c r="AAT24" s="24"/>
      <c r="AAU24" s="24"/>
      <c r="AAV24" s="24"/>
      <c r="AAW24" s="24"/>
      <c r="AAX24" s="24"/>
      <c r="AAY24" s="24"/>
      <c r="AAZ24" s="24"/>
      <c r="ABA24" s="24"/>
      <c r="ABB24" s="24"/>
      <c r="ABC24" s="24"/>
      <c r="ABD24" s="24"/>
      <c r="ABE24" s="24"/>
      <c r="ABF24" s="24"/>
      <c r="ABG24" s="24"/>
      <c r="ABH24" s="24"/>
      <c r="ABI24" s="24"/>
      <c r="ABJ24" s="24"/>
      <c r="ABK24" s="24"/>
      <c r="ABL24" s="24"/>
      <c r="ABM24" s="24"/>
      <c r="ABN24" s="24"/>
      <c r="ABO24" s="24"/>
      <c r="ABP24" s="24"/>
      <c r="ABQ24" s="24"/>
      <c r="ABR24" s="24"/>
      <c r="ABS24" s="24"/>
      <c r="ABT24" s="24"/>
      <c r="ABU24" s="24"/>
      <c r="ABV24" s="24"/>
      <c r="ABW24" s="24"/>
      <c r="ABX24" s="24"/>
      <c r="ABY24" s="24"/>
      <c r="ABZ24" s="24"/>
      <c r="ACA24" s="24"/>
      <c r="ACB24" s="24"/>
      <c r="ACC24" s="24"/>
      <c r="ACD24" s="24"/>
      <c r="ACE24" s="24"/>
      <c r="ACF24" s="24"/>
      <c r="ACG24" s="24"/>
      <c r="ACH24" s="24"/>
      <c r="ACI24" s="24"/>
      <c r="ACJ24" s="24"/>
      <c r="ACK24" s="24"/>
      <c r="ACL24" s="24"/>
      <c r="ACM24" s="24"/>
      <c r="ACN24" s="24"/>
      <c r="ACO24" s="24"/>
      <c r="ACP24" s="24"/>
      <c r="ACQ24" s="24"/>
      <c r="ACR24" s="24"/>
      <c r="ACS24" s="24"/>
      <c r="ACT24" s="24"/>
      <c r="ACU24" s="24"/>
      <c r="ACV24" s="24"/>
      <c r="ACW24" s="24"/>
      <c r="ACX24" s="24"/>
      <c r="ACY24" s="24"/>
      <c r="ACZ24" s="24"/>
      <c r="ADA24" s="24"/>
      <c r="ADB24" s="24"/>
      <c r="ADC24" s="24"/>
      <c r="ADD24" s="24"/>
      <c r="ADE24" s="24"/>
      <c r="ADF24" s="24"/>
      <c r="ADG24" s="24"/>
      <c r="ADH24" s="24"/>
      <c r="ADI24" s="24"/>
      <c r="ADJ24" s="24"/>
      <c r="ADK24" s="24"/>
      <c r="ADL24" s="24"/>
      <c r="ADM24" s="24"/>
      <c r="ADN24" s="24"/>
      <c r="ADO24" s="24"/>
      <c r="ADP24" s="24"/>
      <c r="ADQ24" s="24"/>
      <c r="ADR24" s="24"/>
      <c r="ADS24" s="24"/>
      <c r="ADT24" s="24"/>
      <c r="ADU24" s="24"/>
      <c r="ADV24" s="24"/>
      <c r="ADW24" s="24"/>
      <c r="ADX24" s="24"/>
      <c r="ADY24" s="24"/>
      <c r="ADZ24" s="24"/>
      <c r="AEA24" s="24"/>
      <c r="AEB24" s="24"/>
      <c r="AEC24" s="24"/>
      <c r="AED24" s="24"/>
      <c r="AEE24" s="24"/>
      <c r="AEF24" s="24"/>
      <c r="AEG24" s="24"/>
      <c r="AEH24" s="24"/>
      <c r="AEI24" s="24"/>
      <c r="AEJ24" s="24"/>
      <c r="AEK24" s="24"/>
      <c r="AEL24" s="24"/>
      <c r="AEM24" s="24"/>
      <c r="AEN24" s="24"/>
      <c r="AEO24" s="24"/>
      <c r="AEP24" s="24"/>
      <c r="AEQ24" s="24"/>
      <c r="AER24" s="24"/>
      <c r="AES24" s="24"/>
      <c r="AET24" s="24"/>
      <c r="AEU24" s="24"/>
      <c r="AEV24" s="24"/>
      <c r="AEW24" s="24"/>
      <c r="AEX24" s="24"/>
      <c r="AEY24" s="24"/>
      <c r="AEZ24" s="24"/>
      <c r="AFA24" s="24"/>
      <c r="AFB24" s="24"/>
      <c r="AFC24" s="24"/>
      <c r="AFD24" s="24"/>
      <c r="AFE24" s="24"/>
      <c r="AFF24" s="24"/>
      <c r="AFG24" s="24"/>
      <c r="AFH24" s="24"/>
      <c r="AFI24" s="24"/>
      <c r="AFJ24" s="24"/>
      <c r="AFK24" s="24"/>
      <c r="AFL24" s="24"/>
      <c r="AFM24" s="24"/>
      <c r="AFN24" s="24"/>
      <c r="AFO24" s="24"/>
      <c r="AFP24" s="24"/>
      <c r="AFQ24" s="24"/>
      <c r="AFR24" s="24"/>
      <c r="AFS24" s="24"/>
      <c r="AFT24" s="24"/>
      <c r="AFU24" s="24"/>
      <c r="AFV24" s="24"/>
      <c r="AFW24" s="24"/>
      <c r="AFX24" s="24"/>
      <c r="AFY24" s="24"/>
      <c r="AFZ24" s="24"/>
      <c r="AGA24" s="24"/>
      <c r="AGB24" s="24"/>
      <c r="AGC24" s="24"/>
      <c r="AGD24" s="24"/>
      <c r="AGE24" s="24"/>
      <c r="AGF24" s="24"/>
      <c r="AGG24" s="24"/>
      <c r="AGH24" s="24"/>
      <c r="AGI24" s="24"/>
      <c r="AGJ24" s="24"/>
      <c r="AGK24" s="24"/>
      <c r="AGL24" s="24"/>
      <c r="AGM24" s="24"/>
      <c r="AGN24" s="24"/>
      <c r="AGO24" s="24"/>
      <c r="AGP24" s="24"/>
      <c r="AGQ24" s="24"/>
      <c r="AGR24" s="24"/>
      <c r="AGS24" s="24"/>
      <c r="AGT24" s="24"/>
      <c r="AGU24" s="24"/>
      <c r="AGV24" s="24"/>
      <c r="AGW24" s="24"/>
      <c r="AGX24" s="24"/>
      <c r="AGY24" s="24"/>
      <c r="AGZ24" s="24"/>
      <c r="AHA24" s="24"/>
      <c r="AHB24" s="24"/>
      <c r="AHC24" s="24"/>
      <c r="AHD24" s="24"/>
      <c r="AHE24" s="24"/>
      <c r="AHF24" s="24"/>
      <c r="AHG24" s="24"/>
      <c r="AHH24" s="24"/>
      <c r="AHI24" s="24"/>
      <c r="AHJ24" s="24"/>
      <c r="AHK24" s="24"/>
      <c r="AHL24" s="24"/>
      <c r="AHM24" s="24"/>
      <c r="AHN24" s="24"/>
      <c r="AHO24" s="24"/>
      <c r="AHP24" s="24"/>
      <c r="AHQ24" s="24"/>
      <c r="AHR24" s="24"/>
      <c r="AHS24" s="24"/>
      <c r="AHT24" s="24"/>
      <c r="AHU24" s="24"/>
      <c r="AHV24" s="24"/>
      <c r="AHW24" s="24"/>
      <c r="AHX24" s="24"/>
      <c r="AHY24" s="24"/>
      <c r="AHZ24" s="24"/>
      <c r="AIA24" s="24"/>
      <c r="AIB24" s="24"/>
      <c r="AIC24" s="24"/>
      <c r="AID24" s="24"/>
      <c r="AIE24" s="24"/>
      <c r="AIF24" s="24"/>
      <c r="AIG24" s="24"/>
      <c r="AIH24" s="24"/>
      <c r="AII24" s="24"/>
      <c r="AIJ24" s="24"/>
      <c r="AIK24" s="24"/>
      <c r="AIL24" s="24"/>
      <c r="AIM24" s="24"/>
      <c r="AIN24" s="24"/>
      <c r="AIO24" s="24"/>
      <c r="AIP24" s="24"/>
      <c r="AIQ24" s="24"/>
      <c r="AIR24" s="24"/>
      <c r="AIS24" s="24"/>
      <c r="AIT24" s="24"/>
      <c r="AIU24" s="24"/>
      <c r="AIV24" s="24"/>
      <c r="AIW24" s="24"/>
      <c r="AIX24" s="24"/>
      <c r="AIY24" s="24"/>
      <c r="AIZ24" s="24"/>
      <c r="AJA24" s="24"/>
      <c r="AJB24" s="24"/>
      <c r="AJC24" s="24"/>
      <c r="AJD24" s="24"/>
      <c r="AJE24" s="24"/>
      <c r="AJF24" s="24"/>
      <c r="AJG24" s="24"/>
      <c r="AJH24" s="24"/>
      <c r="AJI24" s="24"/>
      <c r="AJJ24" s="24"/>
      <c r="AJK24" s="24"/>
      <c r="AJL24" s="24"/>
      <c r="AJM24" s="24"/>
      <c r="AJN24" s="24"/>
      <c r="AJO24" s="24"/>
      <c r="AJP24" s="24"/>
      <c r="AJQ24" s="24"/>
      <c r="AJR24" s="24"/>
      <c r="AJS24" s="24"/>
      <c r="AJT24" s="24"/>
      <c r="AJU24" s="24"/>
      <c r="AJV24" s="24"/>
      <c r="AJW24" s="24"/>
      <c r="AJX24" s="24"/>
      <c r="AJY24" s="24"/>
      <c r="AJZ24" s="24"/>
      <c r="AKA24" s="24"/>
      <c r="AKB24" s="24"/>
      <c r="AKC24" s="24"/>
      <c r="AKD24" s="24"/>
      <c r="AKE24" s="24"/>
      <c r="AKF24" s="24"/>
      <c r="AKG24" s="24"/>
      <c r="AKH24" s="24"/>
      <c r="AKI24" s="24"/>
      <c r="AKJ24" s="24"/>
      <c r="AKK24" s="24"/>
      <c r="AKL24" s="24"/>
      <c r="AKM24" s="24"/>
      <c r="AKN24" s="24"/>
      <c r="AKO24" s="24"/>
      <c r="AKP24" s="24"/>
      <c r="AKQ24" s="24"/>
      <c r="AKR24" s="24"/>
      <c r="AKS24" s="24"/>
      <c r="AKT24" s="24"/>
      <c r="AKU24" s="24"/>
      <c r="AKV24" s="24"/>
      <c r="AKW24" s="24"/>
      <c r="AKX24" s="24"/>
      <c r="AKY24" s="24"/>
      <c r="AKZ24" s="24"/>
      <c r="ALA24" s="24"/>
      <c r="ALB24" s="24"/>
      <c r="ALC24" s="24"/>
      <c r="ALD24" s="24"/>
      <c r="ALE24" s="24"/>
      <c r="ALF24" s="24"/>
      <c r="ALG24" s="24"/>
      <c r="ALH24" s="24"/>
      <c r="ALI24" s="24"/>
      <c r="ALJ24" s="24"/>
      <c r="ALK24" s="24"/>
      <c r="ALL24" s="24"/>
      <c r="ALM24" s="24"/>
      <c r="ALN24" s="24"/>
      <c r="ALO24" s="24"/>
      <c r="ALP24" s="24"/>
      <c r="ALQ24" s="24"/>
      <c r="ALR24" s="24"/>
      <c r="ALS24" s="24"/>
      <c r="ALT24" s="24"/>
      <c r="ALU24" s="24"/>
      <c r="ALV24" s="24"/>
      <c r="ALW24" s="24"/>
      <c r="ALX24" s="24"/>
      <c r="ALY24" s="24"/>
      <c r="ALZ24" s="24"/>
      <c r="AMA24" s="24"/>
      <c r="AMB24" s="24"/>
      <c r="AMC24" s="24"/>
      <c r="AMD24" s="24"/>
      <c r="AME24" s="24"/>
      <c r="AMF24" s="24"/>
      <c r="AMG24" s="24"/>
      <c r="AMH24" s="24"/>
    </row>
    <row r="25" spans="2:1022" ht="186.75" customHeight="1">
      <c r="B25" s="502"/>
      <c r="C25" s="1145"/>
      <c r="D25" s="1138"/>
      <c r="E25" s="1141"/>
      <c r="F25" s="485"/>
      <c r="G25" s="605" t="s">
        <v>922</v>
      </c>
      <c r="H25" s="602" t="s">
        <v>937</v>
      </c>
      <c r="I25" s="602" t="s">
        <v>925</v>
      </c>
      <c r="J25" s="1128"/>
      <c r="K25" s="596" t="s">
        <v>1129</v>
      </c>
      <c r="L25" s="597" t="s">
        <v>927</v>
      </c>
      <c r="M25" s="1128"/>
      <c r="N25" s="602" t="s">
        <v>936</v>
      </c>
      <c r="O25" s="602"/>
      <c r="P25" s="1128"/>
      <c r="Q25" s="1128"/>
      <c r="R25" s="1128"/>
      <c r="S25" s="1128"/>
      <c r="T25" s="1128"/>
      <c r="U25" s="1131"/>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c r="JA25" s="24"/>
      <c r="JB25" s="24"/>
      <c r="JC25" s="24"/>
      <c r="JD25" s="24"/>
      <c r="JE25" s="24"/>
      <c r="JF25" s="24"/>
      <c r="JG25" s="24"/>
      <c r="JH25" s="24"/>
      <c r="JI25" s="24"/>
      <c r="JJ25" s="24"/>
      <c r="JK25" s="24"/>
      <c r="JL25" s="24"/>
      <c r="JM25" s="24"/>
      <c r="JN25" s="24"/>
      <c r="JO25" s="24"/>
      <c r="JP25" s="24"/>
      <c r="JQ25" s="24"/>
      <c r="JR25" s="24"/>
      <c r="JS25" s="24"/>
      <c r="JT25" s="24"/>
      <c r="JU25" s="24"/>
      <c r="JV25" s="24"/>
      <c r="JW25" s="24"/>
      <c r="JX25" s="24"/>
      <c r="JY25" s="24"/>
      <c r="JZ25" s="24"/>
      <c r="KA25" s="24"/>
      <c r="KB25" s="24"/>
      <c r="KC25" s="24"/>
      <c r="KD25" s="24"/>
      <c r="KE25" s="24"/>
      <c r="KF25" s="24"/>
      <c r="KG25" s="24"/>
      <c r="KH25" s="24"/>
      <c r="KI25" s="24"/>
      <c r="KJ25" s="24"/>
      <c r="KK25" s="24"/>
      <c r="KL25" s="24"/>
      <c r="KM25" s="24"/>
      <c r="KN25" s="24"/>
      <c r="KO25" s="24"/>
      <c r="KP25" s="24"/>
      <c r="KQ25" s="24"/>
      <c r="KR25" s="24"/>
      <c r="KS25" s="24"/>
      <c r="KT25" s="24"/>
      <c r="KU25" s="24"/>
      <c r="KV25" s="24"/>
      <c r="KW25" s="24"/>
      <c r="KX25" s="24"/>
      <c r="KY25" s="24"/>
      <c r="KZ25" s="24"/>
      <c r="LA25" s="24"/>
      <c r="LB25" s="24"/>
      <c r="LC25" s="24"/>
      <c r="LD25" s="24"/>
      <c r="LE25" s="24"/>
      <c r="LF25" s="24"/>
      <c r="LG25" s="24"/>
      <c r="LH25" s="24"/>
      <c r="LI25" s="24"/>
      <c r="LJ25" s="24"/>
      <c r="LK25" s="24"/>
      <c r="LL25" s="24"/>
      <c r="LM25" s="24"/>
      <c r="LN25" s="24"/>
      <c r="LO25" s="24"/>
      <c r="LP25" s="24"/>
      <c r="LQ25" s="24"/>
      <c r="LR25" s="24"/>
      <c r="LS25" s="24"/>
      <c r="LT25" s="24"/>
      <c r="LU25" s="24"/>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4"/>
      <c r="NV25" s="24"/>
      <c r="NW25" s="24"/>
      <c r="NX25" s="24"/>
      <c r="NY25" s="24"/>
      <c r="NZ25" s="24"/>
      <c r="OA25" s="24"/>
      <c r="OB25" s="24"/>
      <c r="OC25" s="24"/>
      <c r="OD25" s="24"/>
      <c r="OE25" s="24"/>
      <c r="OF25" s="24"/>
      <c r="OG25" s="24"/>
      <c r="OH25" s="24"/>
      <c r="OI25" s="24"/>
      <c r="OJ25" s="24"/>
      <c r="OK25" s="24"/>
      <c r="OL25" s="24"/>
      <c r="OM25" s="24"/>
      <c r="ON25" s="24"/>
      <c r="OO25" s="24"/>
      <c r="OP25" s="24"/>
      <c r="OQ25" s="24"/>
      <c r="OR25" s="24"/>
      <c r="OS25" s="24"/>
      <c r="OT25" s="24"/>
      <c r="OU25" s="24"/>
      <c r="OV25" s="24"/>
      <c r="OW25" s="24"/>
      <c r="OX25" s="24"/>
      <c r="OY25" s="24"/>
      <c r="OZ25" s="24"/>
      <c r="PA25" s="24"/>
      <c r="PB25" s="24"/>
      <c r="PC25" s="24"/>
      <c r="PD25" s="24"/>
      <c r="PE25" s="24"/>
      <c r="PF25" s="24"/>
      <c r="PG25" s="24"/>
      <c r="PH25" s="24"/>
      <c r="PI25" s="24"/>
      <c r="PJ25" s="24"/>
      <c r="PK25" s="24"/>
      <c r="PL25" s="24"/>
      <c r="PM25" s="24"/>
      <c r="PN25" s="24"/>
      <c r="PO25" s="24"/>
      <c r="PP25" s="24"/>
      <c r="PQ25" s="24"/>
      <c r="PR25" s="24"/>
      <c r="PS25" s="24"/>
      <c r="PT25" s="24"/>
      <c r="PU25" s="24"/>
      <c r="PV25" s="24"/>
      <c r="PW25" s="24"/>
      <c r="PX25" s="24"/>
      <c r="PY25" s="24"/>
      <c r="PZ25" s="24"/>
      <c r="QA25" s="24"/>
      <c r="QB25" s="24"/>
      <c r="QC25" s="24"/>
      <c r="QD25" s="24"/>
      <c r="QE25" s="24"/>
      <c r="QF25" s="24"/>
      <c r="QG25" s="24"/>
      <c r="QH25" s="24"/>
      <c r="QI25" s="24"/>
      <c r="QJ25" s="24"/>
      <c r="QK25" s="24"/>
      <c r="QL25" s="24"/>
      <c r="QM25" s="24"/>
      <c r="QN25" s="24"/>
      <c r="QO25" s="24"/>
      <c r="QP25" s="24"/>
      <c r="QQ25" s="24"/>
      <c r="QR25" s="24"/>
      <c r="QS25" s="24"/>
      <c r="QT25" s="24"/>
      <c r="QU25" s="24"/>
      <c r="QV25" s="24"/>
      <c r="QW25" s="24"/>
      <c r="QX25" s="24"/>
      <c r="QY25" s="24"/>
      <c r="QZ25" s="24"/>
      <c r="RA25" s="24"/>
      <c r="RB25" s="24"/>
      <c r="RC25" s="24"/>
      <c r="RD25" s="24"/>
      <c r="RE25" s="24"/>
      <c r="RF25" s="24"/>
      <c r="RG25" s="24"/>
      <c r="RH25" s="24"/>
      <c r="RI25" s="24"/>
      <c r="RJ25" s="24"/>
      <c r="RK25" s="24"/>
      <c r="RL25" s="24"/>
      <c r="RM25" s="24"/>
      <c r="RN25" s="24"/>
      <c r="RO25" s="24"/>
      <c r="RP25" s="24"/>
      <c r="RQ25" s="24"/>
      <c r="RR25" s="24"/>
      <c r="RS25" s="24"/>
      <c r="RT25" s="24"/>
      <c r="RU25" s="24"/>
      <c r="RV25" s="24"/>
      <c r="RW25" s="24"/>
      <c r="RX25" s="24"/>
      <c r="RY25" s="24"/>
      <c r="RZ25" s="24"/>
      <c r="SA25" s="24"/>
      <c r="SB25" s="24"/>
      <c r="SC25" s="24"/>
      <c r="SD25" s="24"/>
      <c r="SE25" s="24"/>
      <c r="SF25" s="24"/>
      <c r="SG25" s="24"/>
      <c r="SH25" s="24"/>
      <c r="SI25" s="24"/>
      <c r="SJ25" s="24"/>
      <c r="SK25" s="24"/>
      <c r="SL25" s="24"/>
      <c r="SM25" s="24"/>
      <c r="SN25" s="24"/>
      <c r="SO25" s="24"/>
      <c r="SP25" s="24"/>
      <c r="SQ25" s="24"/>
      <c r="SR25" s="24"/>
      <c r="SS25" s="24"/>
      <c r="ST25" s="24"/>
      <c r="SU25" s="24"/>
      <c r="SV25" s="24"/>
      <c r="SW25" s="24"/>
      <c r="SX25" s="24"/>
      <c r="SY25" s="24"/>
      <c r="SZ25" s="24"/>
      <c r="TA25" s="24"/>
      <c r="TB25" s="24"/>
      <c r="TC25" s="24"/>
      <c r="TD25" s="24"/>
      <c r="TE25" s="24"/>
      <c r="TF25" s="24"/>
      <c r="TG25" s="24"/>
      <c r="TH25" s="24"/>
      <c r="TI25" s="24"/>
      <c r="TJ25" s="24"/>
      <c r="TK25" s="24"/>
      <c r="TL25" s="24"/>
      <c r="TM25" s="24"/>
      <c r="TN25" s="24"/>
      <c r="TO25" s="24"/>
      <c r="TP25" s="24"/>
      <c r="TQ25" s="24"/>
      <c r="TR25" s="24"/>
      <c r="TS25" s="24"/>
      <c r="TT25" s="24"/>
      <c r="TU25" s="24"/>
      <c r="TV25" s="24"/>
      <c r="TW25" s="24"/>
      <c r="TX25" s="24"/>
      <c r="TY25" s="24"/>
      <c r="TZ25" s="24"/>
      <c r="UA25" s="24"/>
      <c r="UB25" s="24"/>
      <c r="UC25" s="24"/>
      <c r="UD25" s="24"/>
      <c r="UE25" s="24"/>
      <c r="UF25" s="24"/>
      <c r="UG25" s="24"/>
      <c r="UH25" s="24"/>
      <c r="UI25" s="24"/>
      <c r="UJ25" s="24"/>
      <c r="UK25" s="24"/>
      <c r="UL25" s="24"/>
      <c r="UM25" s="24"/>
      <c r="UN25" s="24"/>
      <c r="UO25" s="24"/>
      <c r="UP25" s="24"/>
      <c r="UQ25" s="24"/>
      <c r="UR25" s="24"/>
      <c r="US25" s="24"/>
      <c r="UT25" s="24"/>
      <c r="UU25" s="24"/>
      <c r="UV25" s="24"/>
      <c r="UW25" s="24"/>
      <c r="UX25" s="24"/>
      <c r="UY25" s="24"/>
      <c r="UZ25" s="24"/>
      <c r="VA25" s="24"/>
      <c r="VB25" s="24"/>
      <c r="VC25" s="24"/>
      <c r="VD25" s="24"/>
      <c r="VE25" s="24"/>
      <c r="VF25" s="24"/>
      <c r="VG25" s="24"/>
      <c r="VH25" s="24"/>
      <c r="VI25" s="24"/>
      <c r="VJ25" s="24"/>
      <c r="VK25" s="24"/>
      <c r="VL25" s="24"/>
      <c r="VM25" s="24"/>
      <c r="VN25" s="24"/>
      <c r="VO25" s="24"/>
      <c r="VP25" s="24"/>
      <c r="VQ25" s="24"/>
      <c r="VR25" s="24"/>
      <c r="VS25" s="24"/>
      <c r="VT25" s="24"/>
      <c r="VU25" s="24"/>
      <c r="VV25" s="24"/>
      <c r="VW25" s="24"/>
      <c r="VX25" s="24"/>
      <c r="VY25" s="24"/>
      <c r="VZ25" s="24"/>
      <c r="WA25" s="24"/>
      <c r="WB25" s="24"/>
      <c r="WC25" s="24"/>
      <c r="WD25" s="24"/>
      <c r="WE25" s="24"/>
      <c r="WF25" s="24"/>
      <c r="WG25" s="24"/>
      <c r="WH25" s="24"/>
      <c r="WI25" s="24"/>
      <c r="WJ25" s="24"/>
      <c r="WK25" s="24"/>
      <c r="WL25" s="24"/>
      <c r="WM25" s="24"/>
      <c r="WN25" s="24"/>
      <c r="WO25" s="24"/>
      <c r="WP25" s="24"/>
      <c r="WQ25" s="24"/>
      <c r="WR25" s="24"/>
      <c r="WS25" s="24"/>
      <c r="WT25" s="24"/>
      <c r="WU25" s="24"/>
      <c r="WV25" s="24"/>
      <c r="WW25" s="24"/>
      <c r="WX25" s="24"/>
      <c r="WY25" s="24"/>
      <c r="WZ25" s="24"/>
      <c r="XA25" s="24"/>
      <c r="XB25" s="24"/>
      <c r="XC25" s="24"/>
      <c r="XD25" s="24"/>
      <c r="XE25" s="24"/>
      <c r="XF25" s="24"/>
      <c r="XG25" s="24"/>
      <c r="XH25" s="24"/>
      <c r="XI25" s="24"/>
      <c r="XJ25" s="24"/>
      <c r="XK25" s="24"/>
      <c r="XL25" s="24"/>
      <c r="XM25" s="24"/>
      <c r="XN25" s="24"/>
      <c r="XO25" s="24"/>
      <c r="XP25" s="24"/>
      <c r="XQ25" s="24"/>
      <c r="XR25" s="24"/>
      <c r="XS25" s="24"/>
      <c r="XT25" s="24"/>
      <c r="XU25" s="24"/>
      <c r="XV25" s="24"/>
      <c r="XW25" s="24"/>
      <c r="XX25" s="24"/>
      <c r="XY25" s="24"/>
      <c r="XZ25" s="24"/>
      <c r="YA25" s="24"/>
      <c r="YB25" s="24"/>
      <c r="YC25" s="24"/>
      <c r="YD25" s="24"/>
      <c r="YE25" s="24"/>
      <c r="YF25" s="24"/>
      <c r="YG25" s="24"/>
      <c r="YH25" s="24"/>
      <c r="YI25" s="24"/>
      <c r="YJ25" s="24"/>
      <c r="YK25" s="24"/>
      <c r="YL25" s="24"/>
      <c r="YM25" s="24"/>
      <c r="YN25" s="24"/>
      <c r="YO25" s="24"/>
      <c r="YP25" s="24"/>
      <c r="YQ25" s="24"/>
      <c r="YR25" s="24"/>
      <c r="YS25" s="24"/>
      <c r="YT25" s="24"/>
      <c r="YU25" s="24"/>
      <c r="YV25" s="24"/>
      <c r="YW25" s="24"/>
      <c r="YX25" s="24"/>
      <c r="YY25" s="24"/>
      <c r="YZ25" s="24"/>
      <c r="ZA25" s="24"/>
      <c r="ZB25" s="24"/>
      <c r="ZC25" s="24"/>
      <c r="ZD25" s="24"/>
      <c r="ZE25" s="24"/>
      <c r="ZF25" s="24"/>
      <c r="ZG25" s="24"/>
      <c r="ZH25" s="24"/>
      <c r="ZI25" s="24"/>
      <c r="ZJ25" s="24"/>
      <c r="ZK25" s="24"/>
      <c r="ZL25" s="24"/>
      <c r="ZM25" s="24"/>
      <c r="ZN25" s="24"/>
      <c r="ZO25" s="24"/>
      <c r="ZP25" s="24"/>
      <c r="ZQ25" s="24"/>
      <c r="ZR25" s="24"/>
      <c r="ZS25" s="24"/>
      <c r="ZT25" s="24"/>
      <c r="ZU25" s="24"/>
      <c r="ZV25" s="24"/>
      <c r="ZW25" s="24"/>
      <c r="ZX25" s="24"/>
      <c r="ZY25" s="24"/>
      <c r="ZZ25" s="24"/>
      <c r="AAA25" s="24"/>
      <c r="AAB25" s="24"/>
      <c r="AAC25" s="24"/>
      <c r="AAD25" s="24"/>
      <c r="AAE25" s="24"/>
      <c r="AAF25" s="24"/>
      <c r="AAG25" s="24"/>
      <c r="AAH25" s="24"/>
      <c r="AAI25" s="24"/>
      <c r="AAJ25" s="24"/>
      <c r="AAK25" s="24"/>
      <c r="AAL25" s="24"/>
      <c r="AAM25" s="24"/>
      <c r="AAN25" s="24"/>
      <c r="AAO25" s="24"/>
      <c r="AAP25" s="24"/>
      <c r="AAQ25" s="24"/>
      <c r="AAR25" s="24"/>
      <c r="AAS25" s="24"/>
      <c r="AAT25" s="24"/>
      <c r="AAU25" s="24"/>
      <c r="AAV25" s="24"/>
      <c r="AAW25" s="24"/>
      <c r="AAX25" s="24"/>
      <c r="AAY25" s="24"/>
      <c r="AAZ25" s="24"/>
      <c r="ABA25" s="24"/>
      <c r="ABB25" s="24"/>
      <c r="ABC25" s="24"/>
      <c r="ABD25" s="24"/>
      <c r="ABE25" s="24"/>
      <c r="ABF25" s="24"/>
      <c r="ABG25" s="24"/>
      <c r="ABH25" s="24"/>
      <c r="ABI25" s="24"/>
      <c r="ABJ25" s="24"/>
      <c r="ABK25" s="24"/>
      <c r="ABL25" s="24"/>
      <c r="ABM25" s="24"/>
      <c r="ABN25" s="24"/>
      <c r="ABO25" s="24"/>
      <c r="ABP25" s="24"/>
      <c r="ABQ25" s="24"/>
      <c r="ABR25" s="24"/>
      <c r="ABS25" s="24"/>
      <c r="ABT25" s="24"/>
      <c r="ABU25" s="24"/>
      <c r="ABV25" s="24"/>
      <c r="ABW25" s="24"/>
      <c r="ABX25" s="24"/>
      <c r="ABY25" s="24"/>
      <c r="ABZ25" s="24"/>
      <c r="ACA25" s="24"/>
      <c r="ACB25" s="24"/>
      <c r="ACC25" s="24"/>
      <c r="ACD25" s="24"/>
      <c r="ACE25" s="24"/>
      <c r="ACF25" s="24"/>
      <c r="ACG25" s="24"/>
      <c r="ACH25" s="24"/>
      <c r="ACI25" s="24"/>
      <c r="ACJ25" s="24"/>
      <c r="ACK25" s="24"/>
      <c r="ACL25" s="24"/>
      <c r="ACM25" s="24"/>
      <c r="ACN25" s="24"/>
      <c r="ACO25" s="24"/>
      <c r="ACP25" s="24"/>
      <c r="ACQ25" s="24"/>
      <c r="ACR25" s="24"/>
      <c r="ACS25" s="24"/>
      <c r="ACT25" s="24"/>
      <c r="ACU25" s="24"/>
      <c r="ACV25" s="24"/>
      <c r="ACW25" s="24"/>
      <c r="ACX25" s="24"/>
      <c r="ACY25" s="24"/>
      <c r="ACZ25" s="24"/>
      <c r="ADA25" s="24"/>
      <c r="ADB25" s="24"/>
      <c r="ADC25" s="24"/>
      <c r="ADD25" s="24"/>
      <c r="ADE25" s="24"/>
      <c r="ADF25" s="24"/>
      <c r="ADG25" s="24"/>
      <c r="ADH25" s="24"/>
      <c r="ADI25" s="24"/>
      <c r="ADJ25" s="24"/>
      <c r="ADK25" s="24"/>
      <c r="ADL25" s="24"/>
      <c r="ADM25" s="24"/>
      <c r="ADN25" s="24"/>
      <c r="ADO25" s="24"/>
      <c r="ADP25" s="24"/>
      <c r="ADQ25" s="24"/>
      <c r="ADR25" s="24"/>
      <c r="ADS25" s="24"/>
      <c r="ADT25" s="24"/>
      <c r="ADU25" s="24"/>
      <c r="ADV25" s="24"/>
      <c r="ADW25" s="24"/>
      <c r="ADX25" s="24"/>
      <c r="ADY25" s="24"/>
      <c r="ADZ25" s="24"/>
      <c r="AEA25" s="24"/>
      <c r="AEB25" s="24"/>
      <c r="AEC25" s="24"/>
      <c r="AED25" s="24"/>
      <c r="AEE25" s="24"/>
      <c r="AEF25" s="24"/>
      <c r="AEG25" s="24"/>
      <c r="AEH25" s="24"/>
      <c r="AEI25" s="24"/>
      <c r="AEJ25" s="24"/>
      <c r="AEK25" s="24"/>
      <c r="AEL25" s="24"/>
      <c r="AEM25" s="24"/>
      <c r="AEN25" s="24"/>
      <c r="AEO25" s="24"/>
      <c r="AEP25" s="24"/>
      <c r="AEQ25" s="24"/>
      <c r="AER25" s="24"/>
      <c r="AES25" s="24"/>
      <c r="AET25" s="24"/>
      <c r="AEU25" s="24"/>
      <c r="AEV25" s="24"/>
      <c r="AEW25" s="24"/>
      <c r="AEX25" s="24"/>
      <c r="AEY25" s="24"/>
      <c r="AEZ25" s="24"/>
      <c r="AFA25" s="24"/>
      <c r="AFB25" s="24"/>
      <c r="AFC25" s="24"/>
      <c r="AFD25" s="24"/>
      <c r="AFE25" s="24"/>
      <c r="AFF25" s="24"/>
      <c r="AFG25" s="24"/>
      <c r="AFH25" s="24"/>
      <c r="AFI25" s="24"/>
      <c r="AFJ25" s="24"/>
      <c r="AFK25" s="24"/>
      <c r="AFL25" s="24"/>
      <c r="AFM25" s="24"/>
      <c r="AFN25" s="24"/>
      <c r="AFO25" s="24"/>
      <c r="AFP25" s="24"/>
      <c r="AFQ25" s="24"/>
      <c r="AFR25" s="24"/>
      <c r="AFS25" s="24"/>
      <c r="AFT25" s="24"/>
      <c r="AFU25" s="24"/>
      <c r="AFV25" s="24"/>
      <c r="AFW25" s="24"/>
      <c r="AFX25" s="24"/>
      <c r="AFY25" s="24"/>
      <c r="AFZ25" s="24"/>
      <c r="AGA25" s="24"/>
      <c r="AGB25" s="24"/>
      <c r="AGC25" s="24"/>
      <c r="AGD25" s="24"/>
      <c r="AGE25" s="24"/>
      <c r="AGF25" s="24"/>
      <c r="AGG25" s="24"/>
      <c r="AGH25" s="24"/>
      <c r="AGI25" s="24"/>
      <c r="AGJ25" s="24"/>
      <c r="AGK25" s="24"/>
      <c r="AGL25" s="24"/>
      <c r="AGM25" s="24"/>
      <c r="AGN25" s="24"/>
      <c r="AGO25" s="24"/>
      <c r="AGP25" s="24"/>
      <c r="AGQ25" s="24"/>
      <c r="AGR25" s="24"/>
      <c r="AGS25" s="24"/>
      <c r="AGT25" s="24"/>
      <c r="AGU25" s="24"/>
      <c r="AGV25" s="24"/>
      <c r="AGW25" s="24"/>
      <c r="AGX25" s="24"/>
      <c r="AGY25" s="24"/>
      <c r="AGZ25" s="24"/>
      <c r="AHA25" s="24"/>
      <c r="AHB25" s="24"/>
      <c r="AHC25" s="24"/>
      <c r="AHD25" s="24"/>
      <c r="AHE25" s="24"/>
      <c r="AHF25" s="24"/>
      <c r="AHG25" s="24"/>
      <c r="AHH25" s="24"/>
      <c r="AHI25" s="24"/>
      <c r="AHJ25" s="24"/>
      <c r="AHK25" s="24"/>
      <c r="AHL25" s="24"/>
      <c r="AHM25" s="24"/>
      <c r="AHN25" s="24"/>
      <c r="AHO25" s="24"/>
      <c r="AHP25" s="24"/>
      <c r="AHQ25" s="24"/>
      <c r="AHR25" s="24"/>
      <c r="AHS25" s="24"/>
      <c r="AHT25" s="24"/>
      <c r="AHU25" s="24"/>
      <c r="AHV25" s="24"/>
      <c r="AHW25" s="24"/>
      <c r="AHX25" s="24"/>
      <c r="AHY25" s="24"/>
      <c r="AHZ25" s="24"/>
      <c r="AIA25" s="24"/>
      <c r="AIB25" s="24"/>
      <c r="AIC25" s="24"/>
      <c r="AID25" s="24"/>
      <c r="AIE25" s="24"/>
      <c r="AIF25" s="24"/>
      <c r="AIG25" s="24"/>
      <c r="AIH25" s="24"/>
      <c r="AII25" s="24"/>
      <c r="AIJ25" s="24"/>
      <c r="AIK25" s="24"/>
      <c r="AIL25" s="24"/>
      <c r="AIM25" s="24"/>
      <c r="AIN25" s="24"/>
      <c r="AIO25" s="24"/>
      <c r="AIP25" s="24"/>
      <c r="AIQ25" s="24"/>
      <c r="AIR25" s="24"/>
      <c r="AIS25" s="24"/>
      <c r="AIT25" s="24"/>
      <c r="AIU25" s="24"/>
      <c r="AIV25" s="24"/>
      <c r="AIW25" s="24"/>
      <c r="AIX25" s="24"/>
      <c r="AIY25" s="24"/>
      <c r="AIZ25" s="24"/>
      <c r="AJA25" s="24"/>
      <c r="AJB25" s="24"/>
      <c r="AJC25" s="24"/>
      <c r="AJD25" s="24"/>
      <c r="AJE25" s="24"/>
      <c r="AJF25" s="24"/>
      <c r="AJG25" s="24"/>
      <c r="AJH25" s="24"/>
      <c r="AJI25" s="24"/>
      <c r="AJJ25" s="24"/>
      <c r="AJK25" s="24"/>
      <c r="AJL25" s="24"/>
      <c r="AJM25" s="24"/>
      <c r="AJN25" s="24"/>
      <c r="AJO25" s="24"/>
      <c r="AJP25" s="24"/>
      <c r="AJQ25" s="24"/>
      <c r="AJR25" s="24"/>
      <c r="AJS25" s="24"/>
      <c r="AJT25" s="24"/>
      <c r="AJU25" s="24"/>
      <c r="AJV25" s="24"/>
      <c r="AJW25" s="24"/>
      <c r="AJX25" s="24"/>
      <c r="AJY25" s="24"/>
      <c r="AJZ25" s="24"/>
      <c r="AKA25" s="24"/>
      <c r="AKB25" s="24"/>
      <c r="AKC25" s="24"/>
      <c r="AKD25" s="24"/>
      <c r="AKE25" s="24"/>
      <c r="AKF25" s="24"/>
      <c r="AKG25" s="24"/>
      <c r="AKH25" s="24"/>
      <c r="AKI25" s="24"/>
      <c r="AKJ25" s="24"/>
      <c r="AKK25" s="24"/>
      <c r="AKL25" s="24"/>
      <c r="AKM25" s="24"/>
      <c r="AKN25" s="24"/>
      <c r="AKO25" s="24"/>
      <c r="AKP25" s="24"/>
      <c r="AKQ25" s="24"/>
      <c r="AKR25" s="24"/>
      <c r="AKS25" s="24"/>
      <c r="AKT25" s="24"/>
      <c r="AKU25" s="24"/>
      <c r="AKV25" s="24"/>
      <c r="AKW25" s="24"/>
      <c r="AKX25" s="24"/>
      <c r="AKY25" s="24"/>
      <c r="AKZ25" s="24"/>
      <c r="ALA25" s="24"/>
      <c r="ALB25" s="24"/>
      <c r="ALC25" s="24"/>
      <c r="ALD25" s="24"/>
      <c r="ALE25" s="24"/>
      <c r="ALF25" s="24"/>
      <c r="ALG25" s="24"/>
      <c r="ALH25" s="24"/>
      <c r="ALI25" s="24"/>
      <c r="ALJ25" s="24"/>
      <c r="ALK25" s="24"/>
      <c r="ALL25" s="24"/>
      <c r="ALM25" s="24"/>
      <c r="ALN25" s="24"/>
      <c r="ALO25" s="24"/>
      <c r="ALP25" s="24"/>
      <c r="ALQ25" s="24"/>
      <c r="ALR25" s="24"/>
      <c r="ALS25" s="24"/>
      <c r="ALT25" s="24"/>
      <c r="ALU25" s="24"/>
      <c r="ALV25" s="24"/>
      <c r="ALW25" s="24"/>
      <c r="ALX25" s="24"/>
      <c r="ALY25" s="24"/>
      <c r="ALZ25" s="24"/>
      <c r="AMA25" s="24"/>
      <c r="AMB25" s="24"/>
      <c r="AMC25" s="24"/>
      <c r="AMD25" s="24"/>
      <c r="AME25" s="24"/>
      <c r="AMF25" s="24"/>
      <c r="AMG25" s="24"/>
      <c r="AMH25" s="24"/>
    </row>
    <row r="26" spans="2:1022" ht="39.75">
      <c r="B26" s="1132"/>
      <c r="C26" s="1134" t="s">
        <v>614</v>
      </c>
      <c r="D26" s="1136" t="s">
        <v>615</v>
      </c>
      <c r="E26" s="1139" t="s">
        <v>898</v>
      </c>
      <c r="F26" s="485"/>
      <c r="G26" s="99" t="s">
        <v>943</v>
      </c>
      <c r="H26" s="608" t="s">
        <v>570</v>
      </c>
      <c r="I26" s="608" t="s">
        <v>570</v>
      </c>
      <c r="J26" s="1126">
        <v>1</v>
      </c>
      <c r="K26" s="602" t="s">
        <v>570</v>
      </c>
      <c r="L26" s="1126" t="s">
        <v>946</v>
      </c>
      <c r="M26" s="1126" t="s">
        <v>934</v>
      </c>
      <c r="N26" s="1126" t="s">
        <v>982</v>
      </c>
      <c r="O26" s="1126" t="s">
        <v>950</v>
      </c>
      <c r="P26" s="1126" t="s">
        <v>945</v>
      </c>
      <c r="Q26" s="1126" t="s">
        <v>780</v>
      </c>
      <c r="R26" s="1126"/>
      <c r="S26" s="1126">
        <v>1</v>
      </c>
      <c r="T26" s="1126" t="s">
        <v>657</v>
      </c>
      <c r="U26" s="1129" t="s">
        <v>944</v>
      </c>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c r="OH26" s="24"/>
      <c r="OI26" s="24"/>
      <c r="OJ26" s="24"/>
      <c r="OK26" s="24"/>
      <c r="OL26" s="24"/>
      <c r="OM26" s="24"/>
      <c r="ON26" s="24"/>
      <c r="OO26" s="24"/>
      <c r="OP26" s="24"/>
      <c r="OQ26" s="24"/>
      <c r="OR26" s="24"/>
      <c r="OS26" s="24"/>
      <c r="OT26" s="24"/>
      <c r="OU26" s="24"/>
      <c r="OV26" s="24"/>
      <c r="OW26" s="24"/>
      <c r="OX26" s="24"/>
      <c r="OY26" s="24"/>
      <c r="OZ26" s="24"/>
      <c r="PA26" s="24"/>
      <c r="PB26" s="24"/>
      <c r="PC26" s="24"/>
      <c r="PD26" s="24"/>
      <c r="PE26" s="24"/>
      <c r="PF26" s="24"/>
      <c r="PG26" s="24"/>
      <c r="PH26" s="24"/>
      <c r="PI26" s="24"/>
      <c r="PJ26" s="24"/>
      <c r="PK26" s="24"/>
      <c r="PL26" s="24"/>
      <c r="PM26" s="24"/>
      <c r="PN26" s="24"/>
      <c r="PO26" s="24"/>
      <c r="PP26" s="24"/>
      <c r="PQ26" s="24"/>
      <c r="PR26" s="24"/>
      <c r="PS26" s="24"/>
      <c r="PT26" s="24"/>
      <c r="PU26" s="24"/>
      <c r="PV26" s="24"/>
      <c r="PW26" s="24"/>
      <c r="PX26" s="24"/>
      <c r="PY26" s="24"/>
      <c r="PZ26" s="24"/>
      <c r="QA26" s="24"/>
      <c r="QB26" s="24"/>
      <c r="QC26" s="24"/>
      <c r="QD26" s="24"/>
      <c r="QE26" s="24"/>
      <c r="QF26" s="24"/>
      <c r="QG26" s="24"/>
      <c r="QH26" s="24"/>
      <c r="QI26" s="24"/>
      <c r="QJ26" s="24"/>
      <c r="QK26" s="24"/>
      <c r="QL26" s="24"/>
      <c r="QM26" s="24"/>
      <c r="QN26" s="24"/>
      <c r="QO26" s="24"/>
      <c r="QP26" s="24"/>
      <c r="QQ26" s="24"/>
      <c r="QR26" s="24"/>
      <c r="QS26" s="24"/>
      <c r="QT26" s="24"/>
      <c r="QU26" s="24"/>
      <c r="QV26" s="24"/>
      <c r="QW26" s="24"/>
      <c r="QX26" s="24"/>
      <c r="QY26" s="24"/>
      <c r="QZ26" s="24"/>
      <c r="RA26" s="24"/>
      <c r="RB26" s="24"/>
      <c r="RC26" s="24"/>
      <c r="RD26" s="24"/>
      <c r="RE26" s="24"/>
      <c r="RF26" s="24"/>
      <c r="RG26" s="24"/>
      <c r="RH26" s="24"/>
      <c r="RI26" s="24"/>
      <c r="RJ26" s="24"/>
      <c r="RK26" s="24"/>
      <c r="RL26" s="24"/>
      <c r="RM26" s="24"/>
      <c r="RN26" s="24"/>
      <c r="RO26" s="24"/>
      <c r="RP26" s="24"/>
      <c r="RQ26" s="24"/>
      <c r="RR26" s="24"/>
      <c r="RS26" s="24"/>
      <c r="RT26" s="24"/>
      <c r="RU26" s="24"/>
      <c r="RV26" s="24"/>
      <c r="RW26" s="24"/>
      <c r="RX26" s="24"/>
      <c r="RY26" s="24"/>
      <c r="RZ26" s="24"/>
      <c r="SA26" s="24"/>
      <c r="SB26" s="24"/>
      <c r="SC26" s="24"/>
      <c r="SD26" s="24"/>
      <c r="SE26" s="24"/>
      <c r="SF26" s="24"/>
      <c r="SG26" s="24"/>
      <c r="SH26" s="24"/>
      <c r="SI26" s="24"/>
      <c r="SJ26" s="24"/>
      <c r="SK26" s="24"/>
      <c r="SL26" s="24"/>
      <c r="SM26" s="24"/>
      <c r="SN26" s="24"/>
      <c r="SO26" s="24"/>
      <c r="SP26" s="24"/>
      <c r="SQ26" s="24"/>
      <c r="SR26" s="24"/>
      <c r="SS26" s="24"/>
      <c r="ST26" s="24"/>
      <c r="SU26" s="24"/>
      <c r="SV26" s="24"/>
      <c r="SW26" s="24"/>
      <c r="SX26" s="24"/>
      <c r="SY26" s="24"/>
      <c r="SZ26" s="24"/>
      <c r="TA26" s="24"/>
      <c r="TB26" s="24"/>
      <c r="TC26" s="24"/>
      <c r="TD26" s="24"/>
      <c r="TE26" s="24"/>
      <c r="TF26" s="24"/>
      <c r="TG26" s="24"/>
      <c r="TH26" s="24"/>
      <c r="TI26" s="24"/>
      <c r="TJ26" s="24"/>
      <c r="TK26" s="24"/>
      <c r="TL26" s="24"/>
      <c r="TM26" s="24"/>
      <c r="TN26" s="24"/>
      <c r="TO26" s="24"/>
      <c r="TP26" s="24"/>
      <c r="TQ26" s="24"/>
      <c r="TR26" s="24"/>
      <c r="TS26" s="24"/>
      <c r="TT26" s="24"/>
      <c r="TU26" s="24"/>
      <c r="TV26" s="24"/>
      <c r="TW26" s="24"/>
      <c r="TX26" s="24"/>
      <c r="TY26" s="24"/>
      <c r="TZ26" s="24"/>
      <c r="UA26" s="24"/>
      <c r="UB26" s="24"/>
      <c r="UC26" s="24"/>
      <c r="UD26" s="24"/>
      <c r="UE26" s="24"/>
      <c r="UF26" s="24"/>
      <c r="UG26" s="24"/>
      <c r="UH26" s="24"/>
      <c r="UI26" s="24"/>
      <c r="UJ26" s="24"/>
      <c r="UK26" s="24"/>
      <c r="UL26" s="24"/>
      <c r="UM26" s="24"/>
      <c r="UN26" s="24"/>
      <c r="UO26" s="24"/>
      <c r="UP26" s="24"/>
      <c r="UQ26" s="24"/>
      <c r="UR26" s="24"/>
      <c r="US26" s="24"/>
      <c r="UT26" s="24"/>
      <c r="UU26" s="24"/>
      <c r="UV26" s="24"/>
      <c r="UW26" s="24"/>
      <c r="UX26" s="24"/>
      <c r="UY26" s="24"/>
      <c r="UZ26" s="24"/>
      <c r="VA26" s="24"/>
      <c r="VB26" s="24"/>
      <c r="VC26" s="24"/>
      <c r="VD26" s="24"/>
      <c r="VE26" s="24"/>
      <c r="VF26" s="24"/>
      <c r="VG26" s="24"/>
      <c r="VH26" s="24"/>
      <c r="VI26" s="24"/>
      <c r="VJ26" s="24"/>
      <c r="VK26" s="24"/>
      <c r="VL26" s="24"/>
      <c r="VM26" s="24"/>
      <c r="VN26" s="24"/>
      <c r="VO26" s="24"/>
      <c r="VP26" s="24"/>
      <c r="VQ26" s="24"/>
      <c r="VR26" s="24"/>
      <c r="VS26" s="24"/>
      <c r="VT26" s="24"/>
      <c r="VU26" s="24"/>
      <c r="VV26" s="24"/>
      <c r="VW26" s="24"/>
      <c r="VX26" s="24"/>
      <c r="VY26" s="24"/>
      <c r="VZ26" s="24"/>
      <c r="WA26" s="24"/>
      <c r="WB26" s="24"/>
      <c r="WC26" s="24"/>
      <c r="WD26" s="24"/>
      <c r="WE26" s="24"/>
      <c r="WF26" s="24"/>
      <c r="WG26" s="24"/>
      <c r="WH26" s="24"/>
      <c r="WI26" s="24"/>
      <c r="WJ26" s="24"/>
      <c r="WK26" s="24"/>
      <c r="WL26" s="24"/>
      <c r="WM26" s="24"/>
      <c r="WN26" s="24"/>
      <c r="WO26" s="24"/>
      <c r="WP26" s="24"/>
      <c r="WQ26" s="24"/>
      <c r="WR26" s="24"/>
      <c r="WS26" s="24"/>
      <c r="WT26" s="24"/>
      <c r="WU26" s="24"/>
      <c r="WV26" s="24"/>
      <c r="WW26" s="24"/>
      <c r="WX26" s="24"/>
      <c r="WY26" s="24"/>
      <c r="WZ26" s="24"/>
      <c r="XA26" s="24"/>
      <c r="XB26" s="24"/>
      <c r="XC26" s="24"/>
      <c r="XD26" s="24"/>
      <c r="XE26" s="24"/>
      <c r="XF26" s="24"/>
      <c r="XG26" s="24"/>
      <c r="XH26" s="24"/>
      <c r="XI26" s="24"/>
      <c r="XJ26" s="24"/>
      <c r="XK26" s="24"/>
      <c r="XL26" s="24"/>
      <c r="XM26" s="24"/>
      <c r="XN26" s="24"/>
      <c r="XO26" s="24"/>
      <c r="XP26" s="24"/>
      <c r="XQ26" s="24"/>
      <c r="XR26" s="24"/>
      <c r="XS26" s="24"/>
      <c r="XT26" s="24"/>
      <c r="XU26" s="24"/>
      <c r="XV26" s="24"/>
      <c r="XW26" s="24"/>
      <c r="XX26" s="24"/>
      <c r="XY26" s="24"/>
      <c r="XZ26" s="24"/>
      <c r="YA26" s="24"/>
      <c r="YB26" s="24"/>
      <c r="YC26" s="24"/>
      <c r="YD26" s="24"/>
      <c r="YE26" s="24"/>
      <c r="YF26" s="24"/>
      <c r="YG26" s="24"/>
      <c r="YH26" s="24"/>
      <c r="YI26" s="24"/>
      <c r="YJ26" s="24"/>
      <c r="YK26" s="24"/>
      <c r="YL26" s="24"/>
      <c r="YM26" s="24"/>
      <c r="YN26" s="24"/>
      <c r="YO26" s="24"/>
      <c r="YP26" s="24"/>
      <c r="YQ26" s="24"/>
      <c r="YR26" s="24"/>
      <c r="YS26" s="24"/>
      <c r="YT26" s="24"/>
      <c r="YU26" s="24"/>
      <c r="YV26" s="24"/>
      <c r="YW26" s="24"/>
      <c r="YX26" s="24"/>
      <c r="YY26" s="24"/>
      <c r="YZ26" s="24"/>
      <c r="ZA26" s="24"/>
      <c r="ZB26" s="24"/>
      <c r="ZC26" s="24"/>
      <c r="ZD26" s="24"/>
      <c r="ZE26" s="24"/>
      <c r="ZF26" s="24"/>
      <c r="ZG26" s="24"/>
      <c r="ZH26" s="24"/>
      <c r="ZI26" s="24"/>
      <c r="ZJ26" s="24"/>
      <c r="ZK26" s="24"/>
      <c r="ZL26" s="24"/>
      <c r="ZM26" s="24"/>
      <c r="ZN26" s="24"/>
      <c r="ZO26" s="24"/>
      <c r="ZP26" s="24"/>
      <c r="ZQ26" s="24"/>
      <c r="ZR26" s="24"/>
      <c r="ZS26" s="24"/>
      <c r="ZT26" s="24"/>
      <c r="ZU26" s="24"/>
      <c r="ZV26" s="24"/>
      <c r="ZW26" s="24"/>
      <c r="ZX26" s="24"/>
      <c r="ZY26" s="24"/>
      <c r="ZZ26" s="24"/>
      <c r="AAA26" s="24"/>
      <c r="AAB26" s="24"/>
      <c r="AAC26" s="24"/>
      <c r="AAD26" s="24"/>
      <c r="AAE26" s="24"/>
      <c r="AAF26" s="24"/>
      <c r="AAG26" s="24"/>
      <c r="AAH26" s="24"/>
      <c r="AAI26" s="24"/>
      <c r="AAJ26" s="24"/>
      <c r="AAK26" s="24"/>
      <c r="AAL26" s="24"/>
      <c r="AAM26" s="24"/>
      <c r="AAN26" s="24"/>
      <c r="AAO26" s="24"/>
      <c r="AAP26" s="24"/>
      <c r="AAQ26" s="24"/>
      <c r="AAR26" s="24"/>
      <c r="AAS26" s="24"/>
      <c r="AAT26" s="24"/>
      <c r="AAU26" s="24"/>
      <c r="AAV26" s="24"/>
      <c r="AAW26" s="24"/>
      <c r="AAX26" s="24"/>
      <c r="AAY26" s="24"/>
      <c r="AAZ26" s="24"/>
      <c r="ABA26" s="24"/>
      <c r="ABB26" s="24"/>
      <c r="ABC26" s="24"/>
      <c r="ABD26" s="24"/>
      <c r="ABE26" s="24"/>
      <c r="ABF26" s="24"/>
      <c r="ABG26" s="24"/>
      <c r="ABH26" s="24"/>
      <c r="ABI26" s="24"/>
      <c r="ABJ26" s="24"/>
      <c r="ABK26" s="24"/>
      <c r="ABL26" s="24"/>
      <c r="ABM26" s="24"/>
      <c r="ABN26" s="24"/>
      <c r="ABO26" s="24"/>
      <c r="ABP26" s="24"/>
      <c r="ABQ26" s="24"/>
      <c r="ABR26" s="24"/>
      <c r="ABS26" s="24"/>
      <c r="ABT26" s="24"/>
      <c r="ABU26" s="24"/>
      <c r="ABV26" s="24"/>
      <c r="ABW26" s="24"/>
      <c r="ABX26" s="24"/>
      <c r="ABY26" s="24"/>
      <c r="ABZ26" s="24"/>
      <c r="ACA26" s="24"/>
      <c r="ACB26" s="24"/>
      <c r="ACC26" s="24"/>
      <c r="ACD26" s="24"/>
      <c r="ACE26" s="24"/>
      <c r="ACF26" s="24"/>
      <c r="ACG26" s="24"/>
      <c r="ACH26" s="24"/>
      <c r="ACI26" s="24"/>
      <c r="ACJ26" s="24"/>
      <c r="ACK26" s="24"/>
      <c r="ACL26" s="24"/>
      <c r="ACM26" s="24"/>
      <c r="ACN26" s="24"/>
      <c r="ACO26" s="24"/>
      <c r="ACP26" s="24"/>
      <c r="ACQ26" s="24"/>
      <c r="ACR26" s="24"/>
      <c r="ACS26" s="24"/>
      <c r="ACT26" s="24"/>
      <c r="ACU26" s="24"/>
      <c r="ACV26" s="24"/>
      <c r="ACW26" s="24"/>
      <c r="ACX26" s="24"/>
      <c r="ACY26" s="24"/>
      <c r="ACZ26" s="24"/>
      <c r="ADA26" s="24"/>
      <c r="ADB26" s="24"/>
      <c r="ADC26" s="24"/>
      <c r="ADD26" s="24"/>
      <c r="ADE26" s="24"/>
      <c r="ADF26" s="24"/>
      <c r="ADG26" s="24"/>
      <c r="ADH26" s="24"/>
      <c r="ADI26" s="24"/>
      <c r="ADJ26" s="24"/>
      <c r="ADK26" s="24"/>
      <c r="ADL26" s="24"/>
      <c r="ADM26" s="24"/>
      <c r="ADN26" s="24"/>
      <c r="ADO26" s="24"/>
      <c r="ADP26" s="24"/>
      <c r="ADQ26" s="24"/>
      <c r="ADR26" s="24"/>
      <c r="ADS26" s="24"/>
      <c r="ADT26" s="24"/>
      <c r="ADU26" s="24"/>
      <c r="ADV26" s="24"/>
      <c r="ADW26" s="24"/>
      <c r="ADX26" s="24"/>
      <c r="ADY26" s="24"/>
      <c r="ADZ26" s="24"/>
      <c r="AEA26" s="24"/>
      <c r="AEB26" s="24"/>
      <c r="AEC26" s="24"/>
      <c r="AED26" s="24"/>
      <c r="AEE26" s="24"/>
      <c r="AEF26" s="24"/>
      <c r="AEG26" s="24"/>
      <c r="AEH26" s="24"/>
      <c r="AEI26" s="24"/>
      <c r="AEJ26" s="24"/>
      <c r="AEK26" s="24"/>
      <c r="AEL26" s="24"/>
      <c r="AEM26" s="24"/>
      <c r="AEN26" s="24"/>
      <c r="AEO26" s="24"/>
      <c r="AEP26" s="24"/>
      <c r="AEQ26" s="24"/>
      <c r="AER26" s="24"/>
      <c r="AES26" s="24"/>
      <c r="AET26" s="24"/>
      <c r="AEU26" s="24"/>
      <c r="AEV26" s="24"/>
      <c r="AEW26" s="24"/>
      <c r="AEX26" s="24"/>
      <c r="AEY26" s="24"/>
      <c r="AEZ26" s="24"/>
      <c r="AFA26" s="24"/>
      <c r="AFB26" s="24"/>
      <c r="AFC26" s="24"/>
      <c r="AFD26" s="24"/>
      <c r="AFE26" s="24"/>
      <c r="AFF26" s="24"/>
      <c r="AFG26" s="24"/>
      <c r="AFH26" s="24"/>
      <c r="AFI26" s="24"/>
      <c r="AFJ26" s="24"/>
      <c r="AFK26" s="24"/>
      <c r="AFL26" s="24"/>
      <c r="AFM26" s="24"/>
      <c r="AFN26" s="24"/>
      <c r="AFO26" s="24"/>
      <c r="AFP26" s="24"/>
      <c r="AFQ26" s="24"/>
      <c r="AFR26" s="24"/>
      <c r="AFS26" s="24"/>
      <c r="AFT26" s="24"/>
      <c r="AFU26" s="24"/>
      <c r="AFV26" s="24"/>
      <c r="AFW26" s="24"/>
      <c r="AFX26" s="24"/>
      <c r="AFY26" s="24"/>
      <c r="AFZ26" s="24"/>
      <c r="AGA26" s="24"/>
      <c r="AGB26" s="24"/>
      <c r="AGC26" s="24"/>
      <c r="AGD26" s="24"/>
      <c r="AGE26" s="24"/>
      <c r="AGF26" s="24"/>
      <c r="AGG26" s="24"/>
      <c r="AGH26" s="24"/>
      <c r="AGI26" s="24"/>
      <c r="AGJ26" s="24"/>
      <c r="AGK26" s="24"/>
      <c r="AGL26" s="24"/>
      <c r="AGM26" s="24"/>
      <c r="AGN26" s="24"/>
      <c r="AGO26" s="24"/>
      <c r="AGP26" s="24"/>
      <c r="AGQ26" s="24"/>
      <c r="AGR26" s="24"/>
      <c r="AGS26" s="24"/>
      <c r="AGT26" s="24"/>
      <c r="AGU26" s="24"/>
      <c r="AGV26" s="24"/>
      <c r="AGW26" s="24"/>
      <c r="AGX26" s="24"/>
      <c r="AGY26" s="24"/>
      <c r="AGZ26" s="24"/>
      <c r="AHA26" s="24"/>
      <c r="AHB26" s="24"/>
      <c r="AHC26" s="24"/>
      <c r="AHD26" s="24"/>
      <c r="AHE26" s="24"/>
      <c r="AHF26" s="24"/>
      <c r="AHG26" s="24"/>
      <c r="AHH26" s="24"/>
      <c r="AHI26" s="24"/>
      <c r="AHJ26" s="24"/>
      <c r="AHK26" s="24"/>
      <c r="AHL26" s="24"/>
      <c r="AHM26" s="24"/>
      <c r="AHN26" s="24"/>
      <c r="AHO26" s="24"/>
      <c r="AHP26" s="24"/>
      <c r="AHQ26" s="24"/>
      <c r="AHR26" s="24"/>
      <c r="AHS26" s="24"/>
      <c r="AHT26" s="24"/>
      <c r="AHU26" s="24"/>
      <c r="AHV26" s="24"/>
      <c r="AHW26" s="24"/>
      <c r="AHX26" s="24"/>
      <c r="AHY26" s="24"/>
      <c r="AHZ26" s="24"/>
      <c r="AIA26" s="24"/>
      <c r="AIB26" s="24"/>
      <c r="AIC26" s="24"/>
      <c r="AID26" s="24"/>
      <c r="AIE26" s="24"/>
      <c r="AIF26" s="24"/>
      <c r="AIG26" s="24"/>
      <c r="AIH26" s="24"/>
      <c r="AII26" s="24"/>
      <c r="AIJ26" s="24"/>
      <c r="AIK26" s="24"/>
      <c r="AIL26" s="24"/>
      <c r="AIM26" s="24"/>
      <c r="AIN26" s="24"/>
      <c r="AIO26" s="24"/>
      <c r="AIP26" s="24"/>
      <c r="AIQ26" s="24"/>
      <c r="AIR26" s="24"/>
      <c r="AIS26" s="24"/>
      <c r="AIT26" s="24"/>
      <c r="AIU26" s="24"/>
      <c r="AIV26" s="24"/>
      <c r="AIW26" s="24"/>
      <c r="AIX26" s="24"/>
      <c r="AIY26" s="24"/>
      <c r="AIZ26" s="24"/>
      <c r="AJA26" s="24"/>
      <c r="AJB26" s="24"/>
      <c r="AJC26" s="24"/>
      <c r="AJD26" s="24"/>
      <c r="AJE26" s="24"/>
      <c r="AJF26" s="24"/>
      <c r="AJG26" s="24"/>
      <c r="AJH26" s="24"/>
      <c r="AJI26" s="24"/>
      <c r="AJJ26" s="24"/>
      <c r="AJK26" s="24"/>
      <c r="AJL26" s="24"/>
      <c r="AJM26" s="24"/>
      <c r="AJN26" s="24"/>
      <c r="AJO26" s="24"/>
      <c r="AJP26" s="24"/>
      <c r="AJQ26" s="24"/>
      <c r="AJR26" s="24"/>
      <c r="AJS26" s="24"/>
      <c r="AJT26" s="24"/>
      <c r="AJU26" s="24"/>
      <c r="AJV26" s="24"/>
      <c r="AJW26" s="24"/>
      <c r="AJX26" s="24"/>
      <c r="AJY26" s="24"/>
      <c r="AJZ26" s="24"/>
      <c r="AKA26" s="24"/>
      <c r="AKB26" s="24"/>
      <c r="AKC26" s="24"/>
      <c r="AKD26" s="24"/>
      <c r="AKE26" s="24"/>
      <c r="AKF26" s="24"/>
      <c r="AKG26" s="24"/>
      <c r="AKH26" s="24"/>
      <c r="AKI26" s="24"/>
      <c r="AKJ26" s="24"/>
      <c r="AKK26" s="24"/>
      <c r="AKL26" s="24"/>
      <c r="AKM26" s="24"/>
      <c r="AKN26" s="24"/>
      <c r="AKO26" s="24"/>
      <c r="AKP26" s="24"/>
      <c r="AKQ26" s="24"/>
      <c r="AKR26" s="24"/>
      <c r="AKS26" s="24"/>
      <c r="AKT26" s="24"/>
      <c r="AKU26" s="24"/>
      <c r="AKV26" s="24"/>
      <c r="AKW26" s="24"/>
      <c r="AKX26" s="24"/>
      <c r="AKY26" s="24"/>
      <c r="AKZ26" s="24"/>
      <c r="ALA26" s="24"/>
      <c r="ALB26" s="24"/>
      <c r="ALC26" s="24"/>
      <c r="ALD26" s="24"/>
      <c r="ALE26" s="24"/>
      <c r="ALF26" s="24"/>
      <c r="ALG26" s="24"/>
      <c r="ALH26" s="24"/>
      <c r="ALI26" s="24"/>
      <c r="ALJ26" s="24"/>
      <c r="ALK26" s="24"/>
      <c r="ALL26" s="24"/>
      <c r="ALM26" s="24"/>
      <c r="ALN26" s="24"/>
      <c r="ALO26" s="24"/>
      <c r="ALP26" s="24"/>
      <c r="ALQ26" s="24"/>
      <c r="ALR26" s="24"/>
      <c r="ALS26" s="24"/>
      <c r="ALT26" s="24"/>
      <c r="ALU26" s="24"/>
      <c r="ALV26" s="24"/>
      <c r="ALW26" s="24"/>
      <c r="ALX26" s="24"/>
      <c r="ALY26" s="24"/>
      <c r="ALZ26" s="24"/>
      <c r="AMA26" s="24"/>
      <c r="AMB26" s="24"/>
      <c r="AMC26" s="24"/>
      <c r="AMD26" s="24"/>
      <c r="AME26" s="24"/>
      <c r="AMF26" s="24"/>
      <c r="AMG26" s="24"/>
      <c r="AMH26" s="24"/>
    </row>
    <row r="27" spans="1:1022" ht="39.75">
      <c r="A27" s="24"/>
      <c r="B27" s="1133"/>
      <c r="C27" s="1145"/>
      <c r="D27" s="1138"/>
      <c r="E27" s="1141"/>
      <c r="F27" s="485"/>
      <c r="G27" s="99" t="s">
        <v>942</v>
      </c>
      <c r="H27" s="608" t="s">
        <v>570</v>
      </c>
      <c r="I27" s="608" t="s">
        <v>570</v>
      </c>
      <c r="J27" s="1128"/>
      <c r="K27" s="608" t="s">
        <v>570</v>
      </c>
      <c r="L27" s="1128"/>
      <c r="M27" s="1128"/>
      <c r="N27" s="1128"/>
      <c r="O27" s="1128"/>
      <c r="P27" s="1128"/>
      <c r="Q27" s="1128"/>
      <c r="R27" s="1128"/>
      <c r="S27" s="1128"/>
      <c r="T27" s="1128"/>
      <c r="U27" s="1131"/>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c r="JA27" s="24"/>
      <c r="JB27" s="24"/>
      <c r="JC27" s="24"/>
      <c r="JD27" s="24"/>
      <c r="JE27" s="24"/>
      <c r="JF27" s="24"/>
      <c r="JG27" s="24"/>
      <c r="JH27" s="24"/>
      <c r="JI27" s="24"/>
      <c r="JJ27" s="24"/>
      <c r="JK27" s="24"/>
      <c r="JL27" s="24"/>
      <c r="JM27" s="24"/>
      <c r="JN27" s="24"/>
      <c r="JO27" s="24"/>
      <c r="JP27" s="24"/>
      <c r="JQ27" s="24"/>
      <c r="JR27" s="24"/>
      <c r="JS27" s="24"/>
      <c r="JT27" s="24"/>
      <c r="JU27" s="24"/>
      <c r="JV27" s="24"/>
      <c r="JW27" s="24"/>
      <c r="JX27" s="24"/>
      <c r="JY27" s="24"/>
      <c r="JZ27" s="24"/>
      <c r="KA27" s="24"/>
      <c r="KB27" s="24"/>
      <c r="KC27" s="24"/>
      <c r="KD27" s="24"/>
      <c r="KE27" s="24"/>
      <c r="KF27" s="24"/>
      <c r="KG27" s="24"/>
      <c r="KH27" s="24"/>
      <c r="KI27" s="24"/>
      <c r="KJ27" s="24"/>
      <c r="KK27" s="24"/>
      <c r="KL27" s="24"/>
      <c r="KM27" s="24"/>
      <c r="KN27" s="24"/>
      <c r="KO27" s="24"/>
      <c r="KP27" s="24"/>
      <c r="KQ27" s="24"/>
      <c r="KR27" s="24"/>
      <c r="KS27" s="24"/>
      <c r="KT27" s="24"/>
      <c r="KU27" s="24"/>
      <c r="KV27" s="24"/>
      <c r="KW27" s="24"/>
      <c r="KX27" s="24"/>
      <c r="KY27" s="24"/>
      <c r="KZ27" s="24"/>
      <c r="LA27" s="24"/>
      <c r="LB27" s="24"/>
      <c r="LC27" s="24"/>
      <c r="LD27" s="24"/>
      <c r="LE27" s="24"/>
      <c r="LF27" s="24"/>
      <c r="LG27" s="24"/>
      <c r="LH27" s="24"/>
      <c r="LI27" s="24"/>
      <c r="LJ27" s="24"/>
      <c r="LK27" s="24"/>
      <c r="LL27" s="24"/>
      <c r="LM27" s="24"/>
      <c r="LN27" s="24"/>
      <c r="LO27" s="24"/>
      <c r="LP27" s="24"/>
      <c r="LQ27" s="24"/>
      <c r="LR27" s="24"/>
      <c r="LS27" s="24"/>
      <c r="LT27" s="24"/>
      <c r="LU27" s="24"/>
      <c r="LV27" s="24"/>
      <c r="LW27" s="24"/>
      <c r="LX27" s="24"/>
      <c r="LY27" s="24"/>
      <c r="LZ27" s="24"/>
      <c r="MA27" s="24"/>
      <c r="MB27" s="24"/>
      <c r="MC27" s="24"/>
      <c r="MD27" s="24"/>
      <c r="ME27" s="24"/>
      <c r="MF27" s="24"/>
      <c r="MG27" s="24"/>
      <c r="MH27" s="24"/>
      <c r="MI27" s="24"/>
      <c r="MJ27" s="24"/>
      <c r="MK27" s="24"/>
      <c r="ML27" s="24"/>
      <c r="MM27" s="24"/>
      <c r="MN27" s="24"/>
      <c r="MO27" s="24"/>
      <c r="MP27" s="24"/>
      <c r="MQ27" s="24"/>
      <c r="MR27" s="24"/>
      <c r="MS27" s="24"/>
      <c r="MT27" s="24"/>
      <c r="MU27" s="24"/>
      <c r="MV27" s="24"/>
      <c r="MW27" s="24"/>
      <c r="MX27" s="24"/>
      <c r="MY27" s="24"/>
      <c r="MZ27" s="24"/>
      <c r="NA27" s="24"/>
      <c r="NB27" s="24"/>
      <c r="NC27" s="24"/>
      <c r="ND27" s="24"/>
      <c r="NE27" s="24"/>
      <c r="NF27" s="24"/>
      <c r="NG27" s="24"/>
      <c r="NH27" s="24"/>
      <c r="NI27" s="24"/>
      <c r="NJ27" s="24"/>
      <c r="NK27" s="24"/>
      <c r="NL27" s="24"/>
      <c r="NM27" s="24"/>
      <c r="NN27" s="24"/>
      <c r="NO27" s="24"/>
      <c r="NP27" s="24"/>
      <c r="NQ27" s="24"/>
      <c r="NR27" s="24"/>
      <c r="NS27" s="24"/>
      <c r="NT27" s="24"/>
      <c r="NU27" s="24"/>
      <c r="NV27" s="24"/>
      <c r="NW27" s="24"/>
      <c r="NX27" s="24"/>
      <c r="NY27" s="24"/>
      <c r="NZ27" s="24"/>
      <c r="OA27" s="24"/>
      <c r="OB27" s="24"/>
      <c r="OC27" s="24"/>
      <c r="OD27" s="24"/>
      <c r="OE27" s="24"/>
      <c r="OF27" s="24"/>
      <c r="OG27" s="24"/>
      <c r="OH27" s="24"/>
      <c r="OI27" s="24"/>
      <c r="OJ27" s="24"/>
      <c r="OK27" s="24"/>
      <c r="OL27" s="24"/>
      <c r="OM27" s="24"/>
      <c r="ON27" s="24"/>
      <c r="OO27" s="24"/>
      <c r="OP27" s="24"/>
      <c r="OQ27" s="24"/>
      <c r="OR27" s="24"/>
      <c r="OS27" s="24"/>
      <c r="OT27" s="24"/>
      <c r="OU27" s="24"/>
      <c r="OV27" s="24"/>
      <c r="OW27" s="24"/>
      <c r="OX27" s="24"/>
      <c r="OY27" s="24"/>
      <c r="OZ27" s="24"/>
      <c r="PA27" s="24"/>
      <c r="PB27" s="24"/>
      <c r="PC27" s="24"/>
      <c r="PD27" s="24"/>
      <c r="PE27" s="24"/>
      <c r="PF27" s="24"/>
      <c r="PG27" s="24"/>
      <c r="PH27" s="24"/>
      <c r="PI27" s="24"/>
      <c r="PJ27" s="24"/>
      <c r="PK27" s="24"/>
      <c r="PL27" s="24"/>
      <c r="PM27" s="24"/>
      <c r="PN27" s="24"/>
      <c r="PO27" s="24"/>
      <c r="PP27" s="24"/>
      <c r="PQ27" s="24"/>
      <c r="PR27" s="24"/>
      <c r="PS27" s="24"/>
      <c r="PT27" s="24"/>
      <c r="PU27" s="24"/>
      <c r="PV27" s="24"/>
      <c r="PW27" s="24"/>
      <c r="PX27" s="24"/>
      <c r="PY27" s="24"/>
      <c r="PZ27" s="24"/>
      <c r="QA27" s="24"/>
      <c r="QB27" s="24"/>
      <c r="QC27" s="24"/>
      <c r="QD27" s="24"/>
      <c r="QE27" s="24"/>
      <c r="QF27" s="24"/>
      <c r="QG27" s="24"/>
      <c r="QH27" s="24"/>
      <c r="QI27" s="24"/>
      <c r="QJ27" s="24"/>
      <c r="QK27" s="24"/>
      <c r="QL27" s="24"/>
      <c r="QM27" s="24"/>
      <c r="QN27" s="24"/>
      <c r="QO27" s="24"/>
      <c r="QP27" s="24"/>
      <c r="QQ27" s="24"/>
      <c r="QR27" s="24"/>
      <c r="QS27" s="24"/>
      <c r="QT27" s="24"/>
      <c r="QU27" s="24"/>
      <c r="QV27" s="24"/>
      <c r="QW27" s="24"/>
      <c r="QX27" s="24"/>
      <c r="QY27" s="24"/>
      <c r="QZ27" s="24"/>
      <c r="RA27" s="24"/>
      <c r="RB27" s="24"/>
      <c r="RC27" s="24"/>
      <c r="RD27" s="24"/>
      <c r="RE27" s="24"/>
      <c r="RF27" s="24"/>
      <c r="RG27" s="24"/>
      <c r="RH27" s="24"/>
      <c r="RI27" s="24"/>
      <c r="RJ27" s="24"/>
      <c r="RK27" s="24"/>
      <c r="RL27" s="24"/>
      <c r="RM27" s="24"/>
      <c r="RN27" s="24"/>
      <c r="RO27" s="24"/>
      <c r="RP27" s="24"/>
      <c r="RQ27" s="24"/>
      <c r="RR27" s="24"/>
      <c r="RS27" s="24"/>
      <c r="RT27" s="24"/>
      <c r="RU27" s="24"/>
      <c r="RV27" s="24"/>
      <c r="RW27" s="24"/>
      <c r="RX27" s="24"/>
      <c r="RY27" s="24"/>
      <c r="RZ27" s="24"/>
      <c r="SA27" s="24"/>
      <c r="SB27" s="24"/>
      <c r="SC27" s="24"/>
      <c r="SD27" s="24"/>
      <c r="SE27" s="24"/>
      <c r="SF27" s="24"/>
      <c r="SG27" s="24"/>
      <c r="SH27" s="24"/>
      <c r="SI27" s="24"/>
      <c r="SJ27" s="24"/>
      <c r="SK27" s="24"/>
      <c r="SL27" s="24"/>
      <c r="SM27" s="24"/>
      <c r="SN27" s="24"/>
      <c r="SO27" s="24"/>
      <c r="SP27" s="24"/>
      <c r="SQ27" s="24"/>
      <c r="SR27" s="24"/>
      <c r="SS27" s="24"/>
      <c r="ST27" s="24"/>
      <c r="SU27" s="24"/>
      <c r="SV27" s="24"/>
      <c r="SW27" s="24"/>
      <c r="SX27" s="24"/>
      <c r="SY27" s="24"/>
      <c r="SZ27" s="24"/>
      <c r="TA27" s="24"/>
      <c r="TB27" s="24"/>
      <c r="TC27" s="24"/>
      <c r="TD27" s="24"/>
      <c r="TE27" s="24"/>
      <c r="TF27" s="24"/>
      <c r="TG27" s="24"/>
      <c r="TH27" s="24"/>
      <c r="TI27" s="24"/>
      <c r="TJ27" s="24"/>
      <c r="TK27" s="24"/>
      <c r="TL27" s="24"/>
      <c r="TM27" s="24"/>
      <c r="TN27" s="24"/>
      <c r="TO27" s="24"/>
      <c r="TP27" s="24"/>
      <c r="TQ27" s="24"/>
      <c r="TR27" s="24"/>
      <c r="TS27" s="24"/>
      <c r="TT27" s="24"/>
      <c r="TU27" s="24"/>
      <c r="TV27" s="24"/>
      <c r="TW27" s="24"/>
      <c r="TX27" s="24"/>
      <c r="TY27" s="24"/>
      <c r="TZ27" s="24"/>
      <c r="UA27" s="24"/>
      <c r="UB27" s="24"/>
      <c r="UC27" s="24"/>
      <c r="UD27" s="24"/>
      <c r="UE27" s="24"/>
      <c r="UF27" s="24"/>
      <c r="UG27" s="24"/>
      <c r="UH27" s="24"/>
      <c r="UI27" s="24"/>
      <c r="UJ27" s="24"/>
      <c r="UK27" s="24"/>
      <c r="UL27" s="24"/>
      <c r="UM27" s="24"/>
      <c r="UN27" s="24"/>
      <c r="UO27" s="24"/>
      <c r="UP27" s="24"/>
      <c r="UQ27" s="24"/>
      <c r="UR27" s="24"/>
      <c r="US27" s="24"/>
      <c r="UT27" s="24"/>
      <c r="UU27" s="24"/>
      <c r="UV27" s="24"/>
      <c r="UW27" s="24"/>
      <c r="UX27" s="24"/>
      <c r="UY27" s="24"/>
      <c r="UZ27" s="24"/>
      <c r="VA27" s="24"/>
      <c r="VB27" s="24"/>
      <c r="VC27" s="24"/>
      <c r="VD27" s="24"/>
      <c r="VE27" s="24"/>
      <c r="VF27" s="24"/>
      <c r="VG27" s="24"/>
      <c r="VH27" s="24"/>
      <c r="VI27" s="24"/>
      <c r="VJ27" s="24"/>
      <c r="VK27" s="24"/>
      <c r="VL27" s="24"/>
      <c r="VM27" s="24"/>
      <c r="VN27" s="24"/>
      <c r="VO27" s="24"/>
      <c r="VP27" s="24"/>
      <c r="VQ27" s="24"/>
      <c r="VR27" s="24"/>
      <c r="VS27" s="24"/>
      <c r="VT27" s="24"/>
      <c r="VU27" s="24"/>
      <c r="VV27" s="24"/>
      <c r="VW27" s="24"/>
      <c r="VX27" s="24"/>
      <c r="VY27" s="24"/>
      <c r="VZ27" s="24"/>
      <c r="WA27" s="24"/>
      <c r="WB27" s="24"/>
      <c r="WC27" s="24"/>
      <c r="WD27" s="24"/>
      <c r="WE27" s="24"/>
      <c r="WF27" s="24"/>
      <c r="WG27" s="24"/>
      <c r="WH27" s="24"/>
      <c r="WI27" s="24"/>
      <c r="WJ27" s="24"/>
      <c r="WK27" s="24"/>
      <c r="WL27" s="24"/>
      <c r="WM27" s="24"/>
      <c r="WN27" s="24"/>
      <c r="WO27" s="24"/>
      <c r="WP27" s="24"/>
      <c r="WQ27" s="24"/>
      <c r="WR27" s="24"/>
      <c r="WS27" s="24"/>
      <c r="WT27" s="24"/>
      <c r="WU27" s="24"/>
      <c r="WV27" s="24"/>
      <c r="WW27" s="24"/>
      <c r="WX27" s="24"/>
      <c r="WY27" s="24"/>
      <c r="WZ27" s="24"/>
      <c r="XA27" s="24"/>
      <c r="XB27" s="24"/>
      <c r="XC27" s="24"/>
      <c r="XD27" s="24"/>
      <c r="XE27" s="24"/>
      <c r="XF27" s="24"/>
      <c r="XG27" s="24"/>
      <c r="XH27" s="24"/>
      <c r="XI27" s="24"/>
      <c r="XJ27" s="24"/>
      <c r="XK27" s="24"/>
      <c r="XL27" s="24"/>
      <c r="XM27" s="24"/>
      <c r="XN27" s="24"/>
      <c r="XO27" s="24"/>
      <c r="XP27" s="24"/>
      <c r="XQ27" s="24"/>
      <c r="XR27" s="24"/>
      <c r="XS27" s="24"/>
      <c r="XT27" s="24"/>
      <c r="XU27" s="24"/>
      <c r="XV27" s="24"/>
      <c r="XW27" s="24"/>
      <c r="XX27" s="24"/>
      <c r="XY27" s="24"/>
      <c r="XZ27" s="24"/>
      <c r="YA27" s="24"/>
      <c r="YB27" s="24"/>
      <c r="YC27" s="24"/>
      <c r="YD27" s="24"/>
      <c r="YE27" s="24"/>
      <c r="YF27" s="24"/>
      <c r="YG27" s="24"/>
      <c r="YH27" s="24"/>
      <c r="YI27" s="24"/>
      <c r="YJ27" s="24"/>
      <c r="YK27" s="24"/>
      <c r="YL27" s="24"/>
      <c r="YM27" s="24"/>
      <c r="YN27" s="24"/>
      <c r="YO27" s="24"/>
      <c r="YP27" s="24"/>
      <c r="YQ27" s="24"/>
      <c r="YR27" s="24"/>
      <c r="YS27" s="24"/>
      <c r="YT27" s="24"/>
      <c r="YU27" s="24"/>
      <c r="YV27" s="24"/>
      <c r="YW27" s="24"/>
      <c r="YX27" s="24"/>
      <c r="YY27" s="24"/>
      <c r="YZ27" s="24"/>
      <c r="ZA27" s="24"/>
      <c r="ZB27" s="24"/>
      <c r="ZC27" s="24"/>
      <c r="ZD27" s="24"/>
      <c r="ZE27" s="24"/>
      <c r="ZF27" s="24"/>
      <c r="ZG27" s="24"/>
      <c r="ZH27" s="24"/>
      <c r="ZI27" s="24"/>
      <c r="ZJ27" s="24"/>
      <c r="ZK27" s="24"/>
      <c r="ZL27" s="24"/>
      <c r="ZM27" s="24"/>
      <c r="ZN27" s="24"/>
      <c r="ZO27" s="24"/>
      <c r="ZP27" s="24"/>
      <c r="ZQ27" s="24"/>
      <c r="ZR27" s="24"/>
      <c r="ZS27" s="24"/>
      <c r="ZT27" s="24"/>
      <c r="ZU27" s="24"/>
      <c r="ZV27" s="24"/>
      <c r="ZW27" s="24"/>
      <c r="ZX27" s="24"/>
      <c r="ZY27" s="24"/>
      <c r="ZZ27" s="24"/>
      <c r="AAA27" s="24"/>
      <c r="AAB27" s="24"/>
      <c r="AAC27" s="24"/>
      <c r="AAD27" s="24"/>
      <c r="AAE27" s="24"/>
      <c r="AAF27" s="24"/>
      <c r="AAG27" s="24"/>
      <c r="AAH27" s="24"/>
      <c r="AAI27" s="24"/>
      <c r="AAJ27" s="24"/>
      <c r="AAK27" s="24"/>
      <c r="AAL27" s="24"/>
      <c r="AAM27" s="24"/>
      <c r="AAN27" s="24"/>
      <c r="AAO27" s="24"/>
      <c r="AAP27" s="24"/>
      <c r="AAQ27" s="24"/>
      <c r="AAR27" s="24"/>
      <c r="AAS27" s="24"/>
      <c r="AAT27" s="24"/>
      <c r="AAU27" s="24"/>
      <c r="AAV27" s="24"/>
      <c r="AAW27" s="24"/>
      <c r="AAX27" s="24"/>
      <c r="AAY27" s="24"/>
      <c r="AAZ27" s="24"/>
      <c r="ABA27" s="24"/>
      <c r="ABB27" s="24"/>
      <c r="ABC27" s="24"/>
      <c r="ABD27" s="24"/>
      <c r="ABE27" s="24"/>
      <c r="ABF27" s="24"/>
      <c r="ABG27" s="24"/>
      <c r="ABH27" s="24"/>
      <c r="ABI27" s="24"/>
      <c r="ABJ27" s="24"/>
      <c r="ABK27" s="24"/>
      <c r="ABL27" s="24"/>
      <c r="ABM27" s="24"/>
      <c r="ABN27" s="24"/>
      <c r="ABO27" s="24"/>
      <c r="ABP27" s="24"/>
      <c r="ABQ27" s="24"/>
      <c r="ABR27" s="24"/>
      <c r="ABS27" s="24"/>
      <c r="ABT27" s="24"/>
      <c r="ABU27" s="24"/>
      <c r="ABV27" s="24"/>
      <c r="ABW27" s="24"/>
      <c r="ABX27" s="24"/>
      <c r="ABY27" s="24"/>
      <c r="ABZ27" s="24"/>
      <c r="ACA27" s="24"/>
      <c r="ACB27" s="24"/>
      <c r="ACC27" s="24"/>
      <c r="ACD27" s="24"/>
      <c r="ACE27" s="24"/>
      <c r="ACF27" s="24"/>
      <c r="ACG27" s="24"/>
      <c r="ACH27" s="24"/>
      <c r="ACI27" s="24"/>
      <c r="ACJ27" s="24"/>
      <c r="ACK27" s="24"/>
      <c r="ACL27" s="24"/>
      <c r="ACM27" s="24"/>
      <c r="ACN27" s="24"/>
      <c r="ACO27" s="24"/>
      <c r="ACP27" s="24"/>
      <c r="ACQ27" s="24"/>
      <c r="ACR27" s="24"/>
      <c r="ACS27" s="24"/>
      <c r="ACT27" s="24"/>
      <c r="ACU27" s="24"/>
      <c r="ACV27" s="24"/>
      <c r="ACW27" s="24"/>
      <c r="ACX27" s="24"/>
      <c r="ACY27" s="24"/>
      <c r="ACZ27" s="24"/>
      <c r="ADA27" s="24"/>
      <c r="ADB27" s="24"/>
      <c r="ADC27" s="24"/>
      <c r="ADD27" s="24"/>
      <c r="ADE27" s="24"/>
      <c r="ADF27" s="24"/>
      <c r="ADG27" s="24"/>
      <c r="ADH27" s="24"/>
      <c r="ADI27" s="24"/>
      <c r="ADJ27" s="24"/>
      <c r="ADK27" s="24"/>
      <c r="ADL27" s="24"/>
      <c r="ADM27" s="24"/>
      <c r="ADN27" s="24"/>
      <c r="ADO27" s="24"/>
      <c r="ADP27" s="24"/>
      <c r="ADQ27" s="24"/>
      <c r="ADR27" s="24"/>
      <c r="ADS27" s="24"/>
      <c r="ADT27" s="24"/>
      <c r="ADU27" s="24"/>
      <c r="ADV27" s="24"/>
      <c r="ADW27" s="24"/>
      <c r="ADX27" s="24"/>
      <c r="ADY27" s="24"/>
      <c r="ADZ27" s="24"/>
      <c r="AEA27" s="24"/>
      <c r="AEB27" s="24"/>
      <c r="AEC27" s="24"/>
      <c r="AED27" s="24"/>
      <c r="AEE27" s="24"/>
      <c r="AEF27" s="24"/>
      <c r="AEG27" s="24"/>
      <c r="AEH27" s="24"/>
      <c r="AEI27" s="24"/>
      <c r="AEJ27" s="24"/>
      <c r="AEK27" s="24"/>
      <c r="AEL27" s="24"/>
      <c r="AEM27" s="24"/>
      <c r="AEN27" s="24"/>
      <c r="AEO27" s="24"/>
      <c r="AEP27" s="24"/>
      <c r="AEQ27" s="24"/>
      <c r="AER27" s="24"/>
      <c r="AES27" s="24"/>
      <c r="AET27" s="24"/>
      <c r="AEU27" s="24"/>
      <c r="AEV27" s="24"/>
      <c r="AEW27" s="24"/>
      <c r="AEX27" s="24"/>
      <c r="AEY27" s="24"/>
      <c r="AEZ27" s="24"/>
      <c r="AFA27" s="24"/>
      <c r="AFB27" s="24"/>
      <c r="AFC27" s="24"/>
      <c r="AFD27" s="24"/>
      <c r="AFE27" s="24"/>
      <c r="AFF27" s="24"/>
      <c r="AFG27" s="24"/>
      <c r="AFH27" s="24"/>
      <c r="AFI27" s="24"/>
      <c r="AFJ27" s="24"/>
      <c r="AFK27" s="24"/>
      <c r="AFL27" s="24"/>
      <c r="AFM27" s="24"/>
      <c r="AFN27" s="24"/>
      <c r="AFO27" s="24"/>
      <c r="AFP27" s="24"/>
      <c r="AFQ27" s="24"/>
      <c r="AFR27" s="24"/>
      <c r="AFS27" s="24"/>
      <c r="AFT27" s="24"/>
      <c r="AFU27" s="24"/>
      <c r="AFV27" s="24"/>
      <c r="AFW27" s="24"/>
      <c r="AFX27" s="24"/>
      <c r="AFY27" s="24"/>
      <c r="AFZ27" s="24"/>
      <c r="AGA27" s="24"/>
      <c r="AGB27" s="24"/>
      <c r="AGC27" s="24"/>
      <c r="AGD27" s="24"/>
      <c r="AGE27" s="24"/>
      <c r="AGF27" s="24"/>
      <c r="AGG27" s="24"/>
      <c r="AGH27" s="24"/>
      <c r="AGI27" s="24"/>
      <c r="AGJ27" s="24"/>
      <c r="AGK27" s="24"/>
      <c r="AGL27" s="24"/>
      <c r="AGM27" s="24"/>
      <c r="AGN27" s="24"/>
      <c r="AGO27" s="24"/>
      <c r="AGP27" s="24"/>
      <c r="AGQ27" s="24"/>
      <c r="AGR27" s="24"/>
      <c r="AGS27" s="24"/>
      <c r="AGT27" s="24"/>
      <c r="AGU27" s="24"/>
      <c r="AGV27" s="24"/>
      <c r="AGW27" s="24"/>
      <c r="AGX27" s="24"/>
      <c r="AGY27" s="24"/>
      <c r="AGZ27" s="24"/>
      <c r="AHA27" s="24"/>
      <c r="AHB27" s="24"/>
      <c r="AHC27" s="24"/>
      <c r="AHD27" s="24"/>
      <c r="AHE27" s="24"/>
      <c r="AHF27" s="24"/>
      <c r="AHG27" s="24"/>
      <c r="AHH27" s="24"/>
      <c r="AHI27" s="24"/>
      <c r="AHJ27" s="24"/>
      <c r="AHK27" s="24"/>
      <c r="AHL27" s="24"/>
      <c r="AHM27" s="24"/>
      <c r="AHN27" s="24"/>
      <c r="AHO27" s="24"/>
      <c r="AHP27" s="24"/>
      <c r="AHQ27" s="24"/>
      <c r="AHR27" s="24"/>
      <c r="AHS27" s="24"/>
      <c r="AHT27" s="24"/>
      <c r="AHU27" s="24"/>
      <c r="AHV27" s="24"/>
      <c r="AHW27" s="24"/>
      <c r="AHX27" s="24"/>
      <c r="AHY27" s="24"/>
      <c r="AHZ27" s="24"/>
      <c r="AIA27" s="24"/>
      <c r="AIB27" s="24"/>
      <c r="AIC27" s="24"/>
      <c r="AID27" s="24"/>
      <c r="AIE27" s="24"/>
      <c r="AIF27" s="24"/>
      <c r="AIG27" s="24"/>
      <c r="AIH27" s="24"/>
      <c r="AII27" s="24"/>
      <c r="AIJ27" s="24"/>
      <c r="AIK27" s="24"/>
      <c r="AIL27" s="24"/>
      <c r="AIM27" s="24"/>
      <c r="AIN27" s="24"/>
      <c r="AIO27" s="24"/>
      <c r="AIP27" s="24"/>
      <c r="AIQ27" s="24"/>
      <c r="AIR27" s="24"/>
      <c r="AIS27" s="24"/>
      <c r="AIT27" s="24"/>
      <c r="AIU27" s="24"/>
      <c r="AIV27" s="24"/>
      <c r="AIW27" s="24"/>
      <c r="AIX27" s="24"/>
      <c r="AIY27" s="24"/>
      <c r="AIZ27" s="24"/>
      <c r="AJA27" s="24"/>
      <c r="AJB27" s="24"/>
      <c r="AJC27" s="24"/>
      <c r="AJD27" s="24"/>
      <c r="AJE27" s="24"/>
      <c r="AJF27" s="24"/>
      <c r="AJG27" s="24"/>
      <c r="AJH27" s="24"/>
      <c r="AJI27" s="24"/>
      <c r="AJJ27" s="24"/>
      <c r="AJK27" s="24"/>
      <c r="AJL27" s="24"/>
      <c r="AJM27" s="24"/>
      <c r="AJN27" s="24"/>
      <c r="AJO27" s="24"/>
      <c r="AJP27" s="24"/>
      <c r="AJQ27" s="24"/>
      <c r="AJR27" s="24"/>
      <c r="AJS27" s="24"/>
      <c r="AJT27" s="24"/>
      <c r="AJU27" s="24"/>
      <c r="AJV27" s="24"/>
      <c r="AJW27" s="24"/>
      <c r="AJX27" s="24"/>
      <c r="AJY27" s="24"/>
      <c r="AJZ27" s="24"/>
      <c r="AKA27" s="24"/>
      <c r="AKB27" s="24"/>
      <c r="AKC27" s="24"/>
      <c r="AKD27" s="24"/>
      <c r="AKE27" s="24"/>
      <c r="AKF27" s="24"/>
      <c r="AKG27" s="24"/>
      <c r="AKH27" s="24"/>
      <c r="AKI27" s="24"/>
      <c r="AKJ27" s="24"/>
      <c r="AKK27" s="24"/>
      <c r="AKL27" s="24"/>
      <c r="AKM27" s="24"/>
      <c r="AKN27" s="24"/>
      <c r="AKO27" s="24"/>
      <c r="AKP27" s="24"/>
      <c r="AKQ27" s="24"/>
      <c r="AKR27" s="24"/>
      <c r="AKS27" s="24"/>
      <c r="AKT27" s="24"/>
      <c r="AKU27" s="24"/>
      <c r="AKV27" s="24"/>
      <c r="AKW27" s="24"/>
      <c r="AKX27" s="24"/>
      <c r="AKY27" s="24"/>
      <c r="AKZ27" s="24"/>
      <c r="ALA27" s="24"/>
      <c r="ALB27" s="24"/>
      <c r="ALC27" s="24"/>
      <c r="ALD27" s="24"/>
      <c r="ALE27" s="24"/>
      <c r="ALF27" s="24"/>
      <c r="ALG27" s="24"/>
      <c r="ALH27" s="24"/>
      <c r="ALI27" s="24"/>
      <c r="ALJ27" s="24"/>
      <c r="ALK27" s="24"/>
      <c r="ALL27" s="24"/>
      <c r="ALM27" s="24"/>
      <c r="ALN27" s="24"/>
      <c r="ALO27" s="24"/>
      <c r="ALP27" s="24"/>
      <c r="ALQ27" s="24"/>
      <c r="ALR27" s="24"/>
      <c r="ALS27" s="24"/>
      <c r="ALT27" s="24"/>
      <c r="ALU27" s="24"/>
      <c r="ALV27" s="24"/>
      <c r="ALW27" s="24"/>
      <c r="ALX27" s="24"/>
      <c r="ALY27" s="24"/>
      <c r="ALZ27" s="24"/>
      <c r="AMA27" s="24"/>
      <c r="AMB27" s="24"/>
      <c r="AMC27" s="24"/>
      <c r="AMD27" s="24"/>
      <c r="AME27" s="24"/>
      <c r="AMF27" s="24"/>
      <c r="AMG27" s="24"/>
      <c r="AMH27" s="24"/>
    </row>
    <row r="28" spans="1:1022" ht="76.5">
      <c r="A28" s="24"/>
      <c r="B28" s="502"/>
      <c r="C28" s="503" t="s">
        <v>616</v>
      </c>
      <c r="D28" s="483" t="s">
        <v>617</v>
      </c>
      <c r="E28" s="99" t="s">
        <v>899</v>
      </c>
      <c r="F28" s="485"/>
      <c r="G28" s="99" t="s">
        <v>948</v>
      </c>
      <c r="H28" s="608" t="s">
        <v>947</v>
      </c>
      <c r="I28" s="608" t="s">
        <v>924</v>
      </c>
      <c r="J28" s="608">
        <v>1</v>
      </c>
      <c r="K28" s="608" t="s">
        <v>493</v>
      </c>
      <c r="L28" s="608" t="s">
        <v>949</v>
      </c>
      <c r="M28" s="608" t="s">
        <v>934</v>
      </c>
      <c r="N28" s="608" t="s">
        <v>973</v>
      </c>
      <c r="O28" s="608" t="s">
        <v>951</v>
      </c>
      <c r="P28" s="608" t="s">
        <v>952</v>
      </c>
      <c r="Q28" s="608" t="s">
        <v>780</v>
      </c>
      <c r="R28" s="608"/>
      <c r="S28" s="608">
        <v>1</v>
      </c>
      <c r="T28" s="608" t="s">
        <v>657</v>
      </c>
      <c r="U28" s="486" t="s">
        <v>953</v>
      </c>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c r="JA28" s="24"/>
      <c r="JB28" s="24"/>
      <c r="JC28" s="24"/>
      <c r="JD28" s="24"/>
      <c r="JE28" s="24"/>
      <c r="JF28" s="24"/>
      <c r="JG28" s="24"/>
      <c r="JH28" s="24"/>
      <c r="JI28" s="24"/>
      <c r="JJ28" s="24"/>
      <c r="JK28" s="24"/>
      <c r="JL28" s="24"/>
      <c r="JM28" s="24"/>
      <c r="JN28" s="24"/>
      <c r="JO28" s="24"/>
      <c r="JP28" s="24"/>
      <c r="JQ28" s="24"/>
      <c r="JR28" s="24"/>
      <c r="JS28" s="24"/>
      <c r="JT28" s="24"/>
      <c r="JU28" s="24"/>
      <c r="JV28" s="24"/>
      <c r="JW28" s="24"/>
      <c r="JX28" s="24"/>
      <c r="JY28" s="24"/>
      <c r="JZ28" s="24"/>
      <c r="KA28" s="24"/>
      <c r="KB28" s="24"/>
      <c r="KC28" s="24"/>
      <c r="KD28" s="24"/>
      <c r="KE28" s="24"/>
      <c r="KF28" s="24"/>
      <c r="KG28" s="24"/>
      <c r="KH28" s="24"/>
      <c r="KI28" s="24"/>
      <c r="KJ28" s="24"/>
      <c r="KK28" s="24"/>
      <c r="KL28" s="24"/>
      <c r="KM28" s="24"/>
      <c r="KN28" s="24"/>
      <c r="KO28" s="24"/>
      <c r="KP28" s="24"/>
      <c r="KQ28" s="24"/>
      <c r="KR28" s="24"/>
      <c r="KS28" s="24"/>
      <c r="KT28" s="24"/>
      <c r="KU28" s="24"/>
      <c r="KV28" s="24"/>
      <c r="KW28" s="24"/>
      <c r="KX28" s="24"/>
      <c r="KY28" s="24"/>
      <c r="KZ28" s="24"/>
      <c r="LA28" s="24"/>
      <c r="LB28" s="24"/>
      <c r="LC28" s="24"/>
      <c r="LD28" s="24"/>
      <c r="LE28" s="24"/>
      <c r="LF28" s="24"/>
      <c r="LG28" s="24"/>
      <c r="LH28" s="24"/>
      <c r="LI28" s="24"/>
      <c r="LJ28" s="24"/>
      <c r="LK28" s="24"/>
      <c r="LL28" s="24"/>
      <c r="LM28" s="24"/>
      <c r="LN28" s="24"/>
      <c r="LO28" s="24"/>
      <c r="LP28" s="24"/>
      <c r="LQ28" s="24"/>
      <c r="LR28" s="24"/>
      <c r="LS28" s="24"/>
      <c r="LT28" s="24"/>
      <c r="LU28" s="24"/>
      <c r="LV28" s="24"/>
      <c r="LW28" s="24"/>
      <c r="LX28" s="24"/>
      <c r="LY28" s="24"/>
      <c r="LZ28" s="24"/>
      <c r="MA28" s="24"/>
      <c r="MB28" s="24"/>
      <c r="MC28" s="24"/>
      <c r="MD28" s="24"/>
      <c r="ME28" s="24"/>
      <c r="MF28" s="24"/>
      <c r="MG28" s="24"/>
      <c r="MH28" s="24"/>
      <c r="MI28" s="24"/>
      <c r="MJ28" s="24"/>
      <c r="MK28" s="24"/>
      <c r="ML28" s="24"/>
      <c r="MM28" s="24"/>
      <c r="MN28" s="24"/>
      <c r="MO28" s="24"/>
      <c r="MP28" s="24"/>
      <c r="MQ28" s="24"/>
      <c r="MR28" s="24"/>
      <c r="MS28" s="24"/>
      <c r="MT28" s="24"/>
      <c r="MU28" s="24"/>
      <c r="MV28" s="24"/>
      <c r="MW28" s="24"/>
      <c r="MX28" s="24"/>
      <c r="MY28" s="24"/>
      <c r="MZ28" s="24"/>
      <c r="NA28" s="24"/>
      <c r="NB28" s="24"/>
      <c r="NC28" s="24"/>
      <c r="ND28" s="24"/>
      <c r="NE28" s="24"/>
      <c r="NF28" s="24"/>
      <c r="NG28" s="24"/>
      <c r="NH28" s="24"/>
      <c r="NI28" s="24"/>
      <c r="NJ28" s="24"/>
      <c r="NK28" s="24"/>
      <c r="NL28" s="24"/>
      <c r="NM28" s="24"/>
      <c r="NN28" s="24"/>
      <c r="NO28" s="24"/>
      <c r="NP28" s="24"/>
      <c r="NQ28" s="24"/>
      <c r="NR28" s="24"/>
      <c r="NS28" s="24"/>
      <c r="NT28" s="24"/>
      <c r="NU28" s="24"/>
      <c r="NV28" s="24"/>
      <c r="NW28" s="24"/>
      <c r="NX28" s="24"/>
      <c r="NY28" s="24"/>
      <c r="NZ28" s="24"/>
      <c r="OA28" s="24"/>
      <c r="OB28" s="24"/>
      <c r="OC28" s="24"/>
      <c r="OD28" s="24"/>
      <c r="OE28" s="24"/>
      <c r="OF28" s="24"/>
      <c r="OG28" s="24"/>
      <c r="OH28" s="24"/>
      <c r="OI28" s="24"/>
      <c r="OJ28" s="24"/>
      <c r="OK28" s="24"/>
      <c r="OL28" s="24"/>
      <c r="OM28" s="24"/>
      <c r="ON28" s="24"/>
      <c r="OO28" s="24"/>
      <c r="OP28" s="24"/>
      <c r="OQ28" s="24"/>
      <c r="OR28" s="24"/>
      <c r="OS28" s="24"/>
      <c r="OT28" s="24"/>
      <c r="OU28" s="24"/>
      <c r="OV28" s="24"/>
      <c r="OW28" s="24"/>
      <c r="OX28" s="24"/>
      <c r="OY28" s="24"/>
      <c r="OZ28" s="24"/>
      <c r="PA28" s="24"/>
      <c r="PB28" s="24"/>
      <c r="PC28" s="24"/>
      <c r="PD28" s="24"/>
      <c r="PE28" s="24"/>
      <c r="PF28" s="24"/>
      <c r="PG28" s="24"/>
      <c r="PH28" s="24"/>
      <c r="PI28" s="24"/>
      <c r="PJ28" s="24"/>
      <c r="PK28" s="24"/>
      <c r="PL28" s="24"/>
      <c r="PM28" s="24"/>
      <c r="PN28" s="24"/>
      <c r="PO28" s="24"/>
      <c r="PP28" s="24"/>
      <c r="PQ28" s="24"/>
      <c r="PR28" s="24"/>
      <c r="PS28" s="24"/>
      <c r="PT28" s="24"/>
      <c r="PU28" s="24"/>
      <c r="PV28" s="24"/>
      <c r="PW28" s="24"/>
      <c r="PX28" s="24"/>
      <c r="PY28" s="24"/>
      <c r="PZ28" s="24"/>
      <c r="QA28" s="24"/>
      <c r="QB28" s="24"/>
      <c r="QC28" s="24"/>
      <c r="QD28" s="24"/>
      <c r="QE28" s="24"/>
      <c r="QF28" s="24"/>
      <c r="QG28" s="24"/>
      <c r="QH28" s="24"/>
      <c r="QI28" s="24"/>
      <c r="QJ28" s="24"/>
      <c r="QK28" s="24"/>
      <c r="QL28" s="24"/>
      <c r="QM28" s="24"/>
      <c r="QN28" s="24"/>
      <c r="QO28" s="24"/>
      <c r="QP28" s="24"/>
      <c r="QQ28" s="24"/>
      <c r="QR28" s="24"/>
      <c r="QS28" s="24"/>
      <c r="QT28" s="24"/>
      <c r="QU28" s="24"/>
      <c r="QV28" s="24"/>
      <c r="QW28" s="24"/>
      <c r="QX28" s="24"/>
      <c r="QY28" s="24"/>
      <c r="QZ28" s="24"/>
      <c r="RA28" s="24"/>
      <c r="RB28" s="24"/>
      <c r="RC28" s="24"/>
      <c r="RD28" s="24"/>
      <c r="RE28" s="24"/>
      <c r="RF28" s="24"/>
      <c r="RG28" s="24"/>
      <c r="RH28" s="24"/>
      <c r="RI28" s="24"/>
      <c r="RJ28" s="24"/>
      <c r="RK28" s="24"/>
      <c r="RL28" s="24"/>
      <c r="RM28" s="24"/>
      <c r="RN28" s="24"/>
      <c r="RO28" s="24"/>
      <c r="RP28" s="24"/>
      <c r="RQ28" s="24"/>
      <c r="RR28" s="24"/>
      <c r="RS28" s="24"/>
      <c r="RT28" s="24"/>
      <c r="RU28" s="24"/>
      <c r="RV28" s="24"/>
      <c r="RW28" s="24"/>
      <c r="RX28" s="24"/>
      <c r="RY28" s="24"/>
      <c r="RZ28" s="24"/>
      <c r="SA28" s="24"/>
      <c r="SB28" s="24"/>
      <c r="SC28" s="24"/>
      <c r="SD28" s="24"/>
      <c r="SE28" s="24"/>
      <c r="SF28" s="24"/>
      <c r="SG28" s="24"/>
      <c r="SH28" s="24"/>
      <c r="SI28" s="24"/>
      <c r="SJ28" s="24"/>
      <c r="SK28" s="24"/>
      <c r="SL28" s="24"/>
      <c r="SM28" s="24"/>
      <c r="SN28" s="24"/>
      <c r="SO28" s="24"/>
      <c r="SP28" s="24"/>
      <c r="SQ28" s="24"/>
      <c r="SR28" s="24"/>
      <c r="SS28" s="24"/>
      <c r="ST28" s="24"/>
      <c r="SU28" s="24"/>
      <c r="SV28" s="24"/>
      <c r="SW28" s="24"/>
      <c r="SX28" s="24"/>
      <c r="SY28" s="24"/>
      <c r="SZ28" s="24"/>
      <c r="TA28" s="24"/>
      <c r="TB28" s="24"/>
      <c r="TC28" s="24"/>
      <c r="TD28" s="24"/>
      <c r="TE28" s="24"/>
      <c r="TF28" s="24"/>
      <c r="TG28" s="24"/>
      <c r="TH28" s="24"/>
      <c r="TI28" s="24"/>
      <c r="TJ28" s="24"/>
      <c r="TK28" s="24"/>
      <c r="TL28" s="24"/>
      <c r="TM28" s="24"/>
      <c r="TN28" s="24"/>
      <c r="TO28" s="24"/>
      <c r="TP28" s="24"/>
      <c r="TQ28" s="24"/>
      <c r="TR28" s="24"/>
      <c r="TS28" s="24"/>
      <c r="TT28" s="24"/>
      <c r="TU28" s="24"/>
      <c r="TV28" s="24"/>
      <c r="TW28" s="24"/>
      <c r="TX28" s="24"/>
      <c r="TY28" s="24"/>
      <c r="TZ28" s="24"/>
      <c r="UA28" s="24"/>
      <c r="UB28" s="24"/>
      <c r="UC28" s="24"/>
      <c r="UD28" s="24"/>
      <c r="UE28" s="24"/>
      <c r="UF28" s="24"/>
      <c r="UG28" s="24"/>
      <c r="UH28" s="24"/>
      <c r="UI28" s="24"/>
      <c r="UJ28" s="24"/>
      <c r="UK28" s="24"/>
      <c r="UL28" s="24"/>
      <c r="UM28" s="24"/>
      <c r="UN28" s="24"/>
      <c r="UO28" s="24"/>
      <c r="UP28" s="24"/>
      <c r="UQ28" s="24"/>
      <c r="UR28" s="24"/>
      <c r="US28" s="24"/>
      <c r="UT28" s="24"/>
      <c r="UU28" s="24"/>
      <c r="UV28" s="24"/>
      <c r="UW28" s="24"/>
      <c r="UX28" s="24"/>
      <c r="UY28" s="24"/>
      <c r="UZ28" s="24"/>
      <c r="VA28" s="24"/>
      <c r="VB28" s="24"/>
      <c r="VC28" s="24"/>
      <c r="VD28" s="24"/>
      <c r="VE28" s="24"/>
      <c r="VF28" s="24"/>
      <c r="VG28" s="24"/>
      <c r="VH28" s="24"/>
      <c r="VI28" s="24"/>
      <c r="VJ28" s="24"/>
      <c r="VK28" s="24"/>
      <c r="VL28" s="24"/>
      <c r="VM28" s="24"/>
      <c r="VN28" s="24"/>
      <c r="VO28" s="24"/>
      <c r="VP28" s="24"/>
      <c r="VQ28" s="24"/>
      <c r="VR28" s="24"/>
      <c r="VS28" s="24"/>
      <c r="VT28" s="24"/>
      <c r="VU28" s="24"/>
      <c r="VV28" s="24"/>
      <c r="VW28" s="24"/>
      <c r="VX28" s="24"/>
      <c r="VY28" s="24"/>
      <c r="VZ28" s="24"/>
      <c r="WA28" s="24"/>
      <c r="WB28" s="24"/>
      <c r="WC28" s="24"/>
      <c r="WD28" s="24"/>
      <c r="WE28" s="24"/>
      <c r="WF28" s="24"/>
      <c r="WG28" s="24"/>
      <c r="WH28" s="24"/>
      <c r="WI28" s="24"/>
      <c r="WJ28" s="24"/>
      <c r="WK28" s="24"/>
      <c r="WL28" s="24"/>
      <c r="WM28" s="24"/>
      <c r="WN28" s="24"/>
      <c r="WO28" s="24"/>
      <c r="WP28" s="24"/>
      <c r="WQ28" s="24"/>
      <c r="WR28" s="24"/>
      <c r="WS28" s="24"/>
      <c r="WT28" s="24"/>
      <c r="WU28" s="24"/>
      <c r="WV28" s="24"/>
      <c r="WW28" s="24"/>
      <c r="WX28" s="24"/>
      <c r="WY28" s="24"/>
      <c r="WZ28" s="24"/>
      <c r="XA28" s="24"/>
      <c r="XB28" s="24"/>
      <c r="XC28" s="24"/>
      <c r="XD28" s="24"/>
      <c r="XE28" s="24"/>
      <c r="XF28" s="24"/>
      <c r="XG28" s="24"/>
      <c r="XH28" s="24"/>
      <c r="XI28" s="24"/>
      <c r="XJ28" s="24"/>
      <c r="XK28" s="24"/>
      <c r="XL28" s="24"/>
      <c r="XM28" s="24"/>
      <c r="XN28" s="24"/>
      <c r="XO28" s="24"/>
      <c r="XP28" s="24"/>
      <c r="XQ28" s="24"/>
      <c r="XR28" s="24"/>
      <c r="XS28" s="24"/>
      <c r="XT28" s="24"/>
      <c r="XU28" s="24"/>
      <c r="XV28" s="24"/>
      <c r="XW28" s="24"/>
      <c r="XX28" s="24"/>
      <c r="XY28" s="24"/>
      <c r="XZ28" s="24"/>
      <c r="YA28" s="24"/>
      <c r="YB28" s="24"/>
      <c r="YC28" s="24"/>
      <c r="YD28" s="24"/>
      <c r="YE28" s="24"/>
      <c r="YF28" s="24"/>
      <c r="YG28" s="24"/>
      <c r="YH28" s="24"/>
      <c r="YI28" s="24"/>
      <c r="YJ28" s="24"/>
      <c r="YK28" s="24"/>
      <c r="YL28" s="24"/>
      <c r="YM28" s="24"/>
      <c r="YN28" s="24"/>
      <c r="YO28" s="24"/>
      <c r="YP28" s="24"/>
      <c r="YQ28" s="24"/>
      <c r="YR28" s="24"/>
      <c r="YS28" s="24"/>
      <c r="YT28" s="24"/>
      <c r="YU28" s="24"/>
      <c r="YV28" s="24"/>
      <c r="YW28" s="24"/>
      <c r="YX28" s="24"/>
      <c r="YY28" s="24"/>
      <c r="YZ28" s="24"/>
      <c r="ZA28" s="24"/>
      <c r="ZB28" s="24"/>
      <c r="ZC28" s="24"/>
      <c r="ZD28" s="24"/>
      <c r="ZE28" s="24"/>
      <c r="ZF28" s="24"/>
      <c r="ZG28" s="24"/>
      <c r="ZH28" s="24"/>
      <c r="ZI28" s="24"/>
      <c r="ZJ28" s="24"/>
      <c r="ZK28" s="24"/>
      <c r="ZL28" s="24"/>
      <c r="ZM28" s="24"/>
      <c r="ZN28" s="24"/>
      <c r="ZO28" s="24"/>
      <c r="ZP28" s="24"/>
      <c r="ZQ28" s="24"/>
      <c r="ZR28" s="24"/>
      <c r="ZS28" s="24"/>
      <c r="ZT28" s="24"/>
      <c r="ZU28" s="24"/>
      <c r="ZV28" s="24"/>
      <c r="ZW28" s="24"/>
      <c r="ZX28" s="24"/>
      <c r="ZY28" s="24"/>
      <c r="ZZ28" s="24"/>
      <c r="AAA28" s="24"/>
      <c r="AAB28" s="24"/>
      <c r="AAC28" s="24"/>
      <c r="AAD28" s="24"/>
      <c r="AAE28" s="24"/>
      <c r="AAF28" s="24"/>
      <c r="AAG28" s="24"/>
      <c r="AAH28" s="24"/>
      <c r="AAI28" s="24"/>
      <c r="AAJ28" s="24"/>
      <c r="AAK28" s="24"/>
      <c r="AAL28" s="24"/>
      <c r="AAM28" s="24"/>
      <c r="AAN28" s="24"/>
      <c r="AAO28" s="24"/>
      <c r="AAP28" s="24"/>
      <c r="AAQ28" s="24"/>
      <c r="AAR28" s="24"/>
      <c r="AAS28" s="24"/>
      <c r="AAT28" s="24"/>
      <c r="AAU28" s="24"/>
      <c r="AAV28" s="24"/>
      <c r="AAW28" s="24"/>
      <c r="AAX28" s="24"/>
      <c r="AAY28" s="24"/>
      <c r="AAZ28" s="24"/>
      <c r="ABA28" s="24"/>
      <c r="ABB28" s="24"/>
      <c r="ABC28" s="24"/>
      <c r="ABD28" s="24"/>
      <c r="ABE28" s="24"/>
      <c r="ABF28" s="24"/>
      <c r="ABG28" s="24"/>
      <c r="ABH28" s="24"/>
      <c r="ABI28" s="24"/>
      <c r="ABJ28" s="24"/>
      <c r="ABK28" s="24"/>
      <c r="ABL28" s="24"/>
      <c r="ABM28" s="24"/>
      <c r="ABN28" s="24"/>
      <c r="ABO28" s="24"/>
      <c r="ABP28" s="24"/>
      <c r="ABQ28" s="24"/>
      <c r="ABR28" s="24"/>
      <c r="ABS28" s="24"/>
      <c r="ABT28" s="24"/>
      <c r="ABU28" s="24"/>
      <c r="ABV28" s="24"/>
      <c r="ABW28" s="24"/>
      <c r="ABX28" s="24"/>
      <c r="ABY28" s="24"/>
      <c r="ABZ28" s="24"/>
      <c r="ACA28" s="24"/>
      <c r="ACB28" s="24"/>
      <c r="ACC28" s="24"/>
      <c r="ACD28" s="24"/>
      <c r="ACE28" s="24"/>
      <c r="ACF28" s="24"/>
      <c r="ACG28" s="24"/>
      <c r="ACH28" s="24"/>
      <c r="ACI28" s="24"/>
      <c r="ACJ28" s="24"/>
      <c r="ACK28" s="24"/>
      <c r="ACL28" s="24"/>
      <c r="ACM28" s="24"/>
      <c r="ACN28" s="24"/>
      <c r="ACO28" s="24"/>
      <c r="ACP28" s="24"/>
      <c r="ACQ28" s="24"/>
      <c r="ACR28" s="24"/>
      <c r="ACS28" s="24"/>
      <c r="ACT28" s="24"/>
      <c r="ACU28" s="24"/>
      <c r="ACV28" s="24"/>
      <c r="ACW28" s="24"/>
      <c r="ACX28" s="24"/>
      <c r="ACY28" s="24"/>
      <c r="ACZ28" s="24"/>
      <c r="ADA28" s="24"/>
      <c r="ADB28" s="24"/>
      <c r="ADC28" s="24"/>
      <c r="ADD28" s="24"/>
      <c r="ADE28" s="24"/>
      <c r="ADF28" s="24"/>
      <c r="ADG28" s="24"/>
      <c r="ADH28" s="24"/>
      <c r="ADI28" s="24"/>
      <c r="ADJ28" s="24"/>
      <c r="ADK28" s="24"/>
      <c r="ADL28" s="24"/>
      <c r="ADM28" s="24"/>
      <c r="ADN28" s="24"/>
      <c r="ADO28" s="24"/>
      <c r="ADP28" s="24"/>
      <c r="ADQ28" s="24"/>
      <c r="ADR28" s="24"/>
      <c r="ADS28" s="24"/>
      <c r="ADT28" s="24"/>
      <c r="ADU28" s="24"/>
      <c r="ADV28" s="24"/>
      <c r="ADW28" s="24"/>
      <c r="ADX28" s="24"/>
      <c r="ADY28" s="24"/>
      <c r="ADZ28" s="24"/>
      <c r="AEA28" s="24"/>
      <c r="AEB28" s="24"/>
      <c r="AEC28" s="24"/>
      <c r="AED28" s="24"/>
      <c r="AEE28" s="24"/>
      <c r="AEF28" s="24"/>
      <c r="AEG28" s="24"/>
      <c r="AEH28" s="24"/>
      <c r="AEI28" s="24"/>
      <c r="AEJ28" s="24"/>
      <c r="AEK28" s="24"/>
      <c r="AEL28" s="24"/>
      <c r="AEM28" s="24"/>
      <c r="AEN28" s="24"/>
      <c r="AEO28" s="24"/>
      <c r="AEP28" s="24"/>
      <c r="AEQ28" s="24"/>
      <c r="AER28" s="24"/>
      <c r="AES28" s="24"/>
      <c r="AET28" s="24"/>
      <c r="AEU28" s="24"/>
      <c r="AEV28" s="24"/>
      <c r="AEW28" s="24"/>
      <c r="AEX28" s="24"/>
      <c r="AEY28" s="24"/>
      <c r="AEZ28" s="24"/>
      <c r="AFA28" s="24"/>
      <c r="AFB28" s="24"/>
      <c r="AFC28" s="24"/>
      <c r="AFD28" s="24"/>
      <c r="AFE28" s="24"/>
      <c r="AFF28" s="24"/>
      <c r="AFG28" s="24"/>
      <c r="AFH28" s="24"/>
      <c r="AFI28" s="24"/>
      <c r="AFJ28" s="24"/>
      <c r="AFK28" s="24"/>
      <c r="AFL28" s="24"/>
      <c r="AFM28" s="24"/>
      <c r="AFN28" s="24"/>
      <c r="AFO28" s="24"/>
      <c r="AFP28" s="24"/>
      <c r="AFQ28" s="24"/>
      <c r="AFR28" s="24"/>
      <c r="AFS28" s="24"/>
      <c r="AFT28" s="24"/>
      <c r="AFU28" s="24"/>
      <c r="AFV28" s="24"/>
      <c r="AFW28" s="24"/>
      <c r="AFX28" s="24"/>
      <c r="AFY28" s="24"/>
      <c r="AFZ28" s="24"/>
      <c r="AGA28" s="24"/>
      <c r="AGB28" s="24"/>
      <c r="AGC28" s="24"/>
      <c r="AGD28" s="24"/>
      <c r="AGE28" s="24"/>
      <c r="AGF28" s="24"/>
      <c r="AGG28" s="24"/>
      <c r="AGH28" s="24"/>
      <c r="AGI28" s="24"/>
      <c r="AGJ28" s="24"/>
      <c r="AGK28" s="24"/>
      <c r="AGL28" s="24"/>
      <c r="AGM28" s="24"/>
      <c r="AGN28" s="24"/>
      <c r="AGO28" s="24"/>
      <c r="AGP28" s="24"/>
      <c r="AGQ28" s="24"/>
      <c r="AGR28" s="24"/>
      <c r="AGS28" s="24"/>
      <c r="AGT28" s="24"/>
      <c r="AGU28" s="24"/>
      <c r="AGV28" s="24"/>
      <c r="AGW28" s="24"/>
      <c r="AGX28" s="24"/>
      <c r="AGY28" s="24"/>
      <c r="AGZ28" s="24"/>
      <c r="AHA28" s="24"/>
      <c r="AHB28" s="24"/>
      <c r="AHC28" s="24"/>
      <c r="AHD28" s="24"/>
      <c r="AHE28" s="24"/>
      <c r="AHF28" s="24"/>
      <c r="AHG28" s="24"/>
      <c r="AHH28" s="24"/>
      <c r="AHI28" s="24"/>
      <c r="AHJ28" s="24"/>
      <c r="AHK28" s="24"/>
      <c r="AHL28" s="24"/>
      <c r="AHM28" s="24"/>
      <c r="AHN28" s="24"/>
      <c r="AHO28" s="24"/>
      <c r="AHP28" s="24"/>
      <c r="AHQ28" s="24"/>
      <c r="AHR28" s="24"/>
      <c r="AHS28" s="24"/>
      <c r="AHT28" s="24"/>
      <c r="AHU28" s="24"/>
      <c r="AHV28" s="24"/>
      <c r="AHW28" s="24"/>
      <c r="AHX28" s="24"/>
      <c r="AHY28" s="24"/>
      <c r="AHZ28" s="24"/>
      <c r="AIA28" s="24"/>
      <c r="AIB28" s="24"/>
      <c r="AIC28" s="24"/>
      <c r="AID28" s="24"/>
      <c r="AIE28" s="24"/>
      <c r="AIF28" s="24"/>
      <c r="AIG28" s="24"/>
      <c r="AIH28" s="24"/>
      <c r="AII28" s="24"/>
      <c r="AIJ28" s="24"/>
      <c r="AIK28" s="24"/>
      <c r="AIL28" s="24"/>
      <c r="AIM28" s="24"/>
      <c r="AIN28" s="24"/>
      <c r="AIO28" s="24"/>
      <c r="AIP28" s="24"/>
      <c r="AIQ28" s="24"/>
      <c r="AIR28" s="24"/>
      <c r="AIS28" s="24"/>
      <c r="AIT28" s="24"/>
      <c r="AIU28" s="24"/>
      <c r="AIV28" s="24"/>
      <c r="AIW28" s="24"/>
      <c r="AIX28" s="24"/>
      <c r="AIY28" s="24"/>
      <c r="AIZ28" s="24"/>
      <c r="AJA28" s="24"/>
      <c r="AJB28" s="24"/>
      <c r="AJC28" s="24"/>
      <c r="AJD28" s="24"/>
      <c r="AJE28" s="24"/>
      <c r="AJF28" s="24"/>
      <c r="AJG28" s="24"/>
      <c r="AJH28" s="24"/>
      <c r="AJI28" s="24"/>
      <c r="AJJ28" s="24"/>
      <c r="AJK28" s="24"/>
      <c r="AJL28" s="24"/>
      <c r="AJM28" s="24"/>
      <c r="AJN28" s="24"/>
      <c r="AJO28" s="24"/>
      <c r="AJP28" s="24"/>
      <c r="AJQ28" s="24"/>
      <c r="AJR28" s="24"/>
      <c r="AJS28" s="24"/>
      <c r="AJT28" s="24"/>
      <c r="AJU28" s="24"/>
      <c r="AJV28" s="24"/>
      <c r="AJW28" s="24"/>
      <c r="AJX28" s="24"/>
      <c r="AJY28" s="24"/>
      <c r="AJZ28" s="24"/>
      <c r="AKA28" s="24"/>
      <c r="AKB28" s="24"/>
      <c r="AKC28" s="24"/>
      <c r="AKD28" s="24"/>
      <c r="AKE28" s="24"/>
      <c r="AKF28" s="24"/>
      <c r="AKG28" s="24"/>
      <c r="AKH28" s="24"/>
      <c r="AKI28" s="24"/>
      <c r="AKJ28" s="24"/>
      <c r="AKK28" s="24"/>
      <c r="AKL28" s="24"/>
      <c r="AKM28" s="24"/>
      <c r="AKN28" s="24"/>
      <c r="AKO28" s="24"/>
      <c r="AKP28" s="24"/>
      <c r="AKQ28" s="24"/>
      <c r="AKR28" s="24"/>
      <c r="AKS28" s="24"/>
      <c r="AKT28" s="24"/>
      <c r="AKU28" s="24"/>
      <c r="AKV28" s="24"/>
      <c r="AKW28" s="24"/>
      <c r="AKX28" s="24"/>
      <c r="AKY28" s="24"/>
      <c r="AKZ28" s="24"/>
      <c r="ALA28" s="24"/>
      <c r="ALB28" s="24"/>
      <c r="ALC28" s="24"/>
      <c r="ALD28" s="24"/>
      <c r="ALE28" s="24"/>
      <c r="ALF28" s="24"/>
      <c r="ALG28" s="24"/>
      <c r="ALH28" s="24"/>
      <c r="ALI28" s="24"/>
      <c r="ALJ28" s="24"/>
      <c r="ALK28" s="24"/>
      <c r="ALL28" s="24"/>
      <c r="ALM28" s="24"/>
      <c r="ALN28" s="24"/>
      <c r="ALO28" s="24"/>
      <c r="ALP28" s="24"/>
      <c r="ALQ28" s="24"/>
      <c r="ALR28" s="24"/>
      <c r="ALS28" s="24"/>
      <c r="ALT28" s="24"/>
      <c r="ALU28" s="24"/>
      <c r="ALV28" s="24"/>
      <c r="ALW28" s="24"/>
      <c r="ALX28" s="24"/>
      <c r="ALY28" s="24"/>
      <c r="ALZ28" s="24"/>
      <c r="AMA28" s="24"/>
      <c r="AMB28" s="24"/>
      <c r="AMC28" s="24"/>
      <c r="AMD28" s="24"/>
      <c r="AME28" s="24"/>
      <c r="AMF28" s="24"/>
      <c r="AMG28" s="24"/>
      <c r="AMH28" s="24"/>
    </row>
    <row r="29" spans="1:1022" ht="76.5">
      <c r="A29" s="24"/>
      <c r="B29" s="502"/>
      <c r="C29" s="1134" t="s">
        <v>618</v>
      </c>
      <c r="D29" s="1136" t="s">
        <v>884</v>
      </c>
      <c r="E29" s="1139" t="s">
        <v>900</v>
      </c>
      <c r="F29" s="485"/>
      <c r="G29" s="608" t="s">
        <v>967</v>
      </c>
      <c r="H29" s="608" t="s">
        <v>974</v>
      </c>
      <c r="I29" s="608" t="s">
        <v>924</v>
      </c>
      <c r="J29" s="1126">
        <v>1</v>
      </c>
      <c r="K29" s="608" t="s">
        <v>493</v>
      </c>
      <c r="L29" s="609" t="s">
        <v>970</v>
      </c>
      <c r="M29" s="1126" t="s">
        <v>965</v>
      </c>
      <c r="N29" s="608" t="s">
        <v>976</v>
      </c>
      <c r="O29" s="1126" t="s">
        <v>954</v>
      </c>
      <c r="P29" s="1126" t="s">
        <v>960</v>
      </c>
      <c r="Q29" s="1126" t="s">
        <v>780</v>
      </c>
      <c r="R29" s="1126"/>
      <c r="S29" s="1126">
        <v>1</v>
      </c>
      <c r="T29" s="1126" t="s">
        <v>657</v>
      </c>
      <c r="U29" s="1129" t="s">
        <v>956</v>
      </c>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c r="IW29" s="24"/>
      <c r="IX29" s="24"/>
      <c r="IY29" s="24"/>
      <c r="IZ29" s="24"/>
      <c r="JA29" s="24"/>
      <c r="JB29" s="24"/>
      <c r="JC29" s="24"/>
      <c r="JD29" s="24"/>
      <c r="JE29" s="24"/>
      <c r="JF29" s="24"/>
      <c r="JG29" s="24"/>
      <c r="JH29" s="24"/>
      <c r="JI29" s="24"/>
      <c r="JJ29" s="24"/>
      <c r="JK29" s="24"/>
      <c r="JL29" s="24"/>
      <c r="JM29" s="24"/>
      <c r="JN29" s="24"/>
      <c r="JO29" s="24"/>
      <c r="JP29" s="24"/>
      <c r="JQ29" s="24"/>
      <c r="JR29" s="24"/>
      <c r="JS29" s="24"/>
      <c r="JT29" s="24"/>
      <c r="JU29" s="24"/>
      <c r="JV29" s="24"/>
      <c r="JW29" s="24"/>
      <c r="JX29" s="24"/>
      <c r="JY29" s="24"/>
      <c r="JZ29" s="24"/>
      <c r="KA29" s="24"/>
      <c r="KB29" s="24"/>
      <c r="KC29" s="24"/>
      <c r="KD29" s="24"/>
      <c r="KE29" s="24"/>
      <c r="KF29" s="24"/>
      <c r="KG29" s="24"/>
      <c r="KH29" s="24"/>
      <c r="KI29" s="24"/>
      <c r="KJ29" s="24"/>
      <c r="KK29" s="24"/>
      <c r="KL29" s="24"/>
      <c r="KM29" s="24"/>
      <c r="KN29" s="24"/>
      <c r="KO29" s="24"/>
      <c r="KP29" s="24"/>
      <c r="KQ29" s="24"/>
      <c r="KR29" s="24"/>
      <c r="KS29" s="24"/>
      <c r="KT29" s="24"/>
      <c r="KU29" s="24"/>
      <c r="KV29" s="24"/>
      <c r="KW29" s="24"/>
      <c r="KX29" s="24"/>
      <c r="KY29" s="24"/>
      <c r="KZ29" s="24"/>
      <c r="LA29" s="24"/>
      <c r="LB29" s="24"/>
      <c r="LC29" s="24"/>
      <c r="LD29" s="24"/>
      <c r="LE29" s="24"/>
      <c r="LF29" s="24"/>
      <c r="LG29" s="24"/>
      <c r="LH29" s="24"/>
      <c r="LI29" s="24"/>
      <c r="LJ29" s="24"/>
      <c r="LK29" s="24"/>
      <c r="LL29" s="24"/>
      <c r="LM29" s="24"/>
      <c r="LN29" s="24"/>
      <c r="LO29" s="24"/>
      <c r="LP29" s="24"/>
      <c r="LQ29" s="24"/>
      <c r="LR29" s="24"/>
      <c r="LS29" s="24"/>
      <c r="LT29" s="24"/>
      <c r="LU29" s="24"/>
      <c r="LV29" s="24"/>
      <c r="LW29" s="24"/>
      <c r="LX29" s="24"/>
      <c r="LY29" s="24"/>
      <c r="LZ29" s="24"/>
      <c r="MA29" s="24"/>
      <c r="MB29" s="24"/>
      <c r="MC29" s="24"/>
      <c r="MD29" s="24"/>
      <c r="ME29" s="24"/>
      <c r="MF29" s="24"/>
      <c r="MG29" s="24"/>
      <c r="MH29" s="24"/>
      <c r="MI29" s="24"/>
      <c r="MJ29" s="24"/>
      <c r="MK29" s="24"/>
      <c r="ML29" s="24"/>
      <c r="MM29" s="24"/>
      <c r="MN29" s="24"/>
      <c r="MO29" s="24"/>
      <c r="MP29" s="24"/>
      <c r="MQ29" s="24"/>
      <c r="MR29" s="24"/>
      <c r="MS29" s="24"/>
      <c r="MT29" s="24"/>
      <c r="MU29" s="24"/>
      <c r="MV29" s="24"/>
      <c r="MW29" s="24"/>
      <c r="MX29" s="24"/>
      <c r="MY29" s="24"/>
      <c r="MZ29" s="24"/>
      <c r="NA29" s="24"/>
      <c r="NB29" s="24"/>
      <c r="NC29" s="24"/>
      <c r="ND29" s="24"/>
      <c r="NE29" s="24"/>
      <c r="NF29" s="24"/>
      <c r="NG29" s="24"/>
      <c r="NH29" s="24"/>
      <c r="NI29" s="24"/>
      <c r="NJ29" s="24"/>
      <c r="NK29" s="24"/>
      <c r="NL29" s="24"/>
      <c r="NM29" s="24"/>
      <c r="NN29" s="24"/>
      <c r="NO29" s="24"/>
      <c r="NP29" s="24"/>
      <c r="NQ29" s="24"/>
      <c r="NR29" s="24"/>
      <c r="NS29" s="24"/>
      <c r="NT29" s="24"/>
      <c r="NU29" s="24"/>
      <c r="NV29" s="24"/>
      <c r="NW29" s="24"/>
      <c r="NX29" s="24"/>
      <c r="NY29" s="24"/>
      <c r="NZ29" s="24"/>
      <c r="OA29" s="24"/>
      <c r="OB29" s="24"/>
      <c r="OC29" s="24"/>
      <c r="OD29" s="24"/>
      <c r="OE29" s="24"/>
      <c r="OF29" s="24"/>
      <c r="OG29" s="24"/>
      <c r="OH29" s="24"/>
      <c r="OI29" s="24"/>
      <c r="OJ29" s="24"/>
      <c r="OK29" s="24"/>
      <c r="OL29" s="24"/>
      <c r="OM29" s="24"/>
      <c r="ON29" s="24"/>
      <c r="OO29" s="24"/>
      <c r="OP29" s="24"/>
      <c r="OQ29" s="24"/>
      <c r="OR29" s="24"/>
      <c r="OS29" s="24"/>
      <c r="OT29" s="24"/>
      <c r="OU29" s="24"/>
      <c r="OV29" s="24"/>
      <c r="OW29" s="24"/>
      <c r="OX29" s="24"/>
      <c r="OY29" s="24"/>
      <c r="OZ29" s="24"/>
      <c r="PA29" s="24"/>
      <c r="PB29" s="24"/>
      <c r="PC29" s="24"/>
      <c r="PD29" s="24"/>
      <c r="PE29" s="24"/>
      <c r="PF29" s="24"/>
      <c r="PG29" s="24"/>
      <c r="PH29" s="24"/>
      <c r="PI29" s="24"/>
      <c r="PJ29" s="24"/>
      <c r="PK29" s="24"/>
      <c r="PL29" s="24"/>
      <c r="PM29" s="24"/>
      <c r="PN29" s="24"/>
      <c r="PO29" s="24"/>
      <c r="PP29" s="24"/>
      <c r="PQ29" s="24"/>
      <c r="PR29" s="24"/>
      <c r="PS29" s="24"/>
      <c r="PT29" s="24"/>
      <c r="PU29" s="24"/>
      <c r="PV29" s="24"/>
      <c r="PW29" s="24"/>
      <c r="PX29" s="24"/>
      <c r="PY29" s="24"/>
      <c r="PZ29" s="24"/>
      <c r="QA29" s="24"/>
      <c r="QB29" s="24"/>
      <c r="QC29" s="24"/>
      <c r="QD29" s="24"/>
      <c r="QE29" s="24"/>
      <c r="QF29" s="24"/>
      <c r="QG29" s="24"/>
      <c r="QH29" s="24"/>
      <c r="QI29" s="24"/>
      <c r="QJ29" s="24"/>
      <c r="QK29" s="24"/>
      <c r="QL29" s="24"/>
      <c r="QM29" s="24"/>
      <c r="QN29" s="24"/>
      <c r="QO29" s="24"/>
      <c r="QP29" s="24"/>
      <c r="QQ29" s="24"/>
      <c r="QR29" s="24"/>
      <c r="QS29" s="24"/>
      <c r="QT29" s="24"/>
      <c r="QU29" s="24"/>
      <c r="QV29" s="24"/>
      <c r="QW29" s="24"/>
      <c r="QX29" s="24"/>
      <c r="QY29" s="24"/>
      <c r="QZ29" s="24"/>
      <c r="RA29" s="24"/>
      <c r="RB29" s="24"/>
      <c r="RC29" s="24"/>
      <c r="RD29" s="24"/>
      <c r="RE29" s="24"/>
      <c r="RF29" s="24"/>
      <c r="RG29" s="24"/>
      <c r="RH29" s="24"/>
      <c r="RI29" s="24"/>
      <c r="RJ29" s="24"/>
      <c r="RK29" s="24"/>
      <c r="RL29" s="24"/>
      <c r="RM29" s="24"/>
      <c r="RN29" s="24"/>
      <c r="RO29" s="24"/>
      <c r="RP29" s="24"/>
      <c r="RQ29" s="24"/>
      <c r="RR29" s="24"/>
      <c r="RS29" s="24"/>
      <c r="RT29" s="24"/>
      <c r="RU29" s="24"/>
      <c r="RV29" s="24"/>
      <c r="RW29" s="24"/>
      <c r="RX29" s="24"/>
      <c r="RY29" s="24"/>
      <c r="RZ29" s="24"/>
      <c r="SA29" s="24"/>
      <c r="SB29" s="24"/>
      <c r="SC29" s="24"/>
      <c r="SD29" s="24"/>
      <c r="SE29" s="24"/>
      <c r="SF29" s="24"/>
      <c r="SG29" s="24"/>
      <c r="SH29" s="24"/>
      <c r="SI29" s="24"/>
      <c r="SJ29" s="24"/>
      <c r="SK29" s="24"/>
      <c r="SL29" s="24"/>
      <c r="SM29" s="24"/>
      <c r="SN29" s="24"/>
      <c r="SO29" s="24"/>
      <c r="SP29" s="24"/>
      <c r="SQ29" s="24"/>
      <c r="SR29" s="24"/>
      <c r="SS29" s="24"/>
      <c r="ST29" s="24"/>
      <c r="SU29" s="24"/>
      <c r="SV29" s="24"/>
      <c r="SW29" s="24"/>
      <c r="SX29" s="24"/>
      <c r="SY29" s="24"/>
      <c r="SZ29" s="24"/>
      <c r="TA29" s="24"/>
      <c r="TB29" s="24"/>
      <c r="TC29" s="24"/>
      <c r="TD29" s="24"/>
      <c r="TE29" s="24"/>
      <c r="TF29" s="24"/>
      <c r="TG29" s="24"/>
      <c r="TH29" s="24"/>
      <c r="TI29" s="24"/>
      <c r="TJ29" s="24"/>
      <c r="TK29" s="24"/>
      <c r="TL29" s="24"/>
      <c r="TM29" s="24"/>
      <c r="TN29" s="24"/>
      <c r="TO29" s="24"/>
      <c r="TP29" s="24"/>
      <c r="TQ29" s="24"/>
      <c r="TR29" s="24"/>
      <c r="TS29" s="24"/>
      <c r="TT29" s="24"/>
      <c r="TU29" s="24"/>
      <c r="TV29" s="24"/>
      <c r="TW29" s="24"/>
      <c r="TX29" s="24"/>
      <c r="TY29" s="24"/>
      <c r="TZ29" s="24"/>
      <c r="UA29" s="24"/>
      <c r="UB29" s="24"/>
      <c r="UC29" s="24"/>
      <c r="UD29" s="24"/>
      <c r="UE29" s="24"/>
      <c r="UF29" s="24"/>
      <c r="UG29" s="24"/>
      <c r="UH29" s="24"/>
      <c r="UI29" s="24"/>
      <c r="UJ29" s="24"/>
      <c r="UK29" s="24"/>
      <c r="UL29" s="24"/>
      <c r="UM29" s="24"/>
      <c r="UN29" s="24"/>
      <c r="UO29" s="24"/>
      <c r="UP29" s="24"/>
      <c r="UQ29" s="24"/>
      <c r="UR29" s="24"/>
      <c r="US29" s="24"/>
      <c r="UT29" s="24"/>
      <c r="UU29" s="24"/>
      <c r="UV29" s="24"/>
      <c r="UW29" s="24"/>
      <c r="UX29" s="24"/>
      <c r="UY29" s="24"/>
      <c r="UZ29" s="24"/>
      <c r="VA29" s="24"/>
      <c r="VB29" s="24"/>
      <c r="VC29" s="24"/>
      <c r="VD29" s="24"/>
      <c r="VE29" s="24"/>
      <c r="VF29" s="24"/>
      <c r="VG29" s="24"/>
      <c r="VH29" s="24"/>
      <c r="VI29" s="24"/>
      <c r="VJ29" s="24"/>
      <c r="VK29" s="24"/>
      <c r="VL29" s="24"/>
      <c r="VM29" s="24"/>
      <c r="VN29" s="24"/>
      <c r="VO29" s="24"/>
      <c r="VP29" s="24"/>
      <c r="VQ29" s="24"/>
      <c r="VR29" s="24"/>
      <c r="VS29" s="24"/>
      <c r="VT29" s="24"/>
      <c r="VU29" s="24"/>
      <c r="VV29" s="24"/>
      <c r="VW29" s="24"/>
      <c r="VX29" s="24"/>
      <c r="VY29" s="24"/>
      <c r="VZ29" s="24"/>
      <c r="WA29" s="24"/>
      <c r="WB29" s="24"/>
      <c r="WC29" s="24"/>
      <c r="WD29" s="24"/>
      <c r="WE29" s="24"/>
      <c r="WF29" s="24"/>
      <c r="WG29" s="24"/>
      <c r="WH29" s="24"/>
      <c r="WI29" s="24"/>
      <c r="WJ29" s="24"/>
      <c r="WK29" s="24"/>
      <c r="WL29" s="24"/>
      <c r="WM29" s="24"/>
      <c r="WN29" s="24"/>
      <c r="WO29" s="24"/>
      <c r="WP29" s="24"/>
      <c r="WQ29" s="24"/>
      <c r="WR29" s="24"/>
      <c r="WS29" s="24"/>
      <c r="WT29" s="24"/>
      <c r="WU29" s="24"/>
      <c r="WV29" s="24"/>
      <c r="WW29" s="24"/>
      <c r="WX29" s="24"/>
      <c r="WY29" s="24"/>
      <c r="WZ29" s="24"/>
      <c r="XA29" s="24"/>
      <c r="XB29" s="24"/>
      <c r="XC29" s="24"/>
      <c r="XD29" s="24"/>
      <c r="XE29" s="24"/>
      <c r="XF29" s="24"/>
      <c r="XG29" s="24"/>
      <c r="XH29" s="24"/>
      <c r="XI29" s="24"/>
      <c r="XJ29" s="24"/>
      <c r="XK29" s="24"/>
      <c r="XL29" s="24"/>
      <c r="XM29" s="24"/>
      <c r="XN29" s="24"/>
      <c r="XO29" s="24"/>
      <c r="XP29" s="24"/>
      <c r="XQ29" s="24"/>
      <c r="XR29" s="24"/>
      <c r="XS29" s="24"/>
      <c r="XT29" s="24"/>
      <c r="XU29" s="24"/>
      <c r="XV29" s="24"/>
      <c r="XW29" s="24"/>
      <c r="XX29" s="24"/>
      <c r="XY29" s="24"/>
      <c r="XZ29" s="24"/>
      <c r="YA29" s="24"/>
      <c r="YB29" s="24"/>
      <c r="YC29" s="24"/>
      <c r="YD29" s="24"/>
      <c r="YE29" s="24"/>
      <c r="YF29" s="24"/>
      <c r="YG29" s="24"/>
      <c r="YH29" s="24"/>
      <c r="YI29" s="24"/>
      <c r="YJ29" s="24"/>
      <c r="YK29" s="24"/>
      <c r="YL29" s="24"/>
      <c r="YM29" s="24"/>
      <c r="YN29" s="24"/>
      <c r="YO29" s="24"/>
      <c r="YP29" s="24"/>
      <c r="YQ29" s="24"/>
      <c r="YR29" s="24"/>
      <c r="YS29" s="24"/>
      <c r="YT29" s="24"/>
      <c r="YU29" s="24"/>
      <c r="YV29" s="24"/>
      <c r="YW29" s="24"/>
      <c r="YX29" s="24"/>
      <c r="YY29" s="24"/>
      <c r="YZ29" s="24"/>
      <c r="ZA29" s="24"/>
      <c r="ZB29" s="24"/>
      <c r="ZC29" s="24"/>
      <c r="ZD29" s="24"/>
      <c r="ZE29" s="24"/>
      <c r="ZF29" s="24"/>
      <c r="ZG29" s="24"/>
      <c r="ZH29" s="24"/>
      <c r="ZI29" s="24"/>
      <c r="ZJ29" s="24"/>
      <c r="ZK29" s="24"/>
      <c r="ZL29" s="24"/>
      <c r="ZM29" s="24"/>
      <c r="ZN29" s="24"/>
      <c r="ZO29" s="24"/>
      <c r="ZP29" s="24"/>
      <c r="ZQ29" s="24"/>
      <c r="ZR29" s="24"/>
      <c r="ZS29" s="24"/>
      <c r="ZT29" s="24"/>
      <c r="ZU29" s="24"/>
      <c r="ZV29" s="24"/>
      <c r="ZW29" s="24"/>
      <c r="ZX29" s="24"/>
      <c r="ZY29" s="24"/>
      <c r="ZZ29" s="24"/>
      <c r="AAA29" s="24"/>
      <c r="AAB29" s="24"/>
      <c r="AAC29" s="24"/>
      <c r="AAD29" s="24"/>
      <c r="AAE29" s="24"/>
      <c r="AAF29" s="24"/>
      <c r="AAG29" s="24"/>
      <c r="AAH29" s="24"/>
      <c r="AAI29" s="24"/>
      <c r="AAJ29" s="24"/>
      <c r="AAK29" s="24"/>
      <c r="AAL29" s="24"/>
      <c r="AAM29" s="24"/>
      <c r="AAN29" s="24"/>
      <c r="AAO29" s="24"/>
      <c r="AAP29" s="24"/>
      <c r="AAQ29" s="24"/>
      <c r="AAR29" s="24"/>
      <c r="AAS29" s="24"/>
      <c r="AAT29" s="24"/>
      <c r="AAU29" s="24"/>
      <c r="AAV29" s="24"/>
      <c r="AAW29" s="24"/>
      <c r="AAX29" s="24"/>
      <c r="AAY29" s="24"/>
      <c r="AAZ29" s="24"/>
      <c r="ABA29" s="24"/>
      <c r="ABB29" s="24"/>
      <c r="ABC29" s="24"/>
      <c r="ABD29" s="24"/>
      <c r="ABE29" s="24"/>
      <c r="ABF29" s="24"/>
      <c r="ABG29" s="24"/>
      <c r="ABH29" s="24"/>
      <c r="ABI29" s="24"/>
      <c r="ABJ29" s="24"/>
      <c r="ABK29" s="24"/>
      <c r="ABL29" s="24"/>
      <c r="ABM29" s="24"/>
      <c r="ABN29" s="24"/>
      <c r="ABO29" s="24"/>
      <c r="ABP29" s="24"/>
      <c r="ABQ29" s="24"/>
      <c r="ABR29" s="24"/>
      <c r="ABS29" s="24"/>
      <c r="ABT29" s="24"/>
      <c r="ABU29" s="24"/>
      <c r="ABV29" s="24"/>
      <c r="ABW29" s="24"/>
      <c r="ABX29" s="24"/>
      <c r="ABY29" s="24"/>
      <c r="ABZ29" s="24"/>
      <c r="ACA29" s="24"/>
      <c r="ACB29" s="24"/>
      <c r="ACC29" s="24"/>
      <c r="ACD29" s="24"/>
      <c r="ACE29" s="24"/>
      <c r="ACF29" s="24"/>
      <c r="ACG29" s="24"/>
      <c r="ACH29" s="24"/>
      <c r="ACI29" s="24"/>
      <c r="ACJ29" s="24"/>
      <c r="ACK29" s="24"/>
      <c r="ACL29" s="24"/>
      <c r="ACM29" s="24"/>
      <c r="ACN29" s="24"/>
      <c r="ACO29" s="24"/>
      <c r="ACP29" s="24"/>
      <c r="ACQ29" s="24"/>
      <c r="ACR29" s="24"/>
      <c r="ACS29" s="24"/>
      <c r="ACT29" s="24"/>
      <c r="ACU29" s="24"/>
      <c r="ACV29" s="24"/>
      <c r="ACW29" s="24"/>
      <c r="ACX29" s="24"/>
      <c r="ACY29" s="24"/>
      <c r="ACZ29" s="24"/>
      <c r="ADA29" s="24"/>
      <c r="ADB29" s="24"/>
      <c r="ADC29" s="24"/>
      <c r="ADD29" s="24"/>
      <c r="ADE29" s="24"/>
      <c r="ADF29" s="24"/>
      <c r="ADG29" s="24"/>
      <c r="ADH29" s="24"/>
      <c r="ADI29" s="24"/>
      <c r="ADJ29" s="24"/>
      <c r="ADK29" s="24"/>
      <c r="ADL29" s="24"/>
      <c r="ADM29" s="24"/>
      <c r="ADN29" s="24"/>
      <c r="ADO29" s="24"/>
      <c r="ADP29" s="24"/>
      <c r="ADQ29" s="24"/>
      <c r="ADR29" s="24"/>
      <c r="ADS29" s="24"/>
      <c r="ADT29" s="24"/>
      <c r="ADU29" s="24"/>
      <c r="ADV29" s="24"/>
      <c r="ADW29" s="24"/>
      <c r="ADX29" s="24"/>
      <c r="ADY29" s="24"/>
      <c r="ADZ29" s="24"/>
      <c r="AEA29" s="24"/>
      <c r="AEB29" s="24"/>
      <c r="AEC29" s="24"/>
      <c r="AED29" s="24"/>
      <c r="AEE29" s="24"/>
      <c r="AEF29" s="24"/>
      <c r="AEG29" s="24"/>
      <c r="AEH29" s="24"/>
      <c r="AEI29" s="24"/>
      <c r="AEJ29" s="24"/>
      <c r="AEK29" s="24"/>
      <c r="AEL29" s="24"/>
      <c r="AEM29" s="24"/>
      <c r="AEN29" s="24"/>
      <c r="AEO29" s="24"/>
      <c r="AEP29" s="24"/>
      <c r="AEQ29" s="24"/>
      <c r="AER29" s="24"/>
      <c r="AES29" s="24"/>
      <c r="AET29" s="24"/>
      <c r="AEU29" s="24"/>
      <c r="AEV29" s="24"/>
      <c r="AEW29" s="24"/>
      <c r="AEX29" s="24"/>
      <c r="AEY29" s="24"/>
      <c r="AEZ29" s="24"/>
      <c r="AFA29" s="24"/>
      <c r="AFB29" s="24"/>
      <c r="AFC29" s="24"/>
      <c r="AFD29" s="24"/>
      <c r="AFE29" s="24"/>
      <c r="AFF29" s="24"/>
      <c r="AFG29" s="24"/>
      <c r="AFH29" s="24"/>
      <c r="AFI29" s="24"/>
      <c r="AFJ29" s="24"/>
      <c r="AFK29" s="24"/>
      <c r="AFL29" s="24"/>
      <c r="AFM29" s="24"/>
      <c r="AFN29" s="24"/>
      <c r="AFO29" s="24"/>
      <c r="AFP29" s="24"/>
      <c r="AFQ29" s="24"/>
      <c r="AFR29" s="24"/>
      <c r="AFS29" s="24"/>
      <c r="AFT29" s="24"/>
      <c r="AFU29" s="24"/>
      <c r="AFV29" s="24"/>
      <c r="AFW29" s="24"/>
      <c r="AFX29" s="24"/>
      <c r="AFY29" s="24"/>
      <c r="AFZ29" s="24"/>
      <c r="AGA29" s="24"/>
      <c r="AGB29" s="24"/>
      <c r="AGC29" s="24"/>
      <c r="AGD29" s="24"/>
      <c r="AGE29" s="24"/>
      <c r="AGF29" s="24"/>
      <c r="AGG29" s="24"/>
      <c r="AGH29" s="24"/>
      <c r="AGI29" s="24"/>
      <c r="AGJ29" s="24"/>
      <c r="AGK29" s="24"/>
      <c r="AGL29" s="24"/>
      <c r="AGM29" s="24"/>
      <c r="AGN29" s="24"/>
      <c r="AGO29" s="24"/>
      <c r="AGP29" s="24"/>
      <c r="AGQ29" s="24"/>
      <c r="AGR29" s="24"/>
      <c r="AGS29" s="24"/>
      <c r="AGT29" s="24"/>
      <c r="AGU29" s="24"/>
      <c r="AGV29" s="24"/>
      <c r="AGW29" s="24"/>
      <c r="AGX29" s="24"/>
      <c r="AGY29" s="24"/>
      <c r="AGZ29" s="24"/>
      <c r="AHA29" s="24"/>
      <c r="AHB29" s="24"/>
      <c r="AHC29" s="24"/>
      <c r="AHD29" s="24"/>
      <c r="AHE29" s="24"/>
      <c r="AHF29" s="24"/>
      <c r="AHG29" s="24"/>
      <c r="AHH29" s="24"/>
      <c r="AHI29" s="24"/>
      <c r="AHJ29" s="24"/>
      <c r="AHK29" s="24"/>
      <c r="AHL29" s="24"/>
      <c r="AHM29" s="24"/>
      <c r="AHN29" s="24"/>
      <c r="AHO29" s="24"/>
      <c r="AHP29" s="24"/>
      <c r="AHQ29" s="24"/>
      <c r="AHR29" s="24"/>
      <c r="AHS29" s="24"/>
      <c r="AHT29" s="24"/>
      <c r="AHU29" s="24"/>
      <c r="AHV29" s="24"/>
      <c r="AHW29" s="24"/>
      <c r="AHX29" s="24"/>
      <c r="AHY29" s="24"/>
      <c r="AHZ29" s="24"/>
      <c r="AIA29" s="24"/>
      <c r="AIB29" s="24"/>
      <c r="AIC29" s="24"/>
      <c r="AID29" s="24"/>
      <c r="AIE29" s="24"/>
      <c r="AIF29" s="24"/>
      <c r="AIG29" s="24"/>
      <c r="AIH29" s="24"/>
      <c r="AII29" s="24"/>
      <c r="AIJ29" s="24"/>
      <c r="AIK29" s="24"/>
      <c r="AIL29" s="24"/>
      <c r="AIM29" s="24"/>
      <c r="AIN29" s="24"/>
      <c r="AIO29" s="24"/>
      <c r="AIP29" s="24"/>
      <c r="AIQ29" s="24"/>
      <c r="AIR29" s="24"/>
      <c r="AIS29" s="24"/>
      <c r="AIT29" s="24"/>
      <c r="AIU29" s="24"/>
      <c r="AIV29" s="24"/>
      <c r="AIW29" s="24"/>
      <c r="AIX29" s="24"/>
      <c r="AIY29" s="24"/>
      <c r="AIZ29" s="24"/>
      <c r="AJA29" s="24"/>
      <c r="AJB29" s="24"/>
      <c r="AJC29" s="24"/>
      <c r="AJD29" s="24"/>
      <c r="AJE29" s="24"/>
      <c r="AJF29" s="24"/>
      <c r="AJG29" s="24"/>
      <c r="AJH29" s="24"/>
      <c r="AJI29" s="24"/>
      <c r="AJJ29" s="24"/>
      <c r="AJK29" s="24"/>
      <c r="AJL29" s="24"/>
      <c r="AJM29" s="24"/>
      <c r="AJN29" s="24"/>
      <c r="AJO29" s="24"/>
      <c r="AJP29" s="24"/>
      <c r="AJQ29" s="24"/>
      <c r="AJR29" s="24"/>
      <c r="AJS29" s="24"/>
      <c r="AJT29" s="24"/>
      <c r="AJU29" s="24"/>
      <c r="AJV29" s="24"/>
      <c r="AJW29" s="24"/>
      <c r="AJX29" s="24"/>
      <c r="AJY29" s="24"/>
      <c r="AJZ29" s="24"/>
      <c r="AKA29" s="24"/>
      <c r="AKB29" s="24"/>
      <c r="AKC29" s="24"/>
      <c r="AKD29" s="24"/>
      <c r="AKE29" s="24"/>
      <c r="AKF29" s="24"/>
      <c r="AKG29" s="24"/>
      <c r="AKH29" s="24"/>
      <c r="AKI29" s="24"/>
      <c r="AKJ29" s="24"/>
      <c r="AKK29" s="24"/>
      <c r="AKL29" s="24"/>
      <c r="AKM29" s="24"/>
      <c r="AKN29" s="24"/>
      <c r="AKO29" s="24"/>
      <c r="AKP29" s="24"/>
      <c r="AKQ29" s="24"/>
      <c r="AKR29" s="24"/>
      <c r="AKS29" s="24"/>
      <c r="AKT29" s="24"/>
      <c r="AKU29" s="24"/>
      <c r="AKV29" s="24"/>
      <c r="AKW29" s="24"/>
      <c r="AKX29" s="24"/>
      <c r="AKY29" s="24"/>
      <c r="AKZ29" s="24"/>
      <c r="ALA29" s="24"/>
      <c r="ALB29" s="24"/>
      <c r="ALC29" s="24"/>
      <c r="ALD29" s="24"/>
      <c r="ALE29" s="24"/>
      <c r="ALF29" s="24"/>
      <c r="ALG29" s="24"/>
      <c r="ALH29" s="24"/>
      <c r="ALI29" s="24"/>
      <c r="ALJ29" s="24"/>
      <c r="ALK29" s="24"/>
      <c r="ALL29" s="24"/>
      <c r="ALM29" s="24"/>
      <c r="ALN29" s="24"/>
      <c r="ALO29" s="24"/>
      <c r="ALP29" s="24"/>
      <c r="ALQ29" s="24"/>
      <c r="ALR29" s="24"/>
      <c r="ALS29" s="24"/>
      <c r="ALT29" s="24"/>
      <c r="ALU29" s="24"/>
      <c r="ALV29" s="24"/>
      <c r="ALW29" s="24"/>
      <c r="ALX29" s="24"/>
      <c r="ALY29" s="24"/>
      <c r="ALZ29" s="24"/>
      <c r="AMA29" s="24"/>
      <c r="AMB29" s="24"/>
      <c r="AMC29" s="24"/>
      <c r="AMD29" s="24"/>
      <c r="AME29" s="24"/>
      <c r="AMF29" s="24"/>
      <c r="AMG29" s="24"/>
      <c r="AMH29" s="24"/>
    </row>
    <row r="30" spans="1:1022" ht="63.75">
      <c r="A30" s="24"/>
      <c r="B30" s="502"/>
      <c r="C30" s="1135"/>
      <c r="D30" s="1137"/>
      <c r="E30" s="1140"/>
      <c r="F30" s="485"/>
      <c r="G30" s="609" t="s">
        <v>968</v>
      </c>
      <c r="H30" s="609" t="s">
        <v>1011</v>
      </c>
      <c r="I30" s="608" t="s">
        <v>925</v>
      </c>
      <c r="J30" s="1127"/>
      <c r="K30" s="1126" t="s">
        <v>568</v>
      </c>
      <c r="L30" s="1147" t="s">
        <v>971</v>
      </c>
      <c r="M30" s="1127"/>
      <c r="N30" s="1126" t="s">
        <v>976</v>
      </c>
      <c r="O30" s="1127"/>
      <c r="P30" s="1127"/>
      <c r="Q30" s="1127"/>
      <c r="R30" s="1127"/>
      <c r="S30" s="1127"/>
      <c r="T30" s="1127"/>
      <c r="U30" s="1130"/>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c r="IY30" s="24"/>
      <c r="IZ30" s="24"/>
      <c r="JA30" s="24"/>
      <c r="JB30" s="24"/>
      <c r="JC30" s="24"/>
      <c r="JD30" s="24"/>
      <c r="JE30" s="24"/>
      <c r="JF30" s="24"/>
      <c r="JG30" s="24"/>
      <c r="JH30" s="24"/>
      <c r="JI30" s="24"/>
      <c r="JJ30" s="24"/>
      <c r="JK30" s="24"/>
      <c r="JL30" s="24"/>
      <c r="JM30" s="24"/>
      <c r="JN30" s="24"/>
      <c r="JO30" s="24"/>
      <c r="JP30" s="24"/>
      <c r="JQ30" s="24"/>
      <c r="JR30" s="24"/>
      <c r="JS30" s="24"/>
      <c r="JT30" s="24"/>
      <c r="JU30" s="24"/>
      <c r="JV30" s="24"/>
      <c r="JW30" s="24"/>
      <c r="JX30" s="24"/>
      <c r="JY30" s="24"/>
      <c r="JZ30" s="24"/>
      <c r="KA30" s="24"/>
      <c r="KB30" s="24"/>
      <c r="KC30" s="24"/>
      <c r="KD30" s="24"/>
      <c r="KE30" s="24"/>
      <c r="KF30" s="24"/>
      <c r="KG30" s="24"/>
      <c r="KH30" s="24"/>
      <c r="KI30" s="24"/>
      <c r="KJ30" s="24"/>
      <c r="KK30" s="24"/>
      <c r="KL30" s="24"/>
      <c r="KM30" s="24"/>
      <c r="KN30" s="24"/>
      <c r="KO30" s="24"/>
      <c r="KP30" s="24"/>
      <c r="KQ30" s="24"/>
      <c r="KR30" s="24"/>
      <c r="KS30" s="24"/>
      <c r="KT30" s="24"/>
      <c r="KU30" s="24"/>
      <c r="KV30" s="24"/>
      <c r="KW30" s="24"/>
      <c r="KX30" s="24"/>
      <c r="KY30" s="24"/>
      <c r="KZ30" s="24"/>
      <c r="LA30" s="24"/>
      <c r="LB30" s="24"/>
      <c r="LC30" s="24"/>
      <c r="LD30" s="24"/>
      <c r="LE30" s="24"/>
      <c r="LF30" s="24"/>
      <c r="LG30" s="24"/>
      <c r="LH30" s="24"/>
      <c r="LI30" s="24"/>
      <c r="LJ30" s="24"/>
      <c r="LK30" s="24"/>
      <c r="LL30" s="24"/>
      <c r="LM30" s="24"/>
      <c r="LN30" s="24"/>
      <c r="LO30" s="24"/>
      <c r="LP30" s="24"/>
      <c r="LQ30" s="24"/>
      <c r="LR30" s="24"/>
      <c r="LS30" s="24"/>
      <c r="LT30" s="24"/>
      <c r="LU30" s="24"/>
      <c r="LV30" s="24"/>
      <c r="LW30" s="24"/>
      <c r="LX30" s="24"/>
      <c r="LY30" s="24"/>
      <c r="LZ30" s="24"/>
      <c r="MA30" s="24"/>
      <c r="MB30" s="24"/>
      <c r="MC30" s="24"/>
      <c r="MD30" s="24"/>
      <c r="ME30" s="24"/>
      <c r="MF30" s="24"/>
      <c r="MG30" s="24"/>
      <c r="MH30" s="24"/>
      <c r="MI30" s="24"/>
      <c r="MJ30" s="24"/>
      <c r="MK30" s="24"/>
      <c r="ML30" s="24"/>
      <c r="MM30" s="24"/>
      <c r="MN30" s="24"/>
      <c r="MO30" s="24"/>
      <c r="MP30" s="24"/>
      <c r="MQ30" s="24"/>
      <c r="MR30" s="24"/>
      <c r="MS30" s="24"/>
      <c r="MT30" s="24"/>
      <c r="MU30" s="24"/>
      <c r="MV30" s="24"/>
      <c r="MW30" s="24"/>
      <c r="MX30" s="24"/>
      <c r="MY30" s="24"/>
      <c r="MZ30" s="24"/>
      <c r="NA30" s="24"/>
      <c r="NB30" s="24"/>
      <c r="NC30" s="24"/>
      <c r="ND30" s="24"/>
      <c r="NE30" s="24"/>
      <c r="NF30" s="24"/>
      <c r="NG30" s="24"/>
      <c r="NH30" s="24"/>
      <c r="NI30" s="24"/>
      <c r="NJ30" s="24"/>
      <c r="NK30" s="24"/>
      <c r="NL30" s="24"/>
      <c r="NM30" s="24"/>
      <c r="NN30" s="24"/>
      <c r="NO30" s="24"/>
      <c r="NP30" s="24"/>
      <c r="NQ30" s="24"/>
      <c r="NR30" s="24"/>
      <c r="NS30" s="24"/>
      <c r="NT30" s="24"/>
      <c r="NU30" s="24"/>
      <c r="NV30" s="24"/>
      <c r="NW30" s="24"/>
      <c r="NX30" s="24"/>
      <c r="NY30" s="24"/>
      <c r="NZ30" s="24"/>
      <c r="OA30" s="24"/>
      <c r="OB30" s="24"/>
      <c r="OC30" s="24"/>
      <c r="OD30" s="24"/>
      <c r="OE30" s="24"/>
      <c r="OF30" s="24"/>
      <c r="OG30" s="24"/>
      <c r="OH30" s="24"/>
      <c r="OI30" s="24"/>
      <c r="OJ30" s="24"/>
      <c r="OK30" s="24"/>
      <c r="OL30" s="24"/>
      <c r="OM30" s="24"/>
      <c r="ON30" s="24"/>
      <c r="OO30" s="24"/>
      <c r="OP30" s="24"/>
      <c r="OQ30" s="24"/>
      <c r="OR30" s="24"/>
      <c r="OS30" s="24"/>
      <c r="OT30" s="24"/>
      <c r="OU30" s="24"/>
      <c r="OV30" s="24"/>
      <c r="OW30" s="24"/>
      <c r="OX30" s="24"/>
      <c r="OY30" s="24"/>
      <c r="OZ30" s="24"/>
      <c r="PA30" s="24"/>
      <c r="PB30" s="24"/>
      <c r="PC30" s="24"/>
      <c r="PD30" s="24"/>
      <c r="PE30" s="24"/>
      <c r="PF30" s="24"/>
      <c r="PG30" s="24"/>
      <c r="PH30" s="24"/>
      <c r="PI30" s="24"/>
      <c r="PJ30" s="24"/>
      <c r="PK30" s="24"/>
      <c r="PL30" s="24"/>
      <c r="PM30" s="24"/>
      <c r="PN30" s="24"/>
      <c r="PO30" s="24"/>
      <c r="PP30" s="24"/>
      <c r="PQ30" s="24"/>
      <c r="PR30" s="24"/>
      <c r="PS30" s="24"/>
      <c r="PT30" s="24"/>
      <c r="PU30" s="24"/>
      <c r="PV30" s="24"/>
      <c r="PW30" s="24"/>
      <c r="PX30" s="24"/>
      <c r="PY30" s="24"/>
      <c r="PZ30" s="24"/>
      <c r="QA30" s="24"/>
      <c r="QB30" s="24"/>
      <c r="QC30" s="24"/>
      <c r="QD30" s="24"/>
      <c r="QE30" s="24"/>
      <c r="QF30" s="24"/>
      <c r="QG30" s="24"/>
      <c r="QH30" s="24"/>
      <c r="QI30" s="24"/>
      <c r="QJ30" s="24"/>
      <c r="QK30" s="24"/>
      <c r="QL30" s="24"/>
      <c r="QM30" s="24"/>
      <c r="QN30" s="24"/>
      <c r="QO30" s="24"/>
      <c r="QP30" s="24"/>
      <c r="QQ30" s="24"/>
      <c r="QR30" s="24"/>
      <c r="QS30" s="24"/>
      <c r="QT30" s="24"/>
      <c r="QU30" s="24"/>
      <c r="QV30" s="24"/>
      <c r="QW30" s="24"/>
      <c r="QX30" s="24"/>
      <c r="QY30" s="24"/>
      <c r="QZ30" s="24"/>
      <c r="RA30" s="24"/>
      <c r="RB30" s="24"/>
      <c r="RC30" s="24"/>
      <c r="RD30" s="24"/>
      <c r="RE30" s="24"/>
      <c r="RF30" s="24"/>
      <c r="RG30" s="24"/>
      <c r="RH30" s="24"/>
      <c r="RI30" s="24"/>
      <c r="RJ30" s="24"/>
      <c r="RK30" s="24"/>
      <c r="RL30" s="24"/>
      <c r="RM30" s="24"/>
      <c r="RN30" s="24"/>
      <c r="RO30" s="24"/>
      <c r="RP30" s="24"/>
      <c r="RQ30" s="24"/>
      <c r="RR30" s="24"/>
      <c r="RS30" s="24"/>
      <c r="RT30" s="24"/>
      <c r="RU30" s="24"/>
      <c r="RV30" s="24"/>
      <c r="RW30" s="24"/>
      <c r="RX30" s="24"/>
      <c r="RY30" s="24"/>
      <c r="RZ30" s="24"/>
      <c r="SA30" s="24"/>
      <c r="SB30" s="24"/>
      <c r="SC30" s="24"/>
      <c r="SD30" s="24"/>
      <c r="SE30" s="24"/>
      <c r="SF30" s="24"/>
      <c r="SG30" s="24"/>
      <c r="SH30" s="24"/>
      <c r="SI30" s="24"/>
      <c r="SJ30" s="24"/>
      <c r="SK30" s="24"/>
      <c r="SL30" s="24"/>
      <c r="SM30" s="24"/>
      <c r="SN30" s="24"/>
      <c r="SO30" s="24"/>
      <c r="SP30" s="24"/>
      <c r="SQ30" s="24"/>
      <c r="SR30" s="24"/>
      <c r="SS30" s="24"/>
      <c r="ST30" s="24"/>
      <c r="SU30" s="24"/>
      <c r="SV30" s="24"/>
      <c r="SW30" s="24"/>
      <c r="SX30" s="24"/>
      <c r="SY30" s="24"/>
      <c r="SZ30" s="24"/>
      <c r="TA30" s="24"/>
      <c r="TB30" s="24"/>
      <c r="TC30" s="24"/>
      <c r="TD30" s="24"/>
      <c r="TE30" s="24"/>
      <c r="TF30" s="24"/>
      <c r="TG30" s="24"/>
      <c r="TH30" s="24"/>
      <c r="TI30" s="24"/>
      <c r="TJ30" s="24"/>
      <c r="TK30" s="24"/>
      <c r="TL30" s="24"/>
      <c r="TM30" s="24"/>
      <c r="TN30" s="24"/>
      <c r="TO30" s="24"/>
      <c r="TP30" s="24"/>
      <c r="TQ30" s="24"/>
      <c r="TR30" s="24"/>
      <c r="TS30" s="24"/>
      <c r="TT30" s="24"/>
      <c r="TU30" s="24"/>
      <c r="TV30" s="24"/>
      <c r="TW30" s="24"/>
      <c r="TX30" s="24"/>
      <c r="TY30" s="24"/>
      <c r="TZ30" s="24"/>
      <c r="UA30" s="24"/>
      <c r="UB30" s="24"/>
      <c r="UC30" s="24"/>
      <c r="UD30" s="24"/>
      <c r="UE30" s="24"/>
      <c r="UF30" s="24"/>
      <c r="UG30" s="24"/>
      <c r="UH30" s="24"/>
      <c r="UI30" s="24"/>
      <c r="UJ30" s="24"/>
      <c r="UK30" s="24"/>
      <c r="UL30" s="24"/>
      <c r="UM30" s="24"/>
      <c r="UN30" s="24"/>
      <c r="UO30" s="24"/>
      <c r="UP30" s="24"/>
      <c r="UQ30" s="24"/>
      <c r="UR30" s="24"/>
      <c r="US30" s="24"/>
      <c r="UT30" s="24"/>
      <c r="UU30" s="24"/>
      <c r="UV30" s="24"/>
      <c r="UW30" s="24"/>
      <c r="UX30" s="24"/>
      <c r="UY30" s="24"/>
      <c r="UZ30" s="24"/>
      <c r="VA30" s="24"/>
      <c r="VB30" s="24"/>
      <c r="VC30" s="24"/>
      <c r="VD30" s="24"/>
      <c r="VE30" s="24"/>
      <c r="VF30" s="24"/>
      <c r="VG30" s="24"/>
      <c r="VH30" s="24"/>
      <c r="VI30" s="24"/>
      <c r="VJ30" s="24"/>
      <c r="VK30" s="24"/>
      <c r="VL30" s="24"/>
      <c r="VM30" s="24"/>
      <c r="VN30" s="24"/>
      <c r="VO30" s="24"/>
      <c r="VP30" s="24"/>
      <c r="VQ30" s="24"/>
      <c r="VR30" s="24"/>
      <c r="VS30" s="24"/>
      <c r="VT30" s="24"/>
      <c r="VU30" s="24"/>
      <c r="VV30" s="24"/>
      <c r="VW30" s="24"/>
      <c r="VX30" s="24"/>
      <c r="VY30" s="24"/>
      <c r="VZ30" s="24"/>
      <c r="WA30" s="24"/>
      <c r="WB30" s="24"/>
      <c r="WC30" s="24"/>
      <c r="WD30" s="24"/>
      <c r="WE30" s="24"/>
      <c r="WF30" s="24"/>
      <c r="WG30" s="24"/>
      <c r="WH30" s="24"/>
      <c r="WI30" s="24"/>
      <c r="WJ30" s="24"/>
      <c r="WK30" s="24"/>
      <c r="WL30" s="24"/>
      <c r="WM30" s="24"/>
      <c r="WN30" s="24"/>
      <c r="WO30" s="24"/>
      <c r="WP30" s="24"/>
      <c r="WQ30" s="24"/>
      <c r="WR30" s="24"/>
      <c r="WS30" s="24"/>
      <c r="WT30" s="24"/>
      <c r="WU30" s="24"/>
      <c r="WV30" s="24"/>
      <c r="WW30" s="24"/>
      <c r="WX30" s="24"/>
      <c r="WY30" s="24"/>
      <c r="WZ30" s="24"/>
      <c r="XA30" s="24"/>
      <c r="XB30" s="24"/>
      <c r="XC30" s="24"/>
      <c r="XD30" s="24"/>
      <c r="XE30" s="24"/>
      <c r="XF30" s="24"/>
      <c r="XG30" s="24"/>
      <c r="XH30" s="24"/>
      <c r="XI30" s="24"/>
      <c r="XJ30" s="24"/>
      <c r="XK30" s="24"/>
      <c r="XL30" s="24"/>
      <c r="XM30" s="24"/>
      <c r="XN30" s="24"/>
      <c r="XO30" s="24"/>
      <c r="XP30" s="24"/>
      <c r="XQ30" s="24"/>
      <c r="XR30" s="24"/>
      <c r="XS30" s="24"/>
      <c r="XT30" s="24"/>
      <c r="XU30" s="24"/>
      <c r="XV30" s="24"/>
      <c r="XW30" s="24"/>
      <c r="XX30" s="24"/>
      <c r="XY30" s="24"/>
      <c r="XZ30" s="24"/>
      <c r="YA30" s="24"/>
      <c r="YB30" s="24"/>
      <c r="YC30" s="24"/>
      <c r="YD30" s="24"/>
      <c r="YE30" s="24"/>
      <c r="YF30" s="24"/>
      <c r="YG30" s="24"/>
      <c r="YH30" s="24"/>
      <c r="YI30" s="24"/>
      <c r="YJ30" s="24"/>
      <c r="YK30" s="24"/>
      <c r="YL30" s="24"/>
      <c r="YM30" s="24"/>
      <c r="YN30" s="24"/>
      <c r="YO30" s="24"/>
      <c r="YP30" s="24"/>
      <c r="YQ30" s="24"/>
      <c r="YR30" s="24"/>
      <c r="YS30" s="24"/>
      <c r="YT30" s="24"/>
      <c r="YU30" s="24"/>
      <c r="YV30" s="24"/>
      <c r="YW30" s="24"/>
      <c r="YX30" s="24"/>
      <c r="YY30" s="24"/>
      <c r="YZ30" s="24"/>
      <c r="ZA30" s="24"/>
      <c r="ZB30" s="24"/>
      <c r="ZC30" s="24"/>
      <c r="ZD30" s="24"/>
      <c r="ZE30" s="24"/>
      <c r="ZF30" s="24"/>
      <c r="ZG30" s="24"/>
      <c r="ZH30" s="24"/>
      <c r="ZI30" s="24"/>
      <c r="ZJ30" s="24"/>
      <c r="ZK30" s="24"/>
      <c r="ZL30" s="24"/>
      <c r="ZM30" s="24"/>
      <c r="ZN30" s="24"/>
      <c r="ZO30" s="24"/>
      <c r="ZP30" s="24"/>
      <c r="ZQ30" s="24"/>
      <c r="ZR30" s="24"/>
      <c r="ZS30" s="24"/>
      <c r="ZT30" s="24"/>
      <c r="ZU30" s="24"/>
      <c r="ZV30" s="24"/>
      <c r="ZW30" s="24"/>
      <c r="ZX30" s="24"/>
      <c r="ZY30" s="24"/>
      <c r="ZZ30" s="24"/>
      <c r="AAA30" s="24"/>
      <c r="AAB30" s="24"/>
      <c r="AAC30" s="24"/>
      <c r="AAD30" s="24"/>
      <c r="AAE30" s="24"/>
      <c r="AAF30" s="24"/>
      <c r="AAG30" s="24"/>
      <c r="AAH30" s="24"/>
      <c r="AAI30" s="24"/>
      <c r="AAJ30" s="24"/>
      <c r="AAK30" s="24"/>
      <c r="AAL30" s="24"/>
      <c r="AAM30" s="24"/>
      <c r="AAN30" s="24"/>
      <c r="AAO30" s="24"/>
      <c r="AAP30" s="24"/>
      <c r="AAQ30" s="24"/>
      <c r="AAR30" s="24"/>
      <c r="AAS30" s="24"/>
      <c r="AAT30" s="24"/>
      <c r="AAU30" s="24"/>
      <c r="AAV30" s="24"/>
      <c r="AAW30" s="24"/>
      <c r="AAX30" s="24"/>
      <c r="AAY30" s="24"/>
      <c r="AAZ30" s="24"/>
      <c r="ABA30" s="24"/>
      <c r="ABB30" s="24"/>
      <c r="ABC30" s="24"/>
      <c r="ABD30" s="24"/>
      <c r="ABE30" s="24"/>
      <c r="ABF30" s="24"/>
      <c r="ABG30" s="24"/>
      <c r="ABH30" s="24"/>
      <c r="ABI30" s="24"/>
      <c r="ABJ30" s="24"/>
      <c r="ABK30" s="24"/>
      <c r="ABL30" s="24"/>
      <c r="ABM30" s="24"/>
      <c r="ABN30" s="24"/>
      <c r="ABO30" s="24"/>
      <c r="ABP30" s="24"/>
      <c r="ABQ30" s="24"/>
      <c r="ABR30" s="24"/>
      <c r="ABS30" s="24"/>
      <c r="ABT30" s="24"/>
      <c r="ABU30" s="24"/>
      <c r="ABV30" s="24"/>
      <c r="ABW30" s="24"/>
      <c r="ABX30" s="24"/>
      <c r="ABY30" s="24"/>
      <c r="ABZ30" s="24"/>
      <c r="ACA30" s="24"/>
      <c r="ACB30" s="24"/>
      <c r="ACC30" s="24"/>
      <c r="ACD30" s="24"/>
      <c r="ACE30" s="24"/>
      <c r="ACF30" s="24"/>
      <c r="ACG30" s="24"/>
      <c r="ACH30" s="24"/>
      <c r="ACI30" s="24"/>
      <c r="ACJ30" s="24"/>
      <c r="ACK30" s="24"/>
      <c r="ACL30" s="24"/>
      <c r="ACM30" s="24"/>
      <c r="ACN30" s="24"/>
      <c r="ACO30" s="24"/>
      <c r="ACP30" s="24"/>
      <c r="ACQ30" s="24"/>
      <c r="ACR30" s="24"/>
      <c r="ACS30" s="24"/>
      <c r="ACT30" s="24"/>
      <c r="ACU30" s="24"/>
      <c r="ACV30" s="24"/>
      <c r="ACW30" s="24"/>
      <c r="ACX30" s="24"/>
      <c r="ACY30" s="24"/>
      <c r="ACZ30" s="24"/>
      <c r="ADA30" s="24"/>
      <c r="ADB30" s="24"/>
      <c r="ADC30" s="24"/>
      <c r="ADD30" s="24"/>
      <c r="ADE30" s="24"/>
      <c r="ADF30" s="24"/>
      <c r="ADG30" s="24"/>
      <c r="ADH30" s="24"/>
      <c r="ADI30" s="24"/>
      <c r="ADJ30" s="24"/>
      <c r="ADK30" s="24"/>
      <c r="ADL30" s="24"/>
      <c r="ADM30" s="24"/>
      <c r="ADN30" s="24"/>
      <c r="ADO30" s="24"/>
      <c r="ADP30" s="24"/>
      <c r="ADQ30" s="24"/>
      <c r="ADR30" s="24"/>
      <c r="ADS30" s="24"/>
      <c r="ADT30" s="24"/>
      <c r="ADU30" s="24"/>
      <c r="ADV30" s="24"/>
      <c r="ADW30" s="24"/>
      <c r="ADX30" s="24"/>
      <c r="ADY30" s="24"/>
      <c r="ADZ30" s="24"/>
      <c r="AEA30" s="24"/>
      <c r="AEB30" s="24"/>
      <c r="AEC30" s="24"/>
      <c r="AED30" s="24"/>
      <c r="AEE30" s="24"/>
      <c r="AEF30" s="24"/>
      <c r="AEG30" s="24"/>
      <c r="AEH30" s="24"/>
      <c r="AEI30" s="24"/>
      <c r="AEJ30" s="24"/>
      <c r="AEK30" s="24"/>
      <c r="AEL30" s="24"/>
      <c r="AEM30" s="24"/>
      <c r="AEN30" s="24"/>
      <c r="AEO30" s="24"/>
      <c r="AEP30" s="24"/>
      <c r="AEQ30" s="24"/>
      <c r="AER30" s="24"/>
      <c r="AES30" s="24"/>
      <c r="AET30" s="24"/>
      <c r="AEU30" s="24"/>
      <c r="AEV30" s="24"/>
      <c r="AEW30" s="24"/>
      <c r="AEX30" s="24"/>
      <c r="AEY30" s="24"/>
      <c r="AEZ30" s="24"/>
      <c r="AFA30" s="24"/>
      <c r="AFB30" s="24"/>
      <c r="AFC30" s="24"/>
      <c r="AFD30" s="24"/>
      <c r="AFE30" s="24"/>
      <c r="AFF30" s="24"/>
      <c r="AFG30" s="24"/>
      <c r="AFH30" s="24"/>
      <c r="AFI30" s="24"/>
      <c r="AFJ30" s="24"/>
      <c r="AFK30" s="24"/>
      <c r="AFL30" s="24"/>
      <c r="AFM30" s="24"/>
      <c r="AFN30" s="24"/>
      <c r="AFO30" s="24"/>
      <c r="AFP30" s="24"/>
      <c r="AFQ30" s="24"/>
      <c r="AFR30" s="24"/>
      <c r="AFS30" s="24"/>
      <c r="AFT30" s="24"/>
      <c r="AFU30" s="24"/>
      <c r="AFV30" s="24"/>
      <c r="AFW30" s="24"/>
      <c r="AFX30" s="24"/>
      <c r="AFY30" s="24"/>
      <c r="AFZ30" s="24"/>
      <c r="AGA30" s="24"/>
      <c r="AGB30" s="24"/>
      <c r="AGC30" s="24"/>
      <c r="AGD30" s="24"/>
      <c r="AGE30" s="24"/>
      <c r="AGF30" s="24"/>
      <c r="AGG30" s="24"/>
      <c r="AGH30" s="24"/>
      <c r="AGI30" s="24"/>
      <c r="AGJ30" s="24"/>
      <c r="AGK30" s="24"/>
      <c r="AGL30" s="24"/>
      <c r="AGM30" s="24"/>
      <c r="AGN30" s="24"/>
      <c r="AGO30" s="24"/>
      <c r="AGP30" s="24"/>
      <c r="AGQ30" s="24"/>
      <c r="AGR30" s="24"/>
      <c r="AGS30" s="24"/>
      <c r="AGT30" s="24"/>
      <c r="AGU30" s="24"/>
      <c r="AGV30" s="24"/>
      <c r="AGW30" s="24"/>
      <c r="AGX30" s="24"/>
      <c r="AGY30" s="24"/>
      <c r="AGZ30" s="24"/>
      <c r="AHA30" s="24"/>
      <c r="AHB30" s="24"/>
      <c r="AHC30" s="24"/>
      <c r="AHD30" s="24"/>
      <c r="AHE30" s="24"/>
      <c r="AHF30" s="24"/>
      <c r="AHG30" s="24"/>
      <c r="AHH30" s="24"/>
      <c r="AHI30" s="24"/>
      <c r="AHJ30" s="24"/>
      <c r="AHK30" s="24"/>
      <c r="AHL30" s="24"/>
      <c r="AHM30" s="24"/>
      <c r="AHN30" s="24"/>
      <c r="AHO30" s="24"/>
      <c r="AHP30" s="24"/>
      <c r="AHQ30" s="24"/>
      <c r="AHR30" s="24"/>
      <c r="AHS30" s="24"/>
      <c r="AHT30" s="24"/>
      <c r="AHU30" s="24"/>
      <c r="AHV30" s="24"/>
      <c r="AHW30" s="24"/>
      <c r="AHX30" s="24"/>
      <c r="AHY30" s="24"/>
      <c r="AHZ30" s="24"/>
      <c r="AIA30" s="24"/>
      <c r="AIB30" s="24"/>
      <c r="AIC30" s="24"/>
      <c r="AID30" s="24"/>
      <c r="AIE30" s="24"/>
      <c r="AIF30" s="24"/>
      <c r="AIG30" s="24"/>
      <c r="AIH30" s="24"/>
      <c r="AII30" s="24"/>
      <c r="AIJ30" s="24"/>
      <c r="AIK30" s="24"/>
      <c r="AIL30" s="24"/>
      <c r="AIM30" s="24"/>
      <c r="AIN30" s="24"/>
      <c r="AIO30" s="24"/>
      <c r="AIP30" s="24"/>
      <c r="AIQ30" s="24"/>
      <c r="AIR30" s="24"/>
      <c r="AIS30" s="24"/>
      <c r="AIT30" s="24"/>
      <c r="AIU30" s="24"/>
      <c r="AIV30" s="24"/>
      <c r="AIW30" s="24"/>
      <c r="AIX30" s="24"/>
      <c r="AIY30" s="24"/>
      <c r="AIZ30" s="24"/>
      <c r="AJA30" s="24"/>
      <c r="AJB30" s="24"/>
      <c r="AJC30" s="24"/>
      <c r="AJD30" s="24"/>
      <c r="AJE30" s="24"/>
      <c r="AJF30" s="24"/>
      <c r="AJG30" s="24"/>
      <c r="AJH30" s="24"/>
      <c r="AJI30" s="24"/>
      <c r="AJJ30" s="24"/>
      <c r="AJK30" s="24"/>
      <c r="AJL30" s="24"/>
      <c r="AJM30" s="24"/>
      <c r="AJN30" s="24"/>
      <c r="AJO30" s="24"/>
      <c r="AJP30" s="24"/>
      <c r="AJQ30" s="24"/>
      <c r="AJR30" s="24"/>
      <c r="AJS30" s="24"/>
      <c r="AJT30" s="24"/>
      <c r="AJU30" s="24"/>
      <c r="AJV30" s="24"/>
      <c r="AJW30" s="24"/>
      <c r="AJX30" s="24"/>
      <c r="AJY30" s="24"/>
      <c r="AJZ30" s="24"/>
      <c r="AKA30" s="24"/>
      <c r="AKB30" s="24"/>
      <c r="AKC30" s="24"/>
      <c r="AKD30" s="24"/>
      <c r="AKE30" s="24"/>
      <c r="AKF30" s="24"/>
      <c r="AKG30" s="24"/>
      <c r="AKH30" s="24"/>
      <c r="AKI30" s="24"/>
      <c r="AKJ30" s="24"/>
      <c r="AKK30" s="24"/>
      <c r="AKL30" s="24"/>
      <c r="AKM30" s="24"/>
      <c r="AKN30" s="24"/>
      <c r="AKO30" s="24"/>
      <c r="AKP30" s="24"/>
      <c r="AKQ30" s="24"/>
      <c r="AKR30" s="24"/>
      <c r="AKS30" s="24"/>
      <c r="AKT30" s="24"/>
      <c r="AKU30" s="24"/>
      <c r="AKV30" s="24"/>
      <c r="AKW30" s="24"/>
      <c r="AKX30" s="24"/>
      <c r="AKY30" s="24"/>
      <c r="AKZ30" s="24"/>
      <c r="ALA30" s="24"/>
      <c r="ALB30" s="24"/>
      <c r="ALC30" s="24"/>
      <c r="ALD30" s="24"/>
      <c r="ALE30" s="24"/>
      <c r="ALF30" s="24"/>
      <c r="ALG30" s="24"/>
      <c r="ALH30" s="24"/>
      <c r="ALI30" s="24"/>
      <c r="ALJ30" s="24"/>
      <c r="ALK30" s="24"/>
      <c r="ALL30" s="24"/>
      <c r="ALM30" s="24"/>
      <c r="ALN30" s="24"/>
      <c r="ALO30" s="24"/>
      <c r="ALP30" s="24"/>
      <c r="ALQ30" s="24"/>
      <c r="ALR30" s="24"/>
      <c r="ALS30" s="24"/>
      <c r="ALT30" s="24"/>
      <c r="ALU30" s="24"/>
      <c r="ALV30" s="24"/>
      <c r="ALW30" s="24"/>
      <c r="ALX30" s="24"/>
      <c r="ALY30" s="24"/>
      <c r="ALZ30" s="24"/>
      <c r="AMA30" s="24"/>
      <c r="AMB30" s="24"/>
      <c r="AMC30" s="24"/>
      <c r="AMD30" s="24"/>
      <c r="AME30" s="24"/>
      <c r="AMF30" s="24"/>
      <c r="AMG30" s="24"/>
      <c r="AMH30" s="24"/>
    </row>
    <row r="31" spans="1:1022" ht="63.75">
      <c r="A31" s="24"/>
      <c r="B31" s="502"/>
      <c r="C31" s="1135"/>
      <c r="D31" s="1137"/>
      <c r="E31" s="1140"/>
      <c r="F31" s="485"/>
      <c r="G31" s="609" t="s">
        <v>969</v>
      </c>
      <c r="H31" s="609" t="s">
        <v>921</v>
      </c>
      <c r="I31" s="608" t="s">
        <v>924</v>
      </c>
      <c r="J31" s="1127"/>
      <c r="K31" s="1128"/>
      <c r="L31" s="1148"/>
      <c r="M31" s="1127"/>
      <c r="N31" s="1128"/>
      <c r="O31" s="1127"/>
      <c r="P31" s="1127"/>
      <c r="Q31" s="1127"/>
      <c r="R31" s="1127"/>
      <c r="S31" s="1127"/>
      <c r="T31" s="1127"/>
      <c r="U31" s="1130"/>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c r="IW31" s="24"/>
      <c r="IX31" s="24"/>
      <c r="IY31" s="24"/>
      <c r="IZ31" s="24"/>
      <c r="JA31" s="24"/>
      <c r="JB31" s="24"/>
      <c r="JC31" s="24"/>
      <c r="JD31" s="24"/>
      <c r="JE31" s="24"/>
      <c r="JF31" s="24"/>
      <c r="JG31" s="24"/>
      <c r="JH31" s="24"/>
      <c r="JI31" s="24"/>
      <c r="JJ31" s="24"/>
      <c r="JK31" s="24"/>
      <c r="JL31" s="24"/>
      <c r="JM31" s="24"/>
      <c r="JN31" s="24"/>
      <c r="JO31" s="24"/>
      <c r="JP31" s="24"/>
      <c r="JQ31" s="24"/>
      <c r="JR31" s="24"/>
      <c r="JS31" s="24"/>
      <c r="JT31" s="24"/>
      <c r="JU31" s="24"/>
      <c r="JV31" s="24"/>
      <c r="JW31" s="24"/>
      <c r="JX31" s="24"/>
      <c r="JY31" s="24"/>
      <c r="JZ31" s="24"/>
      <c r="KA31" s="24"/>
      <c r="KB31" s="24"/>
      <c r="KC31" s="24"/>
      <c r="KD31" s="24"/>
      <c r="KE31" s="24"/>
      <c r="KF31" s="24"/>
      <c r="KG31" s="24"/>
      <c r="KH31" s="24"/>
      <c r="KI31" s="24"/>
      <c r="KJ31" s="24"/>
      <c r="KK31" s="24"/>
      <c r="KL31" s="24"/>
      <c r="KM31" s="24"/>
      <c r="KN31" s="24"/>
      <c r="KO31" s="24"/>
      <c r="KP31" s="24"/>
      <c r="KQ31" s="24"/>
      <c r="KR31" s="24"/>
      <c r="KS31" s="24"/>
      <c r="KT31" s="24"/>
      <c r="KU31" s="24"/>
      <c r="KV31" s="24"/>
      <c r="KW31" s="24"/>
      <c r="KX31" s="24"/>
      <c r="KY31" s="24"/>
      <c r="KZ31" s="24"/>
      <c r="LA31" s="24"/>
      <c r="LB31" s="24"/>
      <c r="LC31" s="24"/>
      <c r="LD31" s="24"/>
      <c r="LE31" s="24"/>
      <c r="LF31" s="24"/>
      <c r="LG31" s="24"/>
      <c r="LH31" s="24"/>
      <c r="LI31" s="24"/>
      <c r="LJ31" s="24"/>
      <c r="LK31" s="24"/>
      <c r="LL31" s="24"/>
      <c r="LM31" s="24"/>
      <c r="LN31" s="24"/>
      <c r="LO31" s="24"/>
      <c r="LP31" s="24"/>
      <c r="LQ31" s="24"/>
      <c r="LR31" s="24"/>
      <c r="LS31" s="24"/>
      <c r="LT31" s="24"/>
      <c r="LU31" s="24"/>
      <c r="LV31" s="24"/>
      <c r="LW31" s="24"/>
      <c r="LX31" s="24"/>
      <c r="LY31" s="24"/>
      <c r="LZ31" s="24"/>
      <c r="MA31" s="24"/>
      <c r="MB31" s="24"/>
      <c r="MC31" s="24"/>
      <c r="MD31" s="24"/>
      <c r="ME31" s="24"/>
      <c r="MF31" s="24"/>
      <c r="MG31" s="24"/>
      <c r="MH31" s="24"/>
      <c r="MI31" s="24"/>
      <c r="MJ31" s="24"/>
      <c r="MK31" s="24"/>
      <c r="ML31" s="24"/>
      <c r="MM31" s="24"/>
      <c r="MN31" s="24"/>
      <c r="MO31" s="24"/>
      <c r="MP31" s="24"/>
      <c r="MQ31" s="24"/>
      <c r="MR31" s="24"/>
      <c r="MS31" s="24"/>
      <c r="MT31" s="24"/>
      <c r="MU31" s="24"/>
      <c r="MV31" s="24"/>
      <c r="MW31" s="24"/>
      <c r="MX31" s="24"/>
      <c r="MY31" s="24"/>
      <c r="MZ31" s="24"/>
      <c r="NA31" s="24"/>
      <c r="NB31" s="24"/>
      <c r="NC31" s="24"/>
      <c r="ND31" s="24"/>
      <c r="NE31" s="24"/>
      <c r="NF31" s="24"/>
      <c r="NG31" s="24"/>
      <c r="NH31" s="24"/>
      <c r="NI31" s="24"/>
      <c r="NJ31" s="24"/>
      <c r="NK31" s="24"/>
      <c r="NL31" s="24"/>
      <c r="NM31" s="24"/>
      <c r="NN31" s="24"/>
      <c r="NO31" s="24"/>
      <c r="NP31" s="24"/>
      <c r="NQ31" s="24"/>
      <c r="NR31" s="24"/>
      <c r="NS31" s="24"/>
      <c r="NT31" s="24"/>
      <c r="NU31" s="24"/>
      <c r="NV31" s="24"/>
      <c r="NW31" s="24"/>
      <c r="NX31" s="24"/>
      <c r="NY31" s="24"/>
      <c r="NZ31" s="24"/>
      <c r="OA31" s="24"/>
      <c r="OB31" s="24"/>
      <c r="OC31" s="24"/>
      <c r="OD31" s="24"/>
      <c r="OE31" s="24"/>
      <c r="OF31" s="24"/>
      <c r="OG31" s="24"/>
      <c r="OH31" s="24"/>
      <c r="OI31" s="24"/>
      <c r="OJ31" s="24"/>
      <c r="OK31" s="24"/>
      <c r="OL31" s="24"/>
      <c r="OM31" s="24"/>
      <c r="ON31" s="24"/>
      <c r="OO31" s="24"/>
      <c r="OP31" s="24"/>
      <c r="OQ31" s="24"/>
      <c r="OR31" s="24"/>
      <c r="OS31" s="24"/>
      <c r="OT31" s="24"/>
      <c r="OU31" s="24"/>
      <c r="OV31" s="24"/>
      <c r="OW31" s="24"/>
      <c r="OX31" s="24"/>
      <c r="OY31" s="24"/>
      <c r="OZ31" s="24"/>
      <c r="PA31" s="24"/>
      <c r="PB31" s="24"/>
      <c r="PC31" s="24"/>
      <c r="PD31" s="24"/>
      <c r="PE31" s="24"/>
      <c r="PF31" s="24"/>
      <c r="PG31" s="24"/>
      <c r="PH31" s="24"/>
      <c r="PI31" s="24"/>
      <c r="PJ31" s="24"/>
      <c r="PK31" s="24"/>
      <c r="PL31" s="24"/>
      <c r="PM31" s="24"/>
      <c r="PN31" s="24"/>
      <c r="PO31" s="24"/>
      <c r="PP31" s="24"/>
      <c r="PQ31" s="24"/>
      <c r="PR31" s="24"/>
      <c r="PS31" s="24"/>
      <c r="PT31" s="24"/>
      <c r="PU31" s="24"/>
      <c r="PV31" s="24"/>
      <c r="PW31" s="24"/>
      <c r="PX31" s="24"/>
      <c r="PY31" s="24"/>
      <c r="PZ31" s="24"/>
      <c r="QA31" s="24"/>
      <c r="QB31" s="24"/>
      <c r="QC31" s="24"/>
      <c r="QD31" s="24"/>
      <c r="QE31" s="24"/>
      <c r="QF31" s="24"/>
      <c r="QG31" s="24"/>
      <c r="QH31" s="24"/>
      <c r="QI31" s="24"/>
      <c r="QJ31" s="24"/>
      <c r="QK31" s="24"/>
      <c r="QL31" s="24"/>
      <c r="QM31" s="24"/>
      <c r="QN31" s="24"/>
      <c r="QO31" s="24"/>
      <c r="QP31" s="24"/>
      <c r="QQ31" s="24"/>
      <c r="QR31" s="24"/>
      <c r="QS31" s="24"/>
      <c r="QT31" s="24"/>
      <c r="QU31" s="24"/>
      <c r="QV31" s="24"/>
      <c r="QW31" s="24"/>
      <c r="QX31" s="24"/>
      <c r="QY31" s="24"/>
      <c r="QZ31" s="24"/>
      <c r="RA31" s="24"/>
      <c r="RB31" s="24"/>
      <c r="RC31" s="24"/>
      <c r="RD31" s="24"/>
      <c r="RE31" s="24"/>
      <c r="RF31" s="24"/>
      <c r="RG31" s="24"/>
      <c r="RH31" s="24"/>
      <c r="RI31" s="24"/>
      <c r="RJ31" s="24"/>
      <c r="RK31" s="24"/>
      <c r="RL31" s="24"/>
      <c r="RM31" s="24"/>
      <c r="RN31" s="24"/>
      <c r="RO31" s="24"/>
      <c r="RP31" s="24"/>
      <c r="RQ31" s="24"/>
      <c r="RR31" s="24"/>
      <c r="RS31" s="24"/>
      <c r="RT31" s="24"/>
      <c r="RU31" s="24"/>
      <c r="RV31" s="24"/>
      <c r="RW31" s="24"/>
      <c r="RX31" s="24"/>
      <c r="RY31" s="24"/>
      <c r="RZ31" s="24"/>
      <c r="SA31" s="24"/>
      <c r="SB31" s="24"/>
      <c r="SC31" s="24"/>
      <c r="SD31" s="24"/>
      <c r="SE31" s="24"/>
      <c r="SF31" s="24"/>
      <c r="SG31" s="24"/>
      <c r="SH31" s="24"/>
      <c r="SI31" s="24"/>
      <c r="SJ31" s="24"/>
      <c r="SK31" s="24"/>
      <c r="SL31" s="24"/>
      <c r="SM31" s="24"/>
      <c r="SN31" s="24"/>
      <c r="SO31" s="24"/>
      <c r="SP31" s="24"/>
      <c r="SQ31" s="24"/>
      <c r="SR31" s="24"/>
      <c r="SS31" s="24"/>
      <c r="ST31" s="24"/>
      <c r="SU31" s="24"/>
      <c r="SV31" s="24"/>
      <c r="SW31" s="24"/>
      <c r="SX31" s="24"/>
      <c r="SY31" s="24"/>
      <c r="SZ31" s="24"/>
      <c r="TA31" s="24"/>
      <c r="TB31" s="24"/>
      <c r="TC31" s="24"/>
      <c r="TD31" s="24"/>
      <c r="TE31" s="24"/>
      <c r="TF31" s="24"/>
      <c r="TG31" s="24"/>
      <c r="TH31" s="24"/>
      <c r="TI31" s="24"/>
      <c r="TJ31" s="24"/>
      <c r="TK31" s="24"/>
      <c r="TL31" s="24"/>
      <c r="TM31" s="24"/>
      <c r="TN31" s="24"/>
      <c r="TO31" s="24"/>
      <c r="TP31" s="24"/>
      <c r="TQ31" s="24"/>
      <c r="TR31" s="24"/>
      <c r="TS31" s="24"/>
      <c r="TT31" s="24"/>
      <c r="TU31" s="24"/>
      <c r="TV31" s="24"/>
      <c r="TW31" s="24"/>
      <c r="TX31" s="24"/>
      <c r="TY31" s="24"/>
      <c r="TZ31" s="24"/>
      <c r="UA31" s="24"/>
      <c r="UB31" s="24"/>
      <c r="UC31" s="24"/>
      <c r="UD31" s="24"/>
      <c r="UE31" s="24"/>
      <c r="UF31" s="24"/>
      <c r="UG31" s="24"/>
      <c r="UH31" s="24"/>
      <c r="UI31" s="24"/>
      <c r="UJ31" s="24"/>
      <c r="UK31" s="24"/>
      <c r="UL31" s="24"/>
      <c r="UM31" s="24"/>
      <c r="UN31" s="24"/>
      <c r="UO31" s="24"/>
      <c r="UP31" s="24"/>
      <c r="UQ31" s="24"/>
      <c r="UR31" s="24"/>
      <c r="US31" s="24"/>
      <c r="UT31" s="24"/>
      <c r="UU31" s="24"/>
      <c r="UV31" s="24"/>
      <c r="UW31" s="24"/>
      <c r="UX31" s="24"/>
      <c r="UY31" s="24"/>
      <c r="UZ31" s="24"/>
      <c r="VA31" s="24"/>
      <c r="VB31" s="24"/>
      <c r="VC31" s="24"/>
      <c r="VD31" s="24"/>
      <c r="VE31" s="24"/>
      <c r="VF31" s="24"/>
      <c r="VG31" s="24"/>
      <c r="VH31" s="24"/>
      <c r="VI31" s="24"/>
      <c r="VJ31" s="24"/>
      <c r="VK31" s="24"/>
      <c r="VL31" s="24"/>
      <c r="VM31" s="24"/>
      <c r="VN31" s="24"/>
      <c r="VO31" s="24"/>
      <c r="VP31" s="24"/>
      <c r="VQ31" s="24"/>
      <c r="VR31" s="24"/>
      <c r="VS31" s="24"/>
      <c r="VT31" s="24"/>
      <c r="VU31" s="24"/>
      <c r="VV31" s="24"/>
      <c r="VW31" s="24"/>
      <c r="VX31" s="24"/>
      <c r="VY31" s="24"/>
      <c r="VZ31" s="24"/>
      <c r="WA31" s="24"/>
      <c r="WB31" s="24"/>
      <c r="WC31" s="24"/>
      <c r="WD31" s="24"/>
      <c r="WE31" s="24"/>
      <c r="WF31" s="24"/>
      <c r="WG31" s="24"/>
      <c r="WH31" s="24"/>
      <c r="WI31" s="24"/>
      <c r="WJ31" s="24"/>
      <c r="WK31" s="24"/>
      <c r="WL31" s="24"/>
      <c r="WM31" s="24"/>
      <c r="WN31" s="24"/>
      <c r="WO31" s="24"/>
      <c r="WP31" s="24"/>
      <c r="WQ31" s="24"/>
      <c r="WR31" s="24"/>
      <c r="WS31" s="24"/>
      <c r="WT31" s="24"/>
      <c r="WU31" s="24"/>
      <c r="WV31" s="24"/>
      <c r="WW31" s="24"/>
      <c r="WX31" s="24"/>
      <c r="WY31" s="24"/>
      <c r="WZ31" s="24"/>
      <c r="XA31" s="24"/>
      <c r="XB31" s="24"/>
      <c r="XC31" s="24"/>
      <c r="XD31" s="24"/>
      <c r="XE31" s="24"/>
      <c r="XF31" s="24"/>
      <c r="XG31" s="24"/>
      <c r="XH31" s="24"/>
      <c r="XI31" s="24"/>
      <c r="XJ31" s="24"/>
      <c r="XK31" s="24"/>
      <c r="XL31" s="24"/>
      <c r="XM31" s="24"/>
      <c r="XN31" s="24"/>
      <c r="XO31" s="24"/>
      <c r="XP31" s="24"/>
      <c r="XQ31" s="24"/>
      <c r="XR31" s="24"/>
      <c r="XS31" s="24"/>
      <c r="XT31" s="24"/>
      <c r="XU31" s="24"/>
      <c r="XV31" s="24"/>
      <c r="XW31" s="24"/>
      <c r="XX31" s="24"/>
      <c r="XY31" s="24"/>
      <c r="XZ31" s="24"/>
      <c r="YA31" s="24"/>
      <c r="YB31" s="24"/>
      <c r="YC31" s="24"/>
      <c r="YD31" s="24"/>
      <c r="YE31" s="24"/>
      <c r="YF31" s="24"/>
      <c r="YG31" s="24"/>
      <c r="YH31" s="24"/>
      <c r="YI31" s="24"/>
      <c r="YJ31" s="24"/>
      <c r="YK31" s="24"/>
      <c r="YL31" s="24"/>
      <c r="YM31" s="24"/>
      <c r="YN31" s="24"/>
      <c r="YO31" s="24"/>
      <c r="YP31" s="24"/>
      <c r="YQ31" s="24"/>
      <c r="YR31" s="24"/>
      <c r="YS31" s="24"/>
      <c r="YT31" s="24"/>
      <c r="YU31" s="24"/>
      <c r="YV31" s="24"/>
      <c r="YW31" s="24"/>
      <c r="YX31" s="24"/>
      <c r="YY31" s="24"/>
      <c r="YZ31" s="24"/>
      <c r="ZA31" s="24"/>
      <c r="ZB31" s="24"/>
      <c r="ZC31" s="24"/>
      <c r="ZD31" s="24"/>
      <c r="ZE31" s="24"/>
      <c r="ZF31" s="24"/>
      <c r="ZG31" s="24"/>
      <c r="ZH31" s="24"/>
      <c r="ZI31" s="24"/>
      <c r="ZJ31" s="24"/>
      <c r="ZK31" s="24"/>
      <c r="ZL31" s="24"/>
      <c r="ZM31" s="24"/>
      <c r="ZN31" s="24"/>
      <c r="ZO31" s="24"/>
      <c r="ZP31" s="24"/>
      <c r="ZQ31" s="24"/>
      <c r="ZR31" s="24"/>
      <c r="ZS31" s="24"/>
      <c r="ZT31" s="24"/>
      <c r="ZU31" s="24"/>
      <c r="ZV31" s="24"/>
      <c r="ZW31" s="24"/>
      <c r="ZX31" s="24"/>
      <c r="ZY31" s="24"/>
      <c r="ZZ31" s="24"/>
      <c r="AAA31" s="24"/>
      <c r="AAB31" s="24"/>
      <c r="AAC31" s="24"/>
      <c r="AAD31" s="24"/>
      <c r="AAE31" s="24"/>
      <c r="AAF31" s="24"/>
      <c r="AAG31" s="24"/>
      <c r="AAH31" s="24"/>
      <c r="AAI31" s="24"/>
      <c r="AAJ31" s="24"/>
      <c r="AAK31" s="24"/>
      <c r="AAL31" s="24"/>
      <c r="AAM31" s="24"/>
      <c r="AAN31" s="24"/>
      <c r="AAO31" s="24"/>
      <c r="AAP31" s="24"/>
      <c r="AAQ31" s="24"/>
      <c r="AAR31" s="24"/>
      <c r="AAS31" s="24"/>
      <c r="AAT31" s="24"/>
      <c r="AAU31" s="24"/>
      <c r="AAV31" s="24"/>
      <c r="AAW31" s="24"/>
      <c r="AAX31" s="24"/>
      <c r="AAY31" s="24"/>
      <c r="AAZ31" s="24"/>
      <c r="ABA31" s="24"/>
      <c r="ABB31" s="24"/>
      <c r="ABC31" s="24"/>
      <c r="ABD31" s="24"/>
      <c r="ABE31" s="24"/>
      <c r="ABF31" s="24"/>
      <c r="ABG31" s="24"/>
      <c r="ABH31" s="24"/>
      <c r="ABI31" s="24"/>
      <c r="ABJ31" s="24"/>
      <c r="ABK31" s="24"/>
      <c r="ABL31" s="24"/>
      <c r="ABM31" s="24"/>
      <c r="ABN31" s="24"/>
      <c r="ABO31" s="24"/>
      <c r="ABP31" s="24"/>
      <c r="ABQ31" s="24"/>
      <c r="ABR31" s="24"/>
      <c r="ABS31" s="24"/>
      <c r="ABT31" s="24"/>
      <c r="ABU31" s="24"/>
      <c r="ABV31" s="24"/>
      <c r="ABW31" s="24"/>
      <c r="ABX31" s="24"/>
      <c r="ABY31" s="24"/>
      <c r="ABZ31" s="24"/>
      <c r="ACA31" s="24"/>
      <c r="ACB31" s="24"/>
      <c r="ACC31" s="24"/>
      <c r="ACD31" s="24"/>
      <c r="ACE31" s="24"/>
      <c r="ACF31" s="24"/>
      <c r="ACG31" s="24"/>
      <c r="ACH31" s="24"/>
      <c r="ACI31" s="24"/>
      <c r="ACJ31" s="24"/>
      <c r="ACK31" s="24"/>
      <c r="ACL31" s="24"/>
      <c r="ACM31" s="24"/>
      <c r="ACN31" s="24"/>
      <c r="ACO31" s="24"/>
      <c r="ACP31" s="24"/>
      <c r="ACQ31" s="24"/>
      <c r="ACR31" s="24"/>
      <c r="ACS31" s="24"/>
      <c r="ACT31" s="24"/>
      <c r="ACU31" s="24"/>
      <c r="ACV31" s="24"/>
      <c r="ACW31" s="24"/>
      <c r="ACX31" s="24"/>
      <c r="ACY31" s="24"/>
      <c r="ACZ31" s="24"/>
      <c r="ADA31" s="24"/>
      <c r="ADB31" s="24"/>
      <c r="ADC31" s="24"/>
      <c r="ADD31" s="24"/>
      <c r="ADE31" s="24"/>
      <c r="ADF31" s="24"/>
      <c r="ADG31" s="24"/>
      <c r="ADH31" s="24"/>
      <c r="ADI31" s="24"/>
      <c r="ADJ31" s="24"/>
      <c r="ADK31" s="24"/>
      <c r="ADL31" s="24"/>
      <c r="ADM31" s="24"/>
      <c r="ADN31" s="24"/>
      <c r="ADO31" s="24"/>
      <c r="ADP31" s="24"/>
      <c r="ADQ31" s="24"/>
      <c r="ADR31" s="24"/>
      <c r="ADS31" s="24"/>
      <c r="ADT31" s="24"/>
      <c r="ADU31" s="24"/>
      <c r="ADV31" s="24"/>
      <c r="ADW31" s="24"/>
      <c r="ADX31" s="24"/>
      <c r="ADY31" s="24"/>
      <c r="ADZ31" s="24"/>
      <c r="AEA31" s="24"/>
      <c r="AEB31" s="24"/>
      <c r="AEC31" s="24"/>
      <c r="AED31" s="24"/>
      <c r="AEE31" s="24"/>
      <c r="AEF31" s="24"/>
      <c r="AEG31" s="24"/>
      <c r="AEH31" s="24"/>
      <c r="AEI31" s="24"/>
      <c r="AEJ31" s="24"/>
      <c r="AEK31" s="24"/>
      <c r="AEL31" s="24"/>
      <c r="AEM31" s="24"/>
      <c r="AEN31" s="24"/>
      <c r="AEO31" s="24"/>
      <c r="AEP31" s="24"/>
      <c r="AEQ31" s="24"/>
      <c r="AER31" s="24"/>
      <c r="AES31" s="24"/>
      <c r="AET31" s="24"/>
      <c r="AEU31" s="24"/>
      <c r="AEV31" s="24"/>
      <c r="AEW31" s="24"/>
      <c r="AEX31" s="24"/>
      <c r="AEY31" s="24"/>
      <c r="AEZ31" s="24"/>
      <c r="AFA31" s="24"/>
      <c r="AFB31" s="24"/>
      <c r="AFC31" s="24"/>
      <c r="AFD31" s="24"/>
      <c r="AFE31" s="24"/>
      <c r="AFF31" s="24"/>
      <c r="AFG31" s="24"/>
      <c r="AFH31" s="24"/>
      <c r="AFI31" s="24"/>
      <c r="AFJ31" s="24"/>
      <c r="AFK31" s="24"/>
      <c r="AFL31" s="24"/>
      <c r="AFM31" s="24"/>
      <c r="AFN31" s="24"/>
      <c r="AFO31" s="24"/>
      <c r="AFP31" s="24"/>
      <c r="AFQ31" s="24"/>
      <c r="AFR31" s="24"/>
      <c r="AFS31" s="24"/>
      <c r="AFT31" s="24"/>
      <c r="AFU31" s="24"/>
      <c r="AFV31" s="24"/>
      <c r="AFW31" s="24"/>
      <c r="AFX31" s="24"/>
      <c r="AFY31" s="24"/>
      <c r="AFZ31" s="24"/>
      <c r="AGA31" s="24"/>
      <c r="AGB31" s="24"/>
      <c r="AGC31" s="24"/>
      <c r="AGD31" s="24"/>
      <c r="AGE31" s="24"/>
      <c r="AGF31" s="24"/>
      <c r="AGG31" s="24"/>
      <c r="AGH31" s="24"/>
      <c r="AGI31" s="24"/>
      <c r="AGJ31" s="24"/>
      <c r="AGK31" s="24"/>
      <c r="AGL31" s="24"/>
      <c r="AGM31" s="24"/>
      <c r="AGN31" s="24"/>
      <c r="AGO31" s="24"/>
      <c r="AGP31" s="24"/>
      <c r="AGQ31" s="24"/>
      <c r="AGR31" s="24"/>
      <c r="AGS31" s="24"/>
      <c r="AGT31" s="24"/>
      <c r="AGU31" s="24"/>
      <c r="AGV31" s="24"/>
      <c r="AGW31" s="24"/>
      <c r="AGX31" s="24"/>
      <c r="AGY31" s="24"/>
      <c r="AGZ31" s="24"/>
      <c r="AHA31" s="24"/>
      <c r="AHB31" s="24"/>
      <c r="AHC31" s="24"/>
      <c r="AHD31" s="24"/>
      <c r="AHE31" s="24"/>
      <c r="AHF31" s="24"/>
      <c r="AHG31" s="24"/>
      <c r="AHH31" s="24"/>
      <c r="AHI31" s="24"/>
      <c r="AHJ31" s="24"/>
      <c r="AHK31" s="24"/>
      <c r="AHL31" s="24"/>
      <c r="AHM31" s="24"/>
      <c r="AHN31" s="24"/>
      <c r="AHO31" s="24"/>
      <c r="AHP31" s="24"/>
      <c r="AHQ31" s="24"/>
      <c r="AHR31" s="24"/>
      <c r="AHS31" s="24"/>
      <c r="AHT31" s="24"/>
      <c r="AHU31" s="24"/>
      <c r="AHV31" s="24"/>
      <c r="AHW31" s="24"/>
      <c r="AHX31" s="24"/>
      <c r="AHY31" s="24"/>
      <c r="AHZ31" s="24"/>
      <c r="AIA31" s="24"/>
      <c r="AIB31" s="24"/>
      <c r="AIC31" s="24"/>
      <c r="AID31" s="24"/>
      <c r="AIE31" s="24"/>
      <c r="AIF31" s="24"/>
      <c r="AIG31" s="24"/>
      <c r="AIH31" s="24"/>
      <c r="AII31" s="24"/>
      <c r="AIJ31" s="24"/>
      <c r="AIK31" s="24"/>
      <c r="AIL31" s="24"/>
      <c r="AIM31" s="24"/>
      <c r="AIN31" s="24"/>
      <c r="AIO31" s="24"/>
      <c r="AIP31" s="24"/>
      <c r="AIQ31" s="24"/>
      <c r="AIR31" s="24"/>
      <c r="AIS31" s="24"/>
      <c r="AIT31" s="24"/>
      <c r="AIU31" s="24"/>
      <c r="AIV31" s="24"/>
      <c r="AIW31" s="24"/>
      <c r="AIX31" s="24"/>
      <c r="AIY31" s="24"/>
      <c r="AIZ31" s="24"/>
      <c r="AJA31" s="24"/>
      <c r="AJB31" s="24"/>
      <c r="AJC31" s="24"/>
      <c r="AJD31" s="24"/>
      <c r="AJE31" s="24"/>
      <c r="AJF31" s="24"/>
      <c r="AJG31" s="24"/>
      <c r="AJH31" s="24"/>
      <c r="AJI31" s="24"/>
      <c r="AJJ31" s="24"/>
      <c r="AJK31" s="24"/>
      <c r="AJL31" s="24"/>
      <c r="AJM31" s="24"/>
      <c r="AJN31" s="24"/>
      <c r="AJO31" s="24"/>
      <c r="AJP31" s="24"/>
      <c r="AJQ31" s="24"/>
      <c r="AJR31" s="24"/>
      <c r="AJS31" s="24"/>
      <c r="AJT31" s="24"/>
      <c r="AJU31" s="24"/>
      <c r="AJV31" s="24"/>
      <c r="AJW31" s="24"/>
      <c r="AJX31" s="24"/>
      <c r="AJY31" s="24"/>
      <c r="AJZ31" s="24"/>
      <c r="AKA31" s="24"/>
      <c r="AKB31" s="24"/>
      <c r="AKC31" s="24"/>
      <c r="AKD31" s="24"/>
      <c r="AKE31" s="24"/>
      <c r="AKF31" s="24"/>
      <c r="AKG31" s="24"/>
      <c r="AKH31" s="24"/>
      <c r="AKI31" s="24"/>
      <c r="AKJ31" s="24"/>
      <c r="AKK31" s="24"/>
      <c r="AKL31" s="24"/>
      <c r="AKM31" s="24"/>
      <c r="AKN31" s="24"/>
      <c r="AKO31" s="24"/>
      <c r="AKP31" s="24"/>
      <c r="AKQ31" s="24"/>
      <c r="AKR31" s="24"/>
      <c r="AKS31" s="24"/>
      <c r="AKT31" s="24"/>
      <c r="AKU31" s="24"/>
      <c r="AKV31" s="24"/>
      <c r="AKW31" s="24"/>
      <c r="AKX31" s="24"/>
      <c r="AKY31" s="24"/>
      <c r="AKZ31" s="24"/>
      <c r="ALA31" s="24"/>
      <c r="ALB31" s="24"/>
      <c r="ALC31" s="24"/>
      <c r="ALD31" s="24"/>
      <c r="ALE31" s="24"/>
      <c r="ALF31" s="24"/>
      <c r="ALG31" s="24"/>
      <c r="ALH31" s="24"/>
      <c r="ALI31" s="24"/>
      <c r="ALJ31" s="24"/>
      <c r="ALK31" s="24"/>
      <c r="ALL31" s="24"/>
      <c r="ALM31" s="24"/>
      <c r="ALN31" s="24"/>
      <c r="ALO31" s="24"/>
      <c r="ALP31" s="24"/>
      <c r="ALQ31" s="24"/>
      <c r="ALR31" s="24"/>
      <c r="ALS31" s="24"/>
      <c r="ALT31" s="24"/>
      <c r="ALU31" s="24"/>
      <c r="ALV31" s="24"/>
      <c r="ALW31" s="24"/>
      <c r="ALX31" s="24"/>
      <c r="ALY31" s="24"/>
      <c r="ALZ31" s="24"/>
      <c r="AMA31" s="24"/>
      <c r="AMB31" s="24"/>
      <c r="AMC31" s="24"/>
      <c r="AMD31" s="24"/>
      <c r="AME31" s="24"/>
      <c r="AMF31" s="24"/>
      <c r="AMG31" s="24"/>
      <c r="AMH31" s="24"/>
    </row>
    <row r="32" spans="1:1022" ht="221.25" customHeight="1">
      <c r="A32" s="24"/>
      <c r="B32" s="502"/>
      <c r="C32" s="1135"/>
      <c r="D32" s="1137"/>
      <c r="E32" s="1140"/>
      <c r="F32" s="485"/>
      <c r="G32" s="606" t="s">
        <v>1002</v>
      </c>
      <c r="H32" s="606" t="s">
        <v>1003</v>
      </c>
      <c r="I32" s="606" t="s">
        <v>924</v>
      </c>
      <c r="J32" s="1127"/>
      <c r="K32" s="612" t="s">
        <v>1130</v>
      </c>
      <c r="L32" s="598" t="s">
        <v>1004</v>
      </c>
      <c r="M32" s="1127"/>
      <c r="N32" s="600" t="s">
        <v>936</v>
      </c>
      <c r="O32" s="1127"/>
      <c r="P32" s="1127"/>
      <c r="Q32" s="1127"/>
      <c r="R32" s="1127"/>
      <c r="S32" s="1127"/>
      <c r="T32" s="1127"/>
      <c r="U32" s="1130"/>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c r="KG32" s="24"/>
      <c r="KH32" s="24"/>
      <c r="KI32" s="24"/>
      <c r="KJ32" s="24"/>
      <c r="KK32" s="24"/>
      <c r="KL32" s="24"/>
      <c r="KM32" s="24"/>
      <c r="KN32" s="24"/>
      <c r="KO32" s="24"/>
      <c r="KP32" s="24"/>
      <c r="KQ32" s="24"/>
      <c r="KR32" s="24"/>
      <c r="KS32" s="24"/>
      <c r="KT32" s="24"/>
      <c r="KU32" s="24"/>
      <c r="KV32" s="24"/>
      <c r="KW32" s="24"/>
      <c r="KX32" s="24"/>
      <c r="KY32" s="24"/>
      <c r="KZ32" s="24"/>
      <c r="LA32" s="24"/>
      <c r="LB32" s="24"/>
      <c r="LC32" s="24"/>
      <c r="LD32" s="24"/>
      <c r="LE32" s="24"/>
      <c r="LF32" s="24"/>
      <c r="LG32" s="24"/>
      <c r="LH32" s="24"/>
      <c r="LI32" s="24"/>
      <c r="LJ32" s="24"/>
      <c r="LK32" s="24"/>
      <c r="LL32" s="24"/>
      <c r="LM32" s="24"/>
      <c r="LN32" s="24"/>
      <c r="LO32" s="24"/>
      <c r="LP32" s="24"/>
      <c r="LQ32" s="24"/>
      <c r="LR32" s="24"/>
      <c r="LS32" s="24"/>
      <c r="LT32" s="24"/>
      <c r="LU32" s="24"/>
      <c r="LV32" s="24"/>
      <c r="LW32" s="24"/>
      <c r="LX32" s="24"/>
      <c r="LY32" s="24"/>
      <c r="LZ32" s="24"/>
      <c r="MA32" s="24"/>
      <c r="MB32" s="24"/>
      <c r="MC32" s="24"/>
      <c r="MD32" s="24"/>
      <c r="ME32" s="24"/>
      <c r="MF32" s="24"/>
      <c r="MG32" s="24"/>
      <c r="MH32" s="24"/>
      <c r="MI32" s="24"/>
      <c r="MJ32" s="24"/>
      <c r="MK32" s="24"/>
      <c r="ML32" s="24"/>
      <c r="MM32" s="24"/>
      <c r="MN32" s="24"/>
      <c r="MO32" s="24"/>
      <c r="MP32" s="24"/>
      <c r="MQ32" s="24"/>
      <c r="MR32" s="24"/>
      <c r="MS32" s="24"/>
      <c r="MT32" s="24"/>
      <c r="MU32" s="24"/>
      <c r="MV32" s="24"/>
      <c r="MW32" s="24"/>
      <c r="MX32" s="24"/>
      <c r="MY32" s="24"/>
      <c r="MZ32" s="24"/>
      <c r="NA32" s="24"/>
      <c r="NB32" s="24"/>
      <c r="NC32" s="24"/>
      <c r="ND32" s="24"/>
      <c r="NE32" s="24"/>
      <c r="NF32" s="24"/>
      <c r="NG32" s="24"/>
      <c r="NH32" s="24"/>
      <c r="NI32" s="24"/>
      <c r="NJ32" s="24"/>
      <c r="NK32" s="24"/>
      <c r="NL32" s="24"/>
      <c r="NM32" s="24"/>
      <c r="NN32" s="24"/>
      <c r="NO32" s="24"/>
      <c r="NP32" s="24"/>
      <c r="NQ32" s="24"/>
      <c r="NR32" s="24"/>
      <c r="NS32" s="24"/>
      <c r="NT32" s="24"/>
      <c r="NU32" s="24"/>
      <c r="NV32" s="24"/>
      <c r="NW32" s="24"/>
      <c r="NX32" s="24"/>
      <c r="NY32" s="24"/>
      <c r="NZ32" s="24"/>
      <c r="OA32" s="24"/>
      <c r="OB32" s="24"/>
      <c r="OC32" s="24"/>
      <c r="OD32" s="24"/>
      <c r="OE32" s="24"/>
      <c r="OF32" s="24"/>
      <c r="OG32" s="24"/>
      <c r="OH32" s="24"/>
      <c r="OI32" s="24"/>
      <c r="OJ32" s="24"/>
      <c r="OK32" s="24"/>
      <c r="OL32" s="24"/>
      <c r="OM32" s="24"/>
      <c r="ON32" s="24"/>
      <c r="OO32" s="24"/>
      <c r="OP32" s="24"/>
      <c r="OQ32" s="24"/>
      <c r="OR32" s="24"/>
      <c r="OS32" s="24"/>
      <c r="OT32" s="24"/>
      <c r="OU32" s="24"/>
      <c r="OV32" s="24"/>
      <c r="OW32" s="24"/>
      <c r="OX32" s="24"/>
      <c r="OY32" s="24"/>
      <c r="OZ32" s="24"/>
      <c r="PA32" s="24"/>
      <c r="PB32" s="24"/>
      <c r="PC32" s="24"/>
      <c r="PD32" s="24"/>
      <c r="PE32" s="24"/>
      <c r="PF32" s="24"/>
      <c r="PG32" s="24"/>
      <c r="PH32" s="24"/>
      <c r="PI32" s="24"/>
      <c r="PJ32" s="24"/>
      <c r="PK32" s="24"/>
      <c r="PL32" s="24"/>
      <c r="PM32" s="24"/>
      <c r="PN32" s="24"/>
      <c r="PO32" s="24"/>
      <c r="PP32" s="24"/>
      <c r="PQ32" s="24"/>
      <c r="PR32" s="24"/>
      <c r="PS32" s="24"/>
      <c r="PT32" s="24"/>
      <c r="PU32" s="24"/>
      <c r="PV32" s="24"/>
      <c r="PW32" s="24"/>
      <c r="PX32" s="24"/>
      <c r="PY32" s="24"/>
      <c r="PZ32" s="24"/>
      <c r="QA32" s="24"/>
      <c r="QB32" s="24"/>
      <c r="QC32" s="24"/>
      <c r="QD32" s="24"/>
      <c r="QE32" s="24"/>
      <c r="QF32" s="24"/>
      <c r="QG32" s="24"/>
      <c r="QH32" s="24"/>
      <c r="QI32" s="24"/>
      <c r="QJ32" s="24"/>
      <c r="QK32" s="24"/>
      <c r="QL32" s="24"/>
      <c r="QM32" s="24"/>
      <c r="QN32" s="24"/>
      <c r="QO32" s="24"/>
      <c r="QP32" s="24"/>
      <c r="QQ32" s="24"/>
      <c r="QR32" s="24"/>
      <c r="QS32" s="24"/>
      <c r="QT32" s="24"/>
      <c r="QU32" s="24"/>
      <c r="QV32" s="24"/>
      <c r="QW32" s="24"/>
      <c r="QX32" s="24"/>
      <c r="QY32" s="24"/>
      <c r="QZ32" s="24"/>
      <c r="RA32" s="24"/>
      <c r="RB32" s="24"/>
      <c r="RC32" s="24"/>
      <c r="RD32" s="24"/>
      <c r="RE32" s="24"/>
      <c r="RF32" s="24"/>
      <c r="RG32" s="24"/>
      <c r="RH32" s="24"/>
      <c r="RI32" s="24"/>
      <c r="RJ32" s="24"/>
      <c r="RK32" s="24"/>
      <c r="RL32" s="24"/>
      <c r="RM32" s="24"/>
      <c r="RN32" s="24"/>
      <c r="RO32" s="24"/>
      <c r="RP32" s="24"/>
      <c r="RQ32" s="24"/>
      <c r="RR32" s="24"/>
      <c r="RS32" s="24"/>
      <c r="RT32" s="24"/>
      <c r="RU32" s="24"/>
      <c r="RV32" s="24"/>
      <c r="RW32" s="24"/>
      <c r="RX32" s="24"/>
      <c r="RY32" s="24"/>
      <c r="RZ32" s="24"/>
      <c r="SA32" s="24"/>
      <c r="SB32" s="24"/>
      <c r="SC32" s="24"/>
      <c r="SD32" s="24"/>
      <c r="SE32" s="24"/>
      <c r="SF32" s="24"/>
      <c r="SG32" s="24"/>
      <c r="SH32" s="24"/>
      <c r="SI32" s="24"/>
      <c r="SJ32" s="24"/>
      <c r="SK32" s="24"/>
      <c r="SL32" s="24"/>
      <c r="SM32" s="24"/>
      <c r="SN32" s="24"/>
      <c r="SO32" s="24"/>
      <c r="SP32" s="24"/>
      <c r="SQ32" s="24"/>
      <c r="SR32" s="24"/>
      <c r="SS32" s="24"/>
      <c r="ST32" s="24"/>
      <c r="SU32" s="24"/>
      <c r="SV32" s="24"/>
      <c r="SW32" s="24"/>
      <c r="SX32" s="24"/>
      <c r="SY32" s="24"/>
      <c r="SZ32" s="24"/>
      <c r="TA32" s="24"/>
      <c r="TB32" s="24"/>
      <c r="TC32" s="24"/>
      <c r="TD32" s="24"/>
      <c r="TE32" s="24"/>
      <c r="TF32" s="24"/>
      <c r="TG32" s="24"/>
      <c r="TH32" s="24"/>
      <c r="TI32" s="24"/>
      <c r="TJ32" s="24"/>
      <c r="TK32" s="24"/>
      <c r="TL32" s="24"/>
      <c r="TM32" s="24"/>
      <c r="TN32" s="24"/>
      <c r="TO32" s="24"/>
      <c r="TP32" s="24"/>
      <c r="TQ32" s="24"/>
      <c r="TR32" s="24"/>
      <c r="TS32" s="24"/>
      <c r="TT32" s="24"/>
      <c r="TU32" s="24"/>
      <c r="TV32" s="24"/>
      <c r="TW32" s="24"/>
      <c r="TX32" s="24"/>
      <c r="TY32" s="24"/>
      <c r="TZ32" s="24"/>
      <c r="UA32" s="24"/>
      <c r="UB32" s="24"/>
      <c r="UC32" s="24"/>
      <c r="UD32" s="24"/>
      <c r="UE32" s="24"/>
      <c r="UF32" s="24"/>
      <c r="UG32" s="24"/>
      <c r="UH32" s="24"/>
      <c r="UI32" s="24"/>
      <c r="UJ32" s="24"/>
      <c r="UK32" s="24"/>
      <c r="UL32" s="24"/>
      <c r="UM32" s="24"/>
      <c r="UN32" s="24"/>
      <c r="UO32" s="24"/>
      <c r="UP32" s="24"/>
      <c r="UQ32" s="24"/>
      <c r="UR32" s="24"/>
      <c r="US32" s="24"/>
      <c r="UT32" s="24"/>
      <c r="UU32" s="24"/>
      <c r="UV32" s="24"/>
      <c r="UW32" s="24"/>
      <c r="UX32" s="24"/>
      <c r="UY32" s="24"/>
      <c r="UZ32" s="24"/>
      <c r="VA32" s="24"/>
      <c r="VB32" s="24"/>
      <c r="VC32" s="24"/>
      <c r="VD32" s="24"/>
      <c r="VE32" s="24"/>
      <c r="VF32" s="24"/>
      <c r="VG32" s="24"/>
      <c r="VH32" s="24"/>
      <c r="VI32" s="24"/>
      <c r="VJ32" s="24"/>
      <c r="VK32" s="24"/>
      <c r="VL32" s="24"/>
      <c r="VM32" s="24"/>
      <c r="VN32" s="24"/>
      <c r="VO32" s="24"/>
      <c r="VP32" s="24"/>
      <c r="VQ32" s="24"/>
      <c r="VR32" s="24"/>
      <c r="VS32" s="24"/>
      <c r="VT32" s="24"/>
      <c r="VU32" s="24"/>
      <c r="VV32" s="24"/>
      <c r="VW32" s="24"/>
      <c r="VX32" s="24"/>
      <c r="VY32" s="24"/>
      <c r="VZ32" s="24"/>
      <c r="WA32" s="24"/>
      <c r="WB32" s="24"/>
      <c r="WC32" s="24"/>
      <c r="WD32" s="24"/>
      <c r="WE32" s="24"/>
      <c r="WF32" s="24"/>
      <c r="WG32" s="24"/>
      <c r="WH32" s="24"/>
      <c r="WI32" s="24"/>
      <c r="WJ32" s="24"/>
      <c r="WK32" s="24"/>
      <c r="WL32" s="24"/>
      <c r="WM32" s="24"/>
      <c r="WN32" s="24"/>
      <c r="WO32" s="24"/>
      <c r="WP32" s="24"/>
      <c r="WQ32" s="24"/>
      <c r="WR32" s="24"/>
      <c r="WS32" s="24"/>
      <c r="WT32" s="24"/>
      <c r="WU32" s="24"/>
      <c r="WV32" s="24"/>
      <c r="WW32" s="24"/>
      <c r="WX32" s="24"/>
      <c r="WY32" s="24"/>
      <c r="WZ32" s="24"/>
      <c r="XA32" s="24"/>
      <c r="XB32" s="24"/>
      <c r="XC32" s="24"/>
      <c r="XD32" s="24"/>
      <c r="XE32" s="24"/>
      <c r="XF32" s="24"/>
      <c r="XG32" s="24"/>
      <c r="XH32" s="24"/>
      <c r="XI32" s="24"/>
      <c r="XJ32" s="24"/>
      <c r="XK32" s="24"/>
      <c r="XL32" s="24"/>
      <c r="XM32" s="24"/>
      <c r="XN32" s="24"/>
      <c r="XO32" s="24"/>
      <c r="XP32" s="24"/>
      <c r="XQ32" s="24"/>
      <c r="XR32" s="24"/>
      <c r="XS32" s="24"/>
      <c r="XT32" s="24"/>
      <c r="XU32" s="24"/>
      <c r="XV32" s="24"/>
      <c r="XW32" s="24"/>
      <c r="XX32" s="24"/>
      <c r="XY32" s="24"/>
      <c r="XZ32" s="24"/>
      <c r="YA32" s="24"/>
      <c r="YB32" s="24"/>
      <c r="YC32" s="24"/>
      <c r="YD32" s="24"/>
      <c r="YE32" s="24"/>
      <c r="YF32" s="24"/>
      <c r="YG32" s="24"/>
      <c r="YH32" s="24"/>
      <c r="YI32" s="24"/>
      <c r="YJ32" s="24"/>
      <c r="YK32" s="24"/>
      <c r="YL32" s="24"/>
      <c r="YM32" s="24"/>
      <c r="YN32" s="24"/>
      <c r="YO32" s="24"/>
      <c r="YP32" s="24"/>
      <c r="YQ32" s="24"/>
      <c r="YR32" s="24"/>
      <c r="YS32" s="24"/>
      <c r="YT32" s="24"/>
      <c r="YU32" s="24"/>
      <c r="YV32" s="24"/>
      <c r="YW32" s="24"/>
      <c r="YX32" s="24"/>
      <c r="YY32" s="24"/>
      <c r="YZ32" s="24"/>
      <c r="ZA32" s="24"/>
      <c r="ZB32" s="24"/>
      <c r="ZC32" s="24"/>
      <c r="ZD32" s="24"/>
      <c r="ZE32" s="24"/>
      <c r="ZF32" s="24"/>
      <c r="ZG32" s="24"/>
      <c r="ZH32" s="24"/>
      <c r="ZI32" s="24"/>
      <c r="ZJ32" s="24"/>
      <c r="ZK32" s="24"/>
      <c r="ZL32" s="24"/>
      <c r="ZM32" s="24"/>
      <c r="ZN32" s="24"/>
      <c r="ZO32" s="24"/>
      <c r="ZP32" s="24"/>
      <c r="ZQ32" s="24"/>
      <c r="ZR32" s="24"/>
      <c r="ZS32" s="24"/>
      <c r="ZT32" s="24"/>
      <c r="ZU32" s="24"/>
      <c r="ZV32" s="24"/>
      <c r="ZW32" s="24"/>
      <c r="ZX32" s="24"/>
      <c r="ZY32" s="24"/>
      <c r="ZZ32" s="24"/>
      <c r="AAA32" s="24"/>
      <c r="AAB32" s="24"/>
      <c r="AAC32" s="24"/>
      <c r="AAD32" s="24"/>
      <c r="AAE32" s="24"/>
      <c r="AAF32" s="24"/>
      <c r="AAG32" s="24"/>
      <c r="AAH32" s="24"/>
      <c r="AAI32" s="24"/>
      <c r="AAJ32" s="24"/>
      <c r="AAK32" s="24"/>
      <c r="AAL32" s="24"/>
      <c r="AAM32" s="24"/>
      <c r="AAN32" s="24"/>
      <c r="AAO32" s="24"/>
      <c r="AAP32" s="24"/>
      <c r="AAQ32" s="24"/>
      <c r="AAR32" s="24"/>
      <c r="AAS32" s="24"/>
      <c r="AAT32" s="24"/>
      <c r="AAU32" s="24"/>
      <c r="AAV32" s="24"/>
      <c r="AAW32" s="24"/>
      <c r="AAX32" s="24"/>
      <c r="AAY32" s="24"/>
      <c r="AAZ32" s="24"/>
      <c r="ABA32" s="24"/>
      <c r="ABB32" s="24"/>
      <c r="ABC32" s="24"/>
      <c r="ABD32" s="24"/>
      <c r="ABE32" s="24"/>
      <c r="ABF32" s="24"/>
      <c r="ABG32" s="24"/>
      <c r="ABH32" s="24"/>
      <c r="ABI32" s="24"/>
      <c r="ABJ32" s="24"/>
      <c r="ABK32" s="24"/>
      <c r="ABL32" s="24"/>
      <c r="ABM32" s="24"/>
      <c r="ABN32" s="24"/>
      <c r="ABO32" s="24"/>
      <c r="ABP32" s="24"/>
      <c r="ABQ32" s="24"/>
      <c r="ABR32" s="24"/>
      <c r="ABS32" s="24"/>
      <c r="ABT32" s="24"/>
      <c r="ABU32" s="24"/>
      <c r="ABV32" s="24"/>
      <c r="ABW32" s="24"/>
      <c r="ABX32" s="24"/>
      <c r="ABY32" s="24"/>
      <c r="ABZ32" s="24"/>
      <c r="ACA32" s="24"/>
      <c r="ACB32" s="24"/>
      <c r="ACC32" s="24"/>
      <c r="ACD32" s="24"/>
      <c r="ACE32" s="24"/>
      <c r="ACF32" s="24"/>
      <c r="ACG32" s="24"/>
      <c r="ACH32" s="24"/>
      <c r="ACI32" s="24"/>
      <c r="ACJ32" s="24"/>
      <c r="ACK32" s="24"/>
      <c r="ACL32" s="24"/>
      <c r="ACM32" s="24"/>
      <c r="ACN32" s="24"/>
      <c r="ACO32" s="24"/>
      <c r="ACP32" s="24"/>
      <c r="ACQ32" s="24"/>
      <c r="ACR32" s="24"/>
      <c r="ACS32" s="24"/>
      <c r="ACT32" s="24"/>
      <c r="ACU32" s="24"/>
      <c r="ACV32" s="24"/>
      <c r="ACW32" s="24"/>
      <c r="ACX32" s="24"/>
      <c r="ACY32" s="24"/>
      <c r="ACZ32" s="24"/>
      <c r="ADA32" s="24"/>
      <c r="ADB32" s="24"/>
      <c r="ADC32" s="24"/>
      <c r="ADD32" s="24"/>
      <c r="ADE32" s="24"/>
      <c r="ADF32" s="24"/>
      <c r="ADG32" s="24"/>
      <c r="ADH32" s="24"/>
      <c r="ADI32" s="24"/>
      <c r="ADJ32" s="24"/>
      <c r="ADK32" s="24"/>
      <c r="ADL32" s="24"/>
      <c r="ADM32" s="24"/>
      <c r="ADN32" s="24"/>
      <c r="ADO32" s="24"/>
      <c r="ADP32" s="24"/>
      <c r="ADQ32" s="24"/>
      <c r="ADR32" s="24"/>
      <c r="ADS32" s="24"/>
      <c r="ADT32" s="24"/>
      <c r="ADU32" s="24"/>
      <c r="ADV32" s="24"/>
      <c r="ADW32" s="24"/>
      <c r="ADX32" s="24"/>
      <c r="ADY32" s="24"/>
      <c r="ADZ32" s="24"/>
      <c r="AEA32" s="24"/>
      <c r="AEB32" s="24"/>
      <c r="AEC32" s="24"/>
      <c r="AED32" s="24"/>
      <c r="AEE32" s="24"/>
      <c r="AEF32" s="24"/>
      <c r="AEG32" s="24"/>
      <c r="AEH32" s="24"/>
      <c r="AEI32" s="24"/>
      <c r="AEJ32" s="24"/>
      <c r="AEK32" s="24"/>
      <c r="AEL32" s="24"/>
      <c r="AEM32" s="24"/>
      <c r="AEN32" s="24"/>
      <c r="AEO32" s="24"/>
      <c r="AEP32" s="24"/>
      <c r="AEQ32" s="24"/>
      <c r="AER32" s="24"/>
      <c r="AES32" s="24"/>
      <c r="AET32" s="24"/>
      <c r="AEU32" s="24"/>
      <c r="AEV32" s="24"/>
      <c r="AEW32" s="24"/>
      <c r="AEX32" s="24"/>
      <c r="AEY32" s="24"/>
      <c r="AEZ32" s="24"/>
      <c r="AFA32" s="24"/>
      <c r="AFB32" s="24"/>
      <c r="AFC32" s="24"/>
      <c r="AFD32" s="24"/>
      <c r="AFE32" s="24"/>
      <c r="AFF32" s="24"/>
      <c r="AFG32" s="24"/>
      <c r="AFH32" s="24"/>
      <c r="AFI32" s="24"/>
      <c r="AFJ32" s="24"/>
      <c r="AFK32" s="24"/>
      <c r="AFL32" s="24"/>
      <c r="AFM32" s="24"/>
      <c r="AFN32" s="24"/>
      <c r="AFO32" s="24"/>
      <c r="AFP32" s="24"/>
      <c r="AFQ32" s="24"/>
      <c r="AFR32" s="24"/>
      <c r="AFS32" s="24"/>
      <c r="AFT32" s="24"/>
      <c r="AFU32" s="24"/>
      <c r="AFV32" s="24"/>
      <c r="AFW32" s="24"/>
      <c r="AFX32" s="24"/>
      <c r="AFY32" s="24"/>
      <c r="AFZ32" s="24"/>
      <c r="AGA32" s="24"/>
      <c r="AGB32" s="24"/>
      <c r="AGC32" s="24"/>
      <c r="AGD32" s="24"/>
      <c r="AGE32" s="24"/>
      <c r="AGF32" s="24"/>
      <c r="AGG32" s="24"/>
      <c r="AGH32" s="24"/>
      <c r="AGI32" s="24"/>
      <c r="AGJ32" s="24"/>
      <c r="AGK32" s="24"/>
      <c r="AGL32" s="24"/>
      <c r="AGM32" s="24"/>
      <c r="AGN32" s="24"/>
      <c r="AGO32" s="24"/>
      <c r="AGP32" s="24"/>
      <c r="AGQ32" s="24"/>
      <c r="AGR32" s="24"/>
      <c r="AGS32" s="24"/>
      <c r="AGT32" s="24"/>
      <c r="AGU32" s="24"/>
      <c r="AGV32" s="24"/>
      <c r="AGW32" s="24"/>
      <c r="AGX32" s="24"/>
      <c r="AGY32" s="24"/>
      <c r="AGZ32" s="24"/>
      <c r="AHA32" s="24"/>
      <c r="AHB32" s="24"/>
      <c r="AHC32" s="24"/>
      <c r="AHD32" s="24"/>
      <c r="AHE32" s="24"/>
      <c r="AHF32" s="24"/>
      <c r="AHG32" s="24"/>
      <c r="AHH32" s="24"/>
      <c r="AHI32" s="24"/>
      <c r="AHJ32" s="24"/>
      <c r="AHK32" s="24"/>
      <c r="AHL32" s="24"/>
      <c r="AHM32" s="24"/>
      <c r="AHN32" s="24"/>
      <c r="AHO32" s="24"/>
      <c r="AHP32" s="24"/>
      <c r="AHQ32" s="24"/>
      <c r="AHR32" s="24"/>
      <c r="AHS32" s="24"/>
      <c r="AHT32" s="24"/>
      <c r="AHU32" s="24"/>
      <c r="AHV32" s="24"/>
      <c r="AHW32" s="24"/>
      <c r="AHX32" s="24"/>
      <c r="AHY32" s="24"/>
      <c r="AHZ32" s="24"/>
      <c r="AIA32" s="24"/>
      <c r="AIB32" s="24"/>
      <c r="AIC32" s="24"/>
      <c r="AID32" s="24"/>
      <c r="AIE32" s="24"/>
      <c r="AIF32" s="24"/>
      <c r="AIG32" s="24"/>
      <c r="AIH32" s="24"/>
      <c r="AII32" s="24"/>
      <c r="AIJ32" s="24"/>
      <c r="AIK32" s="24"/>
      <c r="AIL32" s="24"/>
      <c r="AIM32" s="24"/>
      <c r="AIN32" s="24"/>
      <c r="AIO32" s="24"/>
      <c r="AIP32" s="24"/>
      <c r="AIQ32" s="24"/>
      <c r="AIR32" s="24"/>
      <c r="AIS32" s="24"/>
      <c r="AIT32" s="24"/>
      <c r="AIU32" s="24"/>
      <c r="AIV32" s="24"/>
      <c r="AIW32" s="24"/>
      <c r="AIX32" s="24"/>
      <c r="AIY32" s="24"/>
      <c r="AIZ32" s="24"/>
      <c r="AJA32" s="24"/>
      <c r="AJB32" s="24"/>
      <c r="AJC32" s="24"/>
      <c r="AJD32" s="24"/>
      <c r="AJE32" s="24"/>
      <c r="AJF32" s="24"/>
      <c r="AJG32" s="24"/>
      <c r="AJH32" s="24"/>
      <c r="AJI32" s="24"/>
      <c r="AJJ32" s="24"/>
      <c r="AJK32" s="24"/>
      <c r="AJL32" s="24"/>
      <c r="AJM32" s="24"/>
      <c r="AJN32" s="24"/>
      <c r="AJO32" s="24"/>
      <c r="AJP32" s="24"/>
      <c r="AJQ32" s="24"/>
      <c r="AJR32" s="24"/>
      <c r="AJS32" s="24"/>
      <c r="AJT32" s="24"/>
      <c r="AJU32" s="24"/>
      <c r="AJV32" s="24"/>
      <c r="AJW32" s="24"/>
      <c r="AJX32" s="24"/>
      <c r="AJY32" s="24"/>
      <c r="AJZ32" s="24"/>
      <c r="AKA32" s="24"/>
      <c r="AKB32" s="24"/>
      <c r="AKC32" s="24"/>
      <c r="AKD32" s="24"/>
      <c r="AKE32" s="24"/>
      <c r="AKF32" s="24"/>
      <c r="AKG32" s="24"/>
      <c r="AKH32" s="24"/>
      <c r="AKI32" s="24"/>
      <c r="AKJ32" s="24"/>
      <c r="AKK32" s="24"/>
      <c r="AKL32" s="24"/>
      <c r="AKM32" s="24"/>
      <c r="AKN32" s="24"/>
      <c r="AKO32" s="24"/>
      <c r="AKP32" s="24"/>
      <c r="AKQ32" s="24"/>
      <c r="AKR32" s="24"/>
      <c r="AKS32" s="24"/>
      <c r="AKT32" s="24"/>
      <c r="AKU32" s="24"/>
      <c r="AKV32" s="24"/>
      <c r="AKW32" s="24"/>
      <c r="AKX32" s="24"/>
      <c r="AKY32" s="24"/>
      <c r="AKZ32" s="24"/>
      <c r="ALA32" s="24"/>
      <c r="ALB32" s="24"/>
      <c r="ALC32" s="24"/>
      <c r="ALD32" s="24"/>
      <c r="ALE32" s="24"/>
      <c r="ALF32" s="24"/>
      <c r="ALG32" s="24"/>
      <c r="ALH32" s="24"/>
      <c r="ALI32" s="24"/>
      <c r="ALJ32" s="24"/>
      <c r="ALK32" s="24"/>
      <c r="ALL32" s="24"/>
      <c r="ALM32" s="24"/>
      <c r="ALN32" s="24"/>
      <c r="ALO32" s="24"/>
      <c r="ALP32" s="24"/>
      <c r="ALQ32" s="24"/>
      <c r="ALR32" s="24"/>
      <c r="ALS32" s="24"/>
      <c r="ALT32" s="24"/>
      <c r="ALU32" s="24"/>
      <c r="ALV32" s="24"/>
      <c r="ALW32" s="24"/>
      <c r="ALX32" s="24"/>
      <c r="ALY32" s="24"/>
      <c r="ALZ32" s="24"/>
      <c r="AMA32" s="24"/>
      <c r="AMB32" s="24"/>
      <c r="AMC32" s="24"/>
      <c r="AMD32" s="24"/>
      <c r="AME32" s="24"/>
      <c r="AMF32" s="24"/>
      <c r="AMG32" s="24"/>
      <c r="AMH32" s="24"/>
    </row>
    <row r="33" spans="2:21" s="24" customFormat="1" ht="89.25">
      <c r="B33" s="502"/>
      <c r="C33" s="1135"/>
      <c r="D33" s="1137"/>
      <c r="E33" s="1140"/>
      <c r="F33" s="485"/>
      <c r="G33" s="606" t="s">
        <v>981</v>
      </c>
      <c r="H33" s="606" t="s">
        <v>570</v>
      </c>
      <c r="I33" s="600" t="s">
        <v>570</v>
      </c>
      <c r="J33" s="1127"/>
      <c r="K33" s="602" t="s">
        <v>570</v>
      </c>
      <c r="L33" s="609" t="s">
        <v>980</v>
      </c>
      <c r="M33" s="1127"/>
      <c r="N33" s="517" t="s">
        <v>982</v>
      </c>
      <c r="O33" s="1127"/>
      <c r="P33" s="1127"/>
      <c r="Q33" s="1127"/>
      <c r="R33" s="1127"/>
      <c r="S33" s="1127"/>
      <c r="T33" s="1127"/>
      <c r="U33" s="1130"/>
    </row>
    <row r="34" spans="2:21" s="24" customFormat="1" ht="76.5" customHeight="1">
      <c r="B34" s="502"/>
      <c r="C34" s="1135"/>
      <c r="D34" s="1137"/>
      <c r="E34" s="1140"/>
      <c r="F34" s="485"/>
      <c r="G34" s="1139" t="s">
        <v>906</v>
      </c>
      <c r="H34" s="1139" t="s">
        <v>490</v>
      </c>
      <c r="I34" s="1126" t="s">
        <v>926</v>
      </c>
      <c r="J34" s="1127"/>
      <c r="K34" s="602" t="s">
        <v>145</v>
      </c>
      <c r="L34" s="1151" t="s">
        <v>972</v>
      </c>
      <c r="M34" s="1127"/>
      <c r="N34" s="1150" t="s">
        <v>913</v>
      </c>
      <c r="O34" s="1127"/>
      <c r="P34" s="1127"/>
      <c r="Q34" s="1127"/>
      <c r="R34" s="1127"/>
      <c r="S34" s="1127"/>
      <c r="T34" s="1127"/>
      <c r="U34" s="1130"/>
    </row>
    <row r="35" spans="2:21" s="24" customFormat="1" ht="165.75">
      <c r="B35" s="502"/>
      <c r="C35" s="1135"/>
      <c r="D35" s="1137"/>
      <c r="E35" s="1140"/>
      <c r="F35" s="485"/>
      <c r="G35" s="1140"/>
      <c r="H35" s="1140"/>
      <c r="I35" s="1127"/>
      <c r="J35" s="1127"/>
      <c r="K35" s="602" t="s">
        <v>146</v>
      </c>
      <c r="L35" s="1151"/>
      <c r="M35" s="1127"/>
      <c r="N35" s="1150"/>
      <c r="O35" s="1127"/>
      <c r="P35" s="1127"/>
      <c r="Q35" s="1127"/>
      <c r="R35" s="1127"/>
      <c r="S35" s="1127"/>
      <c r="T35" s="1127"/>
      <c r="U35" s="1130"/>
    </row>
    <row r="36" spans="2:21" s="24" customFormat="1" ht="76.5">
      <c r="B36" s="502"/>
      <c r="C36" s="1135"/>
      <c r="D36" s="1137"/>
      <c r="E36" s="1140"/>
      <c r="F36" s="485"/>
      <c r="G36" s="99" t="s">
        <v>907</v>
      </c>
      <c r="H36" s="608" t="s">
        <v>491</v>
      </c>
      <c r="I36" s="608" t="s">
        <v>926</v>
      </c>
      <c r="J36" s="1127"/>
      <c r="K36" s="602" t="s">
        <v>145</v>
      </c>
      <c r="L36" s="1151"/>
      <c r="M36" s="1127"/>
      <c r="N36" s="1150"/>
      <c r="O36" s="1127"/>
      <c r="P36" s="1127"/>
      <c r="Q36" s="1127"/>
      <c r="R36" s="1127"/>
      <c r="S36" s="1127"/>
      <c r="T36" s="1127"/>
      <c r="U36" s="1130"/>
    </row>
    <row r="37" spans="2:21" s="24" customFormat="1" ht="140.25">
      <c r="B37" s="502"/>
      <c r="C37" s="1145"/>
      <c r="D37" s="1138"/>
      <c r="E37" s="1141"/>
      <c r="F37" s="485"/>
      <c r="G37" s="612" t="s">
        <v>997</v>
      </c>
      <c r="H37" s="612" t="s">
        <v>998</v>
      </c>
      <c r="I37" s="612" t="s">
        <v>195</v>
      </c>
      <c r="J37" s="1146"/>
      <c r="K37" s="612" t="s">
        <v>1126</v>
      </c>
      <c r="L37" s="612" t="s">
        <v>1131</v>
      </c>
      <c r="M37" s="1146"/>
      <c r="N37" s="591" t="s">
        <v>999</v>
      </c>
      <c r="O37" s="1128"/>
      <c r="P37" s="1128"/>
      <c r="Q37" s="1128"/>
      <c r="R37" s="1128"/>
      <c r="S37" s="1128"/>
      <c r="T37" s="1128"/>
      <c r="U37" s="1131"/>
    </row>
    <row r="38" spans="2:21" s="24" customFormat="1" ht="76.5">
      <c r="B38" s="502"/>
      <c r="C38" s="1134" t="s">
        <v>619</v>
      </c>
      <c r="D38" s="1136" t="s">
        <v>885</v>
      </c>
      <c r="E38" s="1139" t="s">
        <v>901</v>
      </c>
      <c r="F38" s="485"/>
      <c r="G38" s="602" t="s">
        <v>967</v>
      </c>
      <c r="H38" s="602" t="s">
        <v>974</v>
      </c>
      <c r="I38" s="602" t="s">
        <v>924</v>
      </c>
      <c r="J38" s="1126">
        <v>1</v>
      </c>
      <c r="K38" s="602" t="s">
        <v>493</v>
      </c>
      <c r="L38" s="607" t="s">
        <v>970</v>
      </c>
      <c r="M38" s="1126" t="s">
        <v>965</v>
      </c>
      <c r="N38" s="608" t="s">
        <v>976</v>
      </c>
      <c r="O38" s="1126" t="s">
        <v>954</v>
      </c>
      <c r="P38" s="1126" t="s">
        <v>961</v>
      </c>
      <c r="Q38" s="1126" t="s">
        <v>780</v>
      </c>
      <c r="R38" s="1126"/>
      <c r="S38" s="1126">
        <v>1</v>
      </c>
      <c r="T38" s="1142" t="s">
        <v>918</v>
      </c>
      <c r="U38" s="1129" t="s">
        <v>957</v>
      </c>
    </row>
    <row r="39" spans="2:21" s="24" customFormat="1" ht="63.75">
      <c r="B39" s="502"/>
      <c r="C39" s="1135"/>
      <c r="D39" s="1137"/>
      <c r="E39" s="1140"/>
      <c r="F39" s="485"/>
      <c r="G39" s="609" t="s">
        <v>968</v>
      </c>
      <c r="H39" s="609" t="s">
        <v>1011</v>
      </c>
      <c r="I39" s="608" t="s">
        <v>925</v>
      </c>
      <c r="J39" s="1127"/>
      <c r="K39" s="1126" t="s">
        <v>568</v>
      </c>
      <c r="L39" s="1147" t="s">
        <v>971</v>
      </c>
      <c r="M39" s="1127"/>
      <c r="N39" s="1126" t="s">
        <v>976</v>
      </c>
      <c r="O39" s="1127"/>
      <c r="P39" s="1127"/>
      <c r="Q39" s="1127"/>
      <c r="R39" s="1127"/>
      <c r="S39" s="1127"/>
      <c r="T39" s="1143"/>
      <c r="U39" s="1130"/>
    </row>
    <row r="40" spans="2:21" s="24" customFormat="1" ht="63.75">
      <c r="B40" s="502"/>
      <c r="C40" s="1135"/>
      <c r="D40" s="1137"/>
      <c r="E40" s="1140"/>
      <c r="F40" s="485"/>
      <c r="G40" s="609" t="s">
        <v>969</v>
      </c>
      <c r="H40" s="609" t="s">
        <v>921</v>
      </c>
      <c r="I40" s="608" t="s">
        <v>924</v>
      </c>
      <c r="J40" s="1127"/>
      <c r="K40" s="1128"/>
      <c r="L40" s="1148"/>
      <c r="M40" s="1127"/>
      <c r="N40" s="1128"/>
      <c r="O40" s="1127"/>
      <c r="P40" s="1127"/>
      <c r="Q40" s="1127"/>
      <c r="R40" s="1127"/>
      <c r="S40" s="1127"/>
      <c r="T40" s="1143"/>
      <c r="U40" s="1130"/>
    </row>
    <row r="41" spans="2:21" s="24" customFormat="1" ht="140.25" customHeight="1">
      <c r="B41" s="502"/>
      <c r="C41" s="1135"/>
      <c r="D41" s="1137"/>
      <c r="E41" s="1140"/>
      <c r="F41" s="485"/>
      <c r="G41" s="606" t="s">
        <v>1002</v>
      </c>
      <c r="H41" s="606" t="s">
        <v>1003</v>
      </c>
      <c r="I41" s="606" t="s">
        <v>924</v>
      </c>
      <c r="J41" s="1127"/>
      <c r="K41" s="612" t="s">
        <v>1130</v>
      </c>
      <c r="L41" s="598" t="s">
        <v>1004</v>
      </c>
      <c r="M41" s="1127"/>
      <c r="N41" s="600" t="s">
        <v>936</v>
      </c>
      <c r="O41" s="1127"/>
      <c r="P41" s="1127"/>
      <c r="Q41" s="1127"/>
      <c r="R41" s="1127"/>
      <c r="S41" s="1127"/>
      <c r="T41" s="1143"/>
      <c r="U41" s="1130"/>
    </row>
    <row r="42" spans="2:21" s="24" customFormat="1" ht="76.5" customHeight="1">
      <c r="B42" s="502"/>
      <c r="C42" s="1135"/>
      <c r="D42" s="1137"/>
      <c r="E42" s="1140"/>
      <c r="F42" s="485"/>
      <c r="G42" s="1139" t="s">
        <v>906</v>
      </c>
      <c r="H42" s="1139" t="s">
        <v>490</v>
      </c>
      <c r="I42" s="1126" t="s">
        <v>926</v>
      </c>
      <c r="J42" s="1127"/>
      <c r="K42" s="602" t="s">
        <v>145</v>
      </c>
      <c r="L42" s="1149" t="s">
        <v>972</v>
      </c>
      <c r="M42" s="1127"/>
      <c r="N42" s="1150" t="s">
        <v>913</v>
      </c>
      <c r="O42" s="1127"/>
      <c r="P42" s="1127"/>
      <c r="Q42" s="1127"/>
      <c r="R42" s="1127"/>
      <c r="S42" s="1127"/>
      <c r="T42" s="1143"/>
      <c r="U42" s="1130"/>
    </row>
    <row r="43" spans="2:21" s="24" customFormat="1" ht="165.75">
      <c r="B43" s="502"/>
      <c r="C43" s="1135"/>
      <c r="D43" s="1137"/>
      <c r="E43" s="1140"/>
      <c r="F43" s="485"/>
      <c r="G43" s="1140"/>
      <c r="H43" s="1140"/>
      <c r="I43" s="1127"/>
      <c r="J43" s="1127"/>
      <c r="K43" s="602" t="s">
        <v>146</v>
      </c>
      <c r="L43" s="1149"/>
      <c r="M43" s="1127"/>
      <c r="N43" s="1150"/>
      <c r="O43" s="1127"/>
      <c r="P43" s="1127"/>
      <c r="Q43" s="1127"/>
      <c r="R43" s="1127"/>
      <c r="S43" s="1127"/>
      <c r="T43" s="1143"/>
      <c r="U43" s="1130"/>
    </row>
    <row r="44" spans="2:21" s="24" customFormat="1" ht="76.5">
      <c r="B44" s="502"/>
      <c r="C44" s="1135"/>
      <c r="D44" s="1137"/>
      <c r="E44" s="1140"/>
      <c r="F44" s="485"/>
      <c r="G44" s="99" t="s">
        <v>907</v>
      </c>
      <c r="H44" s="608" t="s">
        <v>491</v>
      </c>
      <c r="I44" s="608" t="s">
        <v>926</v>
      </c>
      <c r="J44" s="1127"/>
      <c r="K44" s="602" t="s">
        <v>145</v>
      </c>
      <c r="L44" s="1149"/>
      <c r="M44" s="1127"/>
      <c r="N44" s="1150"/>
      <c r="O44" s="1127"/>
      <c r="P44" s="1127"/>
      <c r="Q44" s="1127"/>
      <c r="R44" s="1127"/>
      <c r="S44" s="1127"/>
      <c r="T44" s="1143"/>
      <c r="U44" s="1130"/>
    </row>
    <row r="45" spans="2:21" s="24" customFormat="1" ht="140.25">
      <c r="B45" s="502"/>
      <c r="C45" s="1145"/>
      <c r="D45" s="1138"/>
      <c r="E45" s="1141"/>
      <c r="F45" s="485"/>
      <c r="G45" s="612" t="s">
        <v>997</v>
      </c>
      <c r="H45" s="612" t="s">
        <v>998</v>
      </c>
      <c r="I45" s="612" t="s">
        <v>195</v>
      </c>
      <c r="J45" s="1128"/>
      <c r="K45" s="612" t="s">
        <v>1126</v>
      </c>
      <c r="L45" s="612" t="s">
        <v>1131</v>
      </c>
      <c r="M45" s="1146"/>
      <c r="N45" s="591" t="s">
        <v>999</v>
      </c>
      <c r="O45" s="1128"/>
      <c r="P45" s="1128"/>
      <c r="Q45" s="1128"/>
      <c r="R45" s="1128"/>
      <c r="S45" s="1128"/>
      <c r="T45" s="1144"/>
      <c r="U45" s="1131"/>
    </row>
    <row r="46" spans="2:21" s="24" customFormat="1" ht="76.5" customHeight="1">
      <c r="B46" s="1132"/>
      <c r="C46" s="1134" t="s">
        <v>620</v>
      </c>
      <c r="D46" s="1136" t="s">
        <v>886</v>
      </c>
      <c r="E46" s="1139" t="s">
        <v>902</v>
      </c>
      <c r="F46" s="485"/>
      <c r="G46" s="1139" t="s">
        <v>906</v>
      </c>
      <c r="H46" s="1139" t="s">
        <v>490</v>
      </c>
      <c r="I46" s="1126" t="s">
        <v>926</v>
      </c>
      <c r="J46" s="1126">
        <v>1</v>
      </c>
      <c r="K46" s="602" t="s">
        <v>145</v>
      </c>
      <c r="L46" s="1127" t="s">
        <v>781</v>
      </c>
      <c r="M46" s="1126" t="s">
        <v>965</v>
      </c>
      <c r="N46" s="1127" t="s">
        <v>913</v>
      </c>
      <c r="O46" s="1126" t="s">
        <v>914</v>
      </c>
      <c r="P46" s="1126" t="s">
        <v>962</v>
      </c>
      <c r="Q46" s="1126" t="s">
        <v>780</v>
      </c>
      <c r="R46" s="1126"/>
      <c r="S46" s="1126">
        <v>1</v>
      </c>
      <c r="T46" s="1126" t="s">
        <v>657</v>
      </c>
      <c r="U46" s="1129" t="s">
        <v>959</v>
      </c>
    </row>
    <row r="47" spans="2:21" s="24" customFormat="1" ht="165.75">
      <c r="B47" s="1133"/>
      <c r="C47" s="1135"/>
      <c r="D47" s="1137"/>
      <c r="E47" s="1140"/>
      <c r="F47" s="485"/>
      <c r="G47" s="1141"/>
      <c r="H47" s="1141"/>
      <c r="I47" s="1128"/>
      <c r="J47" s="1127"/>
      <c r="K47" s="602" t="s">
        <v>146</v>
      </c>
      <c r="L47" s="1127"/>
      <c r="M47" s="1127"/>
      <c r="N47" s="1127"/>
      <c r="O47" s="1127"/>
      <c r="P47" s="1127"/>
      <c r="Q47" s="1127"/>
      <c r="R47" s="1127"/>
      <c r="S47" s="1127"/>
      <c r="T47" s="1127"/>
      <c r="U47" s="1130"/>
    </row>
    <row r="48" spans="2:21" s="24" customFormat="1" ht="76.5">
      <c r="B48" s="504"/>
      <c r="C48" s="1135"/>
      <c r="D48" s="1137"/>
      <c r="E48" s="1140"/>
      <c r="F48" s="485"/>
      <c r="G48" s="99" t="s">
        <v>907</v>
      </c>
      <c r="H48" s="608" t="s">
        <v>491</v>
      </c>
      <c r="I48" s="608" t="s">
        <v>926</v>
      </c>
      <c r="J48" s="1127"/>
      <c r="K48" s="602" t="s">
        <v>145</v>
      </c>
      <c r="L48" s="1128"/>
      <c r="M48" s="1127"/>
      <c r="N48" s="1127"/>
      <c r="O48" s="1127"/>
      <c r="P48" s="1127"/>
      <c r="Q48" s="1127"/>
      <c r="R48" s="1127"/>
      <c r="S48" s="1127"/>
      <c r="T48" s="1127"/>
      <c r="U48" s="1130"/>
    </row>
    <row r="49" spans="2:21" s="24" customFormat="1" ht="77.25" thickBot="1">
      <c r="B49" s="504"/>
      <c r="C49" s="1135"/>
      <c r="D49" s="1138"/>
      <c r="E49" s="1141"/>
      <c r="F49" s="485"/>
      <c r="G49" s="612" t="s">
        <v>997</v>
      </c>
      <c r="H49" s="612" t="s">
        <v>998</v>
      </c>
      <c r="I49" s="612" t="s">
        <v>195</v>
      </c>
      <c r="J49" s="1127"/>
      <c r="K49" s="612" t="s">
        <v>1126</v>
      </c>
      <c r="L49" s="599" t="s">
        <v>1132</v>
      </c>
      <c r="M49" s="1127"/>
      <c r="N49" s="591" t="s">
        <v>999</v>
      </c>
      <c r="O49" s="1128"/>
      <c r="P49" s="1128"/>
      <c r="Q49" s="1128"/>
      <c r="R49" s="1128"/>
      <c r="S49" s="1128"/>
      <c r="T49" s="1128"/>
      <c r="U49" s="1131"/>
    </row>
    <row r="50" spans="2:21" s="24" customFormat="1" ht="128.25" thickBot="1">
      <c r="B50" s="505"/>
      <c r="C50" s="506" t="s">
        <v>621</v>
      </c>
      <c r="D50" s="487" t="s">
        <v>622</v>
      </c>
      <c r="E50" s="488" t="s">
        <v>904</v>
      </c>
      <c r="F50" s="489"/>
      <c r="G50" s="488" t="s">
        <v>984</v>
      </c>
      <c r="H50" s="490" t="s">
        <v>983</v>
      </c>
      <c r="I50" s="490" t="s">
        <v>925</v>
      </c>
      <c r="J50" s="490">
        <v>1</v>
      </c>
      <c r="K50" s="490" t="s">
        <v>568</v>
      </c>
      <c r="L50" s="490" t="s">
        <v>985</v>
      </c>
      <c r="M50" s="490" t="s">
        <v>911</v>
      </c>
      <c r="N50" s="490" t="s">
        <v>986</v>
      </c>
      <c r="O50" s="490" t="s">
        <v>955</v>
      </c>
      <c r="P50" s="490" t="s">
        <v>428</v>
      </c>
      <c r="Q50" s="490" t="s">
        <v>780</v>
      </c>
      <c r="R50" s="490"/>
      <c r="S50" s="490">
        <v>1</v>
      </c>
      <c r="T50" s="490" t="s">
        <v>657</v>
      </c>
      <c r="U50" s="491" t="s">
        <v>958</v>
      </c>
    </row>
  </sheetData>
  <mergeCells count="133">
    <mergeCell ref="H6:H7"/>
    <mergeCell ref="I6:I7"/>
    <mergeCell ref="J6:J17"/>
    <mergeCell ref="L6:L9"/>
    <mergeCell ref="M6:M17"/>
    <mergeCell ref="N6:N17"/>
    <mergeCell ref="L11:L17"/>
    <mergeCell ref="B4:C4"/>
    <mergeCell ref="E4:F4"/>
    <mergeCell ref="C6:C17"/>
    <mergeCell ref="D6:D17"/>
    <mergeCell ref="E6:E17"/>
    <mergeCell ref="G6:G7"/>
    <mergeCell ref="G11:G17"/>
    <mergeCell ref="U6:U17"/>
    <mergeCell ref="O10:O17"/>
    <mergeCell ref="P10:P17"/>
    <mergeCell ref="Q10:Q17"/>
    <mergeCell ref="R10:R17"/>
    <mergeCell ref="S10:S17"/>
    <mergeCell ref="T10:T17"/>
    <mergeCell ref="O6:O9"/>
    <mergeCell ref="P6:P9"/>
    <mergeCell ref="Q6:Q9"/>
    <mergeCell ref="R6:R9"/>
    <mergeCell ref="S6:S9"/>
    <mergeCell ref="T6:T9"/>
    <mergeCell ref="J18:J22"/>
    <mergeCell ref="L18:L20"/>
    <mergeCell ref="M18:M22"/>
    <mergeCell ref="N18:N20"/>
    <mergeCell ref="O18:O22"/>
    <mergeCell ref="P18:P20"/>
    <mergeCell ref="C18:C22"/>
    <mergeCell ref="D18:D22"/>
    <mergeCell ref="E18:E22"/>
    <mergeCell ref="G18:G19"/>
    <mergeCell ref="H18:H19"/>
    <mergeCell ref="I18:I19"/>
    <mergeCell ref="Q18:Q20"/>
    <mergeCell ref="R18:R20"/>
    <mergeCell ref="S18:S20"/>
    <mergeCell ref="T18:T20"/>
    <mergeCell ref="U18:U22"/>
    <mergeCell ref="P21:P22"/>
    <mergeCell ref="Q21:Q22"/>
    <mergeCell ref="R21:R22"/>
    <mergeCell ref="S21:S22"/>
    <mergeCell ref="T21:T22"/>
    <mergeCell ref="P26:P27"/>
    <mergeCell ref="Q26:Q27"/>
    <mergeCell ref="Q23:Q25"/>
    <mergeCell ref="R23:R25"/>
    <mergeCell ref="S23:S25"/>
    <mergeCell ref="T23:T25"/>
    <mergeCell ref="U23:U25"/>
    <mergeCell ref="B26:B27"/>
    <mergeCell ref="C26:C27"/>
    <mergeCell ref="D26:D27"/>
    <mergeCell ref="E26:E27"/>
    <mergeCell ref="J26:J27"/>
    <mergeCell ref="C23:C25"/>
    <mergeCell ref="D23:D25"/>
    <mergeCell ref="E23:E25"/>
    <mergeCell ref="J23:J25"/>
    <mergeCell ref="M23:M25"/>
    <mergeCell ref="P23:P25"/>
    <mergeCell ref="T29:T37"/>
    <mergeCell ref="U29:U37"/>
    <mergeCell ref="R26:R27"/>
    <mergeCell ref="S26:S27"/>
    <mergeCell ref="T26:T27"/>
    <mergeCell ref="U26:U27"/>
    <mergeCell ref="C29:C37"/>
    <mergeCell ref="D29:D37"/>
    <mergeCell ref="E29:E37"/>
    <mergeCell ref="J29:J37"/>
    <mergeCell ref="M29:M37"/>
    <mergeCell ref="O29:O37"/>
    <mergeCell ref="L26:L27"/>
    <mergeCell ref="M26:M27"/>
    <mergeCell ref="N26:N27"/>
    <mergeCell ref="O26:O27"/>
    <mergeCell ref="K30:K31"/>
    <mergeCell ref="L30:L31"/>
    <mergeCell ref="N30:N31"/>
    <mergeCell ref="G34:G35"/>
    <mergeCell ref="H34:H35"/>
    <mergeCell ref="I34:I35"/>
    <mergeCell ref="L34:L36"/>
    <mergeCell ref="N34:N36"/>
    <mergeCell ref="P29:P37"/>
    <mergeCell ref="P38:P45"/>
    <mergeCell ref="Q38:Q45"/>
    <mergeCell ref="R38:R45"/>
    <mergeCell ref="S38:S45"/>
    <mergeCell ref="T38:T45"/>
    <mergeCell ref="U38:U45"/>
    <mergeCell ref="C38:C45"/>
    <mergeCell ref="D38:D45"/>
    <mergeCell ref="E38:E45"/>
    <mergeCell ref="J38:J45"/>
    <mergeCell ref="M38:M45"/>
    <mergeCell ref="O38:O45"/>
    <mergeCell ref="K39:K40"/>
    <mergeCell ref="L39:L40"/>
    <mergeCell ref="N39:N40"/>
    <mergeCell ref="G42:G43"/>
    <mergeCell ref="H42:H43"/>
    <mergeCell ref="I42:I43"/>
    <mergeCell ref="L42:L44"/>
    <mergeCell ref="N42:N44"/>
    <mergeCell ref="Q29:Q37"/>
    <mergeCell ref="R29:R37"/>
    <mergeCell ref="S29:S37"/>
    <mergeCell ref="B46:B47"/>
    <mergeCell ref="C46:C49"/>
    <mergeCell ref="D46:D49"/>
    <mergeCell ref="E46:E49"/>
    <mergeCell ref="G46:G47"/>
    <mergeCell ref="H46:H47"/>
    <mergeCell ref="P46:P49"/>
    <mergeCell ref="Q46:Q49"/>
    <mergeCell ref="R46:R49"/>
    <mergeCell ref="S46:S49"/>
    <mergeCell ref="T46:T49"/>
    <mergeCell ref="U46:U49"/>
    <mergeCell ref="I46:I47"/>
    <mergeCell ref="J46:J49"/>
    <mergeCell ref="L46:L48"/>
    <mergeCell ref="M46:M49"/>
    <mergeCell ref="N46:N48"/>
    <mergeCell ref="O46:O49"/>
  </mergeCells>
  <printOptions/>
  <pageMargins left="0.7" right="0.7" top="0.75" bottom="0.75" header="0.511805555555555" footer="0.51180555555555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5A7F2B"/>
  </sheetPr>
  <dimension ref="A1:E11"/>
  <sheetViews>
    <sheetView workbookViewId="0" topLeftCell="A1">
      <selection activeCell="D6" sqref="D6"/>
    </sheetView>
  </sheetViews>
  <sheetFormatPr defaultColWidth="10.8515625" defaultRowHeight="15"/>
  <cols>
    <col min="1" max="1" width="39.140625" style="103" customWidth="1"/>
    <col min="2" max="2" width="22.57421875" style="103" bestFit="1" customWidth="1"/>
    <col min="3" max="3" width="41.8515625" style="103" bestFit="1" customWidth="1"/>
    <col min="4" max="6" width="10.8515625" style="103" customWidth="1"/>
  </cols>
  <sheetData>
    <row r="1" spans="1:3" ht="12.75">
      <c r="A1" s="281" t="s">
        <v>235</v>
      </c>
      <c r="B1" s="151"/>
      <c r="C1" s="151"/>
    </row>
    <row r="2" spans="1:5" ht="51">
      <c r="A2" s="194" t="s">
        <v>238</v>
      </c>
      <c r="B2" s="194" t="s">
        <v>237</v>
      </c>
      <c r="C2" s="194" t="s">
        <v>180</v>
      </c>
      <c r="E2" s="508" t="s">
        <v>989</v>
      </c>
    </row>
    <row r="3" spans="1:3" ht="70.5" customHeight="1">
      <c r="A3" s="282" t="s">
        <v>240</v>
      </c>
      <c r="B3" s="269">
        <v>0.01</v>
      </c>
      <c r="C3" s="239" t="s">
        <v>484</v>
      </c>
    </row>
    <row r="4" spans="1:3" ht="15">
      <c r="A4" s="282" t="s">
        <v>239</v>
      </c>
      <c r="B4" s="269">
        <v>0.003</v>
      </c>
      <c r="C4" s="239" t="s">
        <v>484</v>
      </c>
    </row>
    <row r="5" spans="1:3" ht="51" customHeight="1">
      <c r="A5" s="282" t="s">
        <v>241</v>
      </c>
      <c r="B5" s="269">
        <v>8</v>
      </c>
      <c r="C5" s="239" t="s">
        <v>484</v>
      </c>
    </row>
    <row r="6" spans="1:3" ht="42.75" customHeight="1">
      <c r="A6" s="282" t="s">
        <v>242</v>
      </c>
      <c r="B6" s="269">
        <v>16</v>
      </c>
      <c r="C6" s="239" t="s">
        <v>484</v>
      </c>
    </row>
    <row r="7" spans="1:3" ht="49.5" customHeight="1">
      <c r="A7" s="282" t="s">
        <v>243</v>
      </c>
      <c r="B7" s="269">
        <v>0.6</v>
      </c>
      <c r="C7" s="239" t="s">
        <v>484</v>
      </c>
    </row>
    <row r="8" spans="1:3" ht="48.75" customHeight="1">
      <c r="A8" s="282" t="s">
        <v>244</v>
      </c>
      <c r="B8" s="269">
        <v>0.1</v>
      </c>
      <c r="C8" s="239" t="s">
        <v>484</v>
      </c>
    </row>
    <row r="9" spans="1:3" ht="39.75" customHeight="1">
      <c r="A9" s="282" t="s">
        <v>245</v>
      </c>
      <c r="B9" s="269">
        <v>8</v>
      </c>
      <c r="C9" s="239" t="s">
        <v>484</v>
      </c>
    </row>
    <row r="10" spans="1:3" ht="50.25" customHeight="1">
      <c r="A10" s="282" t="s">
        <v>246</v>
      </c>
      <c r="B10" s="269">
        <v>0.02</v>
      </c>
      <c r="C10" s="239" t="s">
        <v>484</v>
      </c>
    </row>
    <row r="11" spans="1:3" ht="30" customHeight="1">
      <c r="A11" s="282" t="s">
        <v>247</v>
      </c>
      <c r="B11" s="269">
        <v>0.01</v>
      </c>
      <c r="C11" s="239" t="s">
        <v>484</v>
      </c>
    </row>
  </sheetData>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5A7F2B"/>
  </sheetPr>
  <dimension ref="A1:E7"/>
  <sheetViews>
    <sheetView workbookViewId="0" topLeftCell="A1">
      <selection activeCell="A3" sqref="A3"/>
    </sheetView>
  </sheetViews>
  <sheetFormatPr defaultColWidth="10.8515625" defaultRowHeight="15"/>
  <cols>
    <col min="1" max="1" width="32.140625" style="103" customWidth="1"/>
    <col min="2" max="2" width="25.28125" style="103" customWidth="1"/>
    <col min="3" max="3" width="27.8515625" style="103" customWidth="1"/>
    <col min="4" max="4" width="10.8515625" style="103" customWidth="1"/>
  </cols>
  <sheetData>
    <row r="1" spans="1:3" ht="12.75">
      <c r="A1" s="281" t="s">
        <v>350</v>
      </c>
      <c r="B1" s="151"/>
      <c r="C1" s="151"/>
    </row>
    <row r="2" spans="1:5" ht="15">
      <c r="A2" s="194" t="s">
        <v>238</v>
      </c>
      <c r="B2" s="194"/>
      <c r="C2" s="194" t="s">
        <v>180</v>
      </c>
      <c r="E2" s="508" t="s">
        <v>989</v>
      </c>
    </row>
    <row r="3" spans="1:3" ht="45">
      <c r="A3" s="282" t="s">
        <v>805</v>
      </c>
      <c r="B3" s="269">
        <v>0.01</v>
      </c>
      <c r="C3" s="239" t="s">
        <v>485</v>
      </c>
    </row>
    <row r="4" spans="1:3" ht="30.75" customHeight="1">
      <c r="A4" s="282" t="s">
        <v>806</v>
      </c>
      <c r="B4" s="269">
        <v>0.011</v>
      </c>
      <c r="C4" s="239" t="s">
        <v>351</v>
      </c>
    </row>
    <row r="5" spans="1:3" ht="40.5">
      <c r="A5" s="282" t="s">
        <v>807</v>
      </c>
      <c r="B5" s="269">
        <v>0.11</v>
      </c>
      <c r="C5" s="239" t="s">
        <v>351</v>
      </c>
    </row>
    <row r="6" spans="1:3" ht="66">
      <c r="A6" s="282" t="s">
        <v>808</v>
      </c>
      <c r="B6" s="269">
        <v>0.21</v>
      </c>
      <c r="C6" s="239" t="s">
        <v>351</v>
      </c>
    </row>
    <row r="7" spans="1:3" ht="53.25">
      <c r="A7" s="282" t="s">
        <v>809</v>
      </c>
      <c r="B7" s="269">
        <v>0.24</v>
      </c>
      <c r="C7" s="239" t="s">
        <v>351</v>
      </c>
    </row>
  </sheetData>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5A7F2B"/>
  </sheetPr>
  <dimension ref="A1:E3"/>
  <sheetViews>
    <sheetView workbookViewId="0" topLeftCell="A1"/>
  </sheetViews>
  <sheetFormatPr defaultColWidth="10.8515625" defaultRowHeight="15"/>
  <cols>
    <col min="1" max="1" width="32.140625" style="103" customWidth="1"/>
    <col min="2" max="2" width="5.421875" style="103" bestFit="1" customWidth="1"/>
    <col min="3" max="3" width="28.28125" style="103" customWidth="1"/>
    <col min="4" max="4" width="10.8515625" style="103" customWidth="1"/>
  </cols>
  <sheetData>
    <row r="1" spans="1:3" ht="12.75">
      <c r="A1" s="281" t="s">
        <v>476</v>
      </c>
      <c r="B1" s="151"/>
      <c r="C1" s="151"/>
    </row>
    <row r="2" spans="1:5" ht="15">
      <c r="A2" s="194" t="s">
        <v>238</v>
      </c>
      <c r="B2" s="194"/>
      <c r="C2" s="194" t="s">
        <v>180</v>
      </c>
      <c r="E2" s="508" t="s">
        <v>989</v>
      </c>
    </row>
    <row r="3" spans="1:3" ht="45">
      <c r="A3" s="282" t="s">
        <v>805</v>
      </c>
      <c r="B3" s="269">
        <f>'3C5 FACTORES DE EMISIÓN'!B3</f>
        <v>0.01</v>
      </c>
      <c r="C3" s="239" t="s">
        <v>485</v>
      </c>
    </row>
  </sheetData>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5A7F2B"/>
  </sheetPr>
  <dimension ref="A1:F51"/>
  <sheetViews>
    <sheetView workbookViewId="0" topLeftCell="A1">
      <selection activeCell="B3" sqref="B3"/>
    </sheetView>
  </sheetViews>
  <sheetFormatPr defaultColWidth="10.8515625" defaultRowHeight="15"/>
  <cols>
    <col min="1" max="1" width="24.28125" style="224" customWidth="1"/>
    <col min="2" max="2" width="28.57421875" style="224" bestFit="1" customWidth="1"/>
    <col min="3" max="3" width="20.57421875" style="224" bestFit="1" customWidth="1"/>
    <col min="4" max="4" width="19.140625" style="224" bestFit="1" customWidth="1"/>
    <col min="5" max="5" width="34.00390625" style="224" bestFit="1" customWidth="1"/>
    <col min="6" max="6" width="11.421875" style="224" customWidth="1"/>
    <col min="7" max="252" width="11.421875" style="6" customWidth="1"/>
    <col min="253" max="253" width="3.28125" style="6" customWidth="1"/>
    <col min="254" max="254" width="15.8515625" style="6" customWidth="1"/>
    <col min="255" max="255" width="17.57421875" style="6" bestFit="1" customWidth="1"/>
    <col min="256" max="256" width="14.57421875" style="6" customWidth="1"/>
    <col min="257" max="257" width="13.7109375" style="6" customWidth="1"/>
    <col min="258" max="258" width="12.00390625" style="6" customWidth="1"/>
    <col min="259" max="259" width="18.8515625" style="6" customWidth="1"/>
    <col min="260" max="260" width="32.140625" style="6" bestFit="1" customWidth="1"/>
    <col min="261" max="508" width="11.421875" style="6" customWidth="1"/>
    <col min="509" max="509" width="3.28125" style="6" customWidth="1"/>
    <col min="510" max="510" width="15.8515625" style="6" customWidth="1"/>
    <col min="511" max="511" width="17.57421875" style="6" bestFit="1" customWidth="1"/>
    <col min="512" max="512" width="14.57421875" style="6" customWidth="1"/>
    <col min="513" max="513" width="13.7109375" style="6" customWidth="1"/>
    <col min="514" max="514" width="12.00390625" style="6" customWidth="1"/>
    <col min="515" max="515" width="18.8515625" style="6" customWidth="1"/>
    <col min="516" max="516" width="32.140625" style="6" bestFit="1" customWidth="1"/>
    <col min="517" max="764" width="11.421875" style="6" customWidth="1"/>
    <col min="765" max="765" width="3.28125" style="6" customWidth="1"/>
    <col min="766" max="766" width="15.8515625" style="6" customWidth="1"/>
    <col min="767" max="767" width="17.57421875" style="6" bestFit="1" customWidth="1"/>
    <col min="768" max="768" width="14.57421875" style="6" customWidth="1"/>
    <col min="769" max="769" width="13.7109375" style="6" customWidth="1"/>
    <col min="770" max="770" width="12.00390625" style="6" customWidth="1"/>
    <col min="771" max="771" width="18.8515625" style="6" customWidth="1"/>
    <col min="772" max="772" width="32.140625" style="6" bestFit="1" customWidth="1"/>
    <col min="773" max="1020" width="11.421875" style="6" customWidth="1"/>
    <col min="1021" max="1021" width="3.28125" style="6" customWidth="1"/>
    <col min="1022" max="1022" width="15.8515625" style="6" customWidth="1"/>
    <col min="1023" max="1023" width="17.57421875" style="6" bestFit="1" customWidth="1"/>
    <col min="1024" max="1024" width="14.57421875" style="6" customWidth="1"/>
    <col min="1025" max="1025" width="13.7109375" style="6" customWidth="1"/>
    <col min="1026" max="1026" width="12.00390625" style="6" customWidth="1"/>
    <col min="1027" max="1027" width="18.8515625" style="6" customWidth="1"/>
    <col min="1028" max="1028" width="32.140625" style="6" bestFit="1" customWidth="1"/>
    <col min="1029" max="1276" width="11.421875" style="6" customWidth="1"/>
    <col min="1277" max="1277" width="3.28125" style="6" customWidth="1"/>
    <col min="1278" max="1278" width="15.8515625" style="6" customWidth="1"/>
    <col min="1279" max="1279" width="17.57421875" style="6" bestFit="1" customWidth="1"/>
    <col min="1280" max="1280" width="14.57421875" style="6" customWidth="1"/>
    <col min="1281" max="1281" width="13.7109375" style="6" customWidth="1"/>
    <col min="1282" max="1282" width="12.00390625" style="6" customWidth="1"/>
    <col min="1283" max="1283" width="18.8515625" style="6" customWidth="1"/>
    <col min="1284" max="1284" width="32.140625" style="6" bestFit="1" customWidth="1"/>
    <col min="1285" max="1532" width="11.421875" style="6" customWidth="1"/>
    <col min="1533" max="1533" width="3.28125" style="6" customWidth="1"/>
    <col min="1534" max="1534" width="15.8515625" style="6" customWidth="1"/>
    <col min="1535" max="1535" width="17.57421875" style="6" bestFit="1" customWidth="1"/>
    <col min="1536" max="1536" width="14.57421875" style="6" customWidth="1"/>
    <col min="1537" max="1537" width="13.7109375" style="6" customWidth="1"/>
    <col min="1538" max="1538" width="12.00390625" style="6" customWidth="1"/>
    <col min="1539" max="1539" width="18.8515625" style="6" customWidth="1"/>
    <col min="1540" max="1540" width="32.140625" style="6" bestFit="1" customWidth="1"/>
    <col min="1541" max="1788" width="11.421875" style="6" customWidth="1"/>
    <col min="1789" max="1789" width="3.28125" style="6" customWidth="1"/>
    <col min="1790" max="1790" width="15.8515625" style="6" customWidth="1"/>
    <col min="1791" max="1791" width="17.57421875" style="6" bestFit="1" customWidth="1"/>
    <col min="1792" max="1792" width="14.57421875" style="6" customWidth="1"/>
    <col min="1793" max="1793" width="13.7109375" style="6" customWidth="1"/>
    <col min="1794" max="1794" width="12.00390625" style="6" customWidth="1"/>
    <col min="1795" max="1795" width="18.8515625" style="6" customWidth="1"/>
    <col min="1796" max="1796" width="32.140625" style="6" bestFit="1" customWidth="1"/>
    <col min="1797" max="2044" width="11.421875" style="6" customWidth="1"/>
    <col min="2045" max="2045" width="3.28125" style="6" customWidth="1"/>
    <col min="2046" max="2046" width="15.8515625" style="6" customWidth="1"/>
    <col min="2047" max="2047" width="17.57421875" style="6" bestFit="1" customWidth="1"/>
    <col min="2048" max="2048" width="14.57421875" style="6" customWidth="1"/>
    <col min="2049" max="2049" width="13.7109375" style="6" customWidth="1"/>
    <col min="2050" max="2050" width="12.00390625" style="6" customWidth="1"/>
    <col min="2051" max="2051" width="18.8515625" style="6" customWidth="1"/>
    <col min="2052" max="2052" width="32.140625" style="6" bestFit="1" customWidth="1"/>
    <col min="2053" max="2300" width="11.421875" style="6" customWidth="1"/>
    <col min="2301" max="2301" width="3.28125" style="6" customWidth="1"/>
    <col min="2302" max="2302" width="15.8515625" style="6" customWidth="1"/>
    <col min="2303" max="2303" width="17.57421875" style="6" bestFit="1" customWidth="1"/>
    <col min="2304" max="2304" width="14.57421875" style="6" customWidth="1"/>
    <col min="2305" max="2305" width="13.7109375" style="6" customWidth="1"/>
    <col min="2306" max="2306" width="12.00390625" style="6" customWidth="1"/>
    <col min="2307" max="2307" width="18.8515625" style="6" customWidth="1"/>
    <col min="2308" max="2308" width="32.140625" style="6" bestFit="1" customWidth="1"/>
    <col min="2309" max="2556" width="11.421875" style="6" customWidth="1"/>
    <col min="2557" max="2557" width="3.28125" style="6" customWidth="1"/>
    <col min="2558" max="2558" width="15.8515625" style="6" customWidth="1"/>
    <col min="2559" max="2559" width="17.57421875" style="6" bestFit="1" customWidth="1"/>
    <col min="2560" max="2560" width="14.57421875" style="6" customWidth="1"/>
    <col min="2561" max="2561" width="13.7109375" style="6" customWidth="1"/>
    <col min="2562" max="2562" width="12.00390625" style="6" customWidth="1"/>
    <col min="2563" max="2563" width="18.8515625" style="6" customWidth="1"/>
    <col min="2564" max="2564" width="32.140625" style="6" bestFit="1" customWidth="1"/>
    <col min="2565" max="2812" width="11.421875" style="6" customWidth="1"/>
    <col min="2813" max="2813" width="3.28125" style="6" customWidth="1"/>
    <col min="2814" max="2814" width="15.8515625" style="6" customWidth="1"/>
    <col min="2815" max="2815" width="17.57421875" style="6" bestFit="1" customWidth="1"/>
    <col min="2816" max="2816" width="14.57421875" style="6" customWidth="1"/>
    <col min="2817" max="2817" width="13.7109375" style="6" customWidth="1"/>
    <col min="2818" max="2818" width="12.00390625" style="6" customWidth="1"/>
    <col min="2819" max="2819" width="18.8515625" style="6" customWidth="1"/>
    <col min="2820" max="2820" width="32.140625" style="6" bestFit="1" customWidth="1"/>
    <col min="2821" max="3068" width="11.421875" style="6" customWidth="1"/>
    <col min="3069" max="3069" width="3.28125" style="6" customWidth="1"/>
    <col min="3070" max="3070" width="15.8515625" style="6" customWidth="1"/>
    <col min="3071" max="3071" width="17.57421875" style="6" bestFit="1" customWidth="1"/>
    <col min="3072" max="3072" width="14.57421875" style="6" customWidth="1"/>
    <col min="3073" max="3073" width="13.7109375" style="6" customWidth="1"/>
    <col min="3074" max="3074" width="12.00390625" style="6" customWidth="1"/>
    <col min="3075" max="3075" width="18.8515625" style="6" customWidth="1"/>
    <col min="3076" max="3076" width="32.140625" style="6" bestFit="1" customWidth="1"/>
    <col min="3077" max="3324" width="11.421875" style="6" customWidth="1"/>
    <col min="3325" max="3325" width="3.28125" style="6" customWidth="1"/>
    <col min="3326" max="3326" width="15.8515625" style="6" customWidth="1"/>
    <col min="3327" max="3327" width="17.57421875" style="6" bestFit="1" customWidth="1"/>
    <col min="3328" max="3328" width="14.57421875" style="6" customWidth="1"/>
    <col min="3329" max="3329" width="13.7109375" style="6" customWidth="1"/>
    <col min="3330" max="3330" width="12.00390625" style="6" customWidth="1"/>
    <col min="3331" max="3331" width="18.8515625" style="6" customWidth="1"/>
    <col min="3332" max="3332" width="32.140625" style="6" bestFit="1" customWidth="1"/>
    <col min="3333" max="3580" width="11.421875" style="6" customWidth="1"/>
    <col min="3581" max="3581" width="3.28125" style="6" customWidth="1"/>
    <col min="3582" max="3582" width="15.8515625" style="6" customWidth="1"/>
    <col min="3583" max="3583" width="17.57421875" style="6" bestFit="1" customWidth="1"/>
    <col min="3584" max="3584" width="14.57421875" style="6" customWidth="1"/>
    <col min="3585" max="3585" width="13.7109375" style="6" customWidth="1"/>
    <col min="3586" max="3586" width="12.00390625" style="6" customWidth="1"/>
    <col min="3587" max="3587" width="18.8515625" style="6" customWidth="1"/>
    <col min="3588" max="3588" width="32.140625" style="6" bestFit="1" customWidth="1"/>
    <col min="3589" max="3836" width="11.421875" style="6" customWidth="1"/>
    <col min="3837" max="3837" width="3.28125" style="6" customWidth="1"/>
    <col min="3838" max="3838" width="15.8515625" style="6" customWidth="1"/>
    <col min="3839" max="3839" width="17.57421875" style="6" bestFit="1" customWidth="1"/>
    <col min="3840" max="3840" width="14.57421875" style="6" customWidth="1"/>
    <col min="3841" max="3841" width="13.7109375" style="6" customWidth="1"/>
    <col min="3842" max="3842" width="12.00390625" style="6" customWidth="1"/>
    <col min="3843" max="3843" width="18.8515625" style="6" customWidth="1"/>
    <col min="3844" max="3844" width="32.140625" style="6" bestFit="1" customWidth="1"/>
    <col min="3845" max="4092" width="11.421875" style="6" customWidth="1"/>
    <col min="4093" max="4093" width="3.28125" style="6" customWidth="1"/>
    <col min="4094" max="4094" width="15.8515625" style="6" customWidth="1"/>
    <col min="4095" max="4095" width="17.57421875" style="6" bestFit="1" customWidth="1"/>
    <col min="4096" max="4096" width="14.57421875" style="6" customWidth="1"/>
    <col min="4097" max="4097" width="13.7109375" style="6" customWidth="1"/>
    <col min="4098" max="4098" width="12.00390625" style="6" customWidth="1"/>
    <col min="4099" max="4099" width="18.8515625" style="6" customWidth="1"/>
    <col min="4100" max="4100" width="32.140625" style="6" bestFit="1" customWidth="1"/>
    <col min="4101" max="4348" width="11.421875" style="6" customWidth="1"/>
    <col min="4349" max="4349" width="3.28125" style="6" customWidth="1"/>
    <col min="4350" max="4350" width="15.8515625" style="6" customWidth="1"/>
    <col min="4351" max="4351" width="17.57421875" style="6" bestFit="1" customWidth="1"/>
    <col min="4352" max="4352" width="14.57421875" style="6" customWidth="1"/>
    <col min="4353" max="4353" width="13.7109375" style="6" customWidth="1"/>
    <col min="4354" max="4354" width="12.00390625" style="6" customWidth="1"/>
    <col min="4355" max="4355" width="18.8515625" style="6" customWidth="1"/>
    <col min="4356" max="4356" width="32.140625" style="6" bestFit="1" customWidth="1"/>
    <col min="4357" max="4604" width="11.421875" style="6" customWidth="1"/>
    <col min="4605" max="4605" width="3.28125" style="6" customWidth="1"/>
    <col min="4606" max="4606" width="15.8515625" style="6" customWidth="1"/>
    <col min="4607" max="4607" width="17.57421875" style="6" bestFit="1" customWidth="1"/>
    <col min="4608" max="4608" width="14.57421875" style="6" customWidth="1"/>
    <col min="4609" max="4609" width="13.7109375" style="6" customWidth="1"/>
    <col min="4610" max="4610" width="12.00390625" style="6" customWidth="1"/>
    <col min="4611" max="4611" width="18.8515625" style="6" customWidth="1"/>
    <col min="4612" max="4612" width="32.140625" style="6" bestFit="1" customWidth="1"/>
    <col min="4613" max="4860" width="11.421875" style="6" customWidth="1"/>
    <col min="4861" max="4861" width="3.28125" style="6" customWidth="1"/>
    <col min="4862" max="4862" width="15.8515625" style="6" customWidth="1"/>
    <col min="4863" max="4863" width="17.57421875" style="6" bestFit="1" customWidth="1"/>
    <col min="4864" max="4864" width="14.57421875" style="6" customWidth="1"/>
    <col min="4865" max="4865" width="13.7109375" style="6" customWidth="1"/>
    <col min="4866" max="4866" width="12.00390625" style="6" customWidth="1"/>
    <col min="4867" max="4867" width="18.8515625" style="6" customWidth="1"/>
    <col min="4868" max="4868" width="32.140625" style="6" bestFit="1" customWidth="1"/>
    <col min="4869" max="5116" width="11.421875" style="6" customWidth="1"/>
    <col min="5117" max="5117" width="3.28125" style="6" customWidth="1"/>
    <col min="5118" max="5118" width="15.8515625" style="6" customWidth="1"/>
    <col min="5119" max="5119" width="17.57421875" style="6" bestFit="1" customWidth="1"/>
    <col min="5120" max="5120" width="14.57421875" style="6" customWidth="1"/>
    <col min="5121" max="5121" width="13.7109375" style="6" customWidth="1"/>
    <col min="5122" max="5122" width="12.00390625" style="6" customWidth="1"/>
    <col min="5123" max="5123" width="18.8515625" style="6" customWidth="1"/>
    <col min="5124" max="5124" width="32.140625" style="6" bestFit="1" customWidth="1"/>
    <col min="5125" max="5372" width="11.421875" style="6" customWidth="1"/>
    <col min="5373" max="5373" width="3.28125" style="6" customWidth="1"/>
    <col min="5374" max="5374" width="15.8515625" style="6" customWidth="1"/>
    <col min="5375" max="5375" width="17.57421875" style="6" bestFit="1" customWidth="1"/>
    <col min="5376" max="5376" width="14.57421875" style="6" customWidth="1"/>
    <col min="5377" max="5377" width="13.7109375" style="6" customWidth="1"/>
    <col min="5378" max="5378" width="12.00390625" style="6" customWidth="1"/>
    <col min="5379" max="5379" width="18.8515625" style="6" customWidth="1"/>
    <col min="5380" max="5380" width="32.140625" style="6" bestFit="1" customWidth="1"/>
    <col min="5381" max="5628" width="11.421875" style="6" customWidth="1"/>
    <col min="5629" max="5629" width="3.28125" style="6" customWidth="1"/>
    <col min="5630" max="5630" width="15.8515625" style="6" customWidth="1"/>
    <col min="5631" max="5631" width="17.57421875" style="6" bestFit="1" customWidth="1"/>
    <col min="5632" max="5632" width="14.57421875" style="6" customWidth="1"/>
    <col min="5633" max="5633" width="13.7109375" style="6" customWidth="1"/>
    <col min="5634" max="5634" width="12.00390625" style="6" customWidth="1"/>
    <col min="5635" max="5635" width="18.8515625" style="6" customWidth="1"/>
    <col min="5636" max="5636" width="32.140625" style="6" bestFit="1" customWidth="1"/>
    <col min="5637" max="5884" width="11.421875" style="6" customWidth="1"/>
    <col min="5885" max="5885" width="3.28125" style="6" customWidth="1"/>
    <col min="5886" max="5886" width="15.8515625" style="6" customWidth="1"/>
    <col min="5887" max="5887" width="17.57421875" style="6" bestFit="1" customWidth="1"/>
    <col min="5888" max="5888" width="14.57421875" style="6" customWidth="1"/>
    <col min="5889" max="5889" width="13.7109375" style="6" customWidth="1"/>
    <col min="5890" max="5890" width="12.00390625" style="6" customWidth="1"/>
    <col min="5891" max="5891" width="18.8515625" style="6" customWidth="1"/>
    <col min="5892" max="5892" width="32.140625" style="6" bestFit="1" customWidth="1"/>
    <col min="5893" max="6140" width="11.421875" style="6" customWidth="1"/>
    <col min="6141" max="6141" width="3.28125" style="6" customWidth="1"/>
    <col min="6142" max="6142" width="15.8515625" style="6" customWidth="1"/>
    <col min="6143" max="6143" width="17.57421875" style="6" bestFit="1" customWidth="1"/>
    <col min="6144" max="6144" width="14.57421875" style="6" customWidth="1"/>
    <col min="6145" max="6145" width="13.7109375" style="6" customWidth="1"/>
    <col min="6146" max="6146" width="12.00390625" style="6" customWidth="1"/>
    <col min="6147" max="6147" width="18.8515625" style="6" customWidth="1"/>
    <col min="6148" max="6148" width="32.140625" style="6" bestFit="1" customWidth="1"/>
    <col min="6149" max="6396" width="11.421875" style="6" customWidth="1"/>
    <col min="6397" max="6397" width="3.28125" style="6" customWidth="1"/>
    <col min="6398" max="6398" width="15.8515625" style="6" customWidth="1"/>
    <col min="6399" max="6399" width="17.57421875" style="6" bestFit="1" customWidth="1"/>
    <col min="6400" max="6400" width="14.57421875" style="6" customWidth="1"/>
    <col min="6401" max="6401" width="13.7109375" style="6" customWidth="1"/>
    <col min="6402" max="6402" width="12.00390625" style="6" customWidth="1"/>
    <col min="6403" max="6403" width="18.8515625" style="6" customWidth="1"/>
    <col min="6404" max="6404" width="32.140625" style="6" bestFit="1" customWidth="1"/>
    <col min="6405" max="6652" width="11.421875" style="6" customWidth="1"/>
    <col min="6653" max="6653" width="3.28125" style="6" customWidth="1"/>
    <col min="6654" max="6654" width="15.8515625" style="6" customWidth="1"/>
    <col min="6655" max="6655" width="17.57421875" style="6" bestFit="1" customWidth="1"/>
    <col min="6656" max="6656" width="14.57421875" style="6" customWidth="1"/>
    <col min="6657" max="6657" width="13.7109375" style="6" customWidth="1"/>
    <col min="6658" max="6658" width="12.00390625" style="6" customWidth="1"/>
    <col min="6659" max="6659" width="18.8515625" style="6" customWidth="1"/>
    <col min="6660" max="6660" width="32.140625" style="6" bestFit="1" customWidth="1"/>
    <col min="6661" max="6908" width="11.421875" style="6" customWidth="1"/>
    <col min="6909" max="6909" width="3.28125" style="6" customWidth="1"/>
    <col min="6910" max="6910" width="15.8515625" style="6" customWidth="1"/>
    <col min="6911" max="6911" width="17.57421875" style="6" bestFit="1" customWidth="1"/>
    <col min="6912" max="6912" width="14.57421875" style="6" customWidth="1"/>
    <col min="6913" max="6913" width="13.7109375" style="6" customWidth="1"/>
    <col min="6914" max="6914" width="12.00390625" style="6" customWidth="1"/>
    <col min="6915" max="6915" width="18.8515625" style="6" customWidth="1"/>
    <col min="6916" max="6916" width="32.140625" style="6" bestFit="1" customWidth="1"/>
    <col min="6917" max="7164" width="11.421875" style="6" customWidth="1"/>
    <col min="7165" max="7165" width="3.28125" style="6" customWidth="1"/>
    <col min="7166" max="7166" width="15.8515625" style="6" customWidth="1"/>
    <col min="7167" max="7167" width="17.57421875" style="6" bestFit="1" customWidth="1"/>
    <col min="7168" max="7168" width="14.57421875" style="6" customWidth="1"/>
    <col min="7169" max="7169" width="13.7109375" style="6" customWidth="1"/>
    <col min="7170" max="7170" width="12.00390625" style="6" customWidth="1"/>
    <col min="7171" max="7171" width="18.8515625" style="6" customWidth="1"/>
    <col min="7172" max="7172" width="32.140625" style="6" bestFit="1" customWidth="1"/>
    <col min="7173" max="7420" width="11.421875" style="6" customWidth="1"/>
    <col min="7421" max="7421" width="3.28125" style="6" customWidth="1"/>
    <col min="7422" max="7422" width="15.8515625" style="6" customWidth="1"/>
    <col min="7423" max="7423" width="17.57421875" style="6" bestFit="1" customWidth="1"/>
    <col min="7424" max="7424" width="14.57421875" style="6" customWidth="1"/>
    <col min="7425" max="7425" width="13.7109375" style="6" customWidth="1"/>
    <col min="7426" max="7426" width="12.00390625" style="6" customWidth="1"/>
    <col min="7427" max="7427" width="18.8515625" style="6" customWidth="1"/>
    <col min="7428" max="7428" width="32.140625" style="6" bestFit="1" customWidth="1"/>
    <col min="7429" max="7676" width="11.421875" style="6" customWidth="1"/>
    <col min="7677" max="7677" width="3.28125" style="6" customWidth="1"/>
    <col min="7678" max="7678" width="15.8515625" style="6" customWidth="1"/>
    <col min="7679" max="7679" width="17.57421875" style="6" bestFit="1" customWidth="1"/>
    <col min="7680" max="7680" width="14.57421875" style="6" customWidth="1"/>
    <col min="7681" max="7681" width="13.7109375" style="6" customWidth="1"/>
    <col min="7682" max="7682" width="12.00390625" style="6" customWidth="1"/>
    <col min="7683" max="7683" width="18.8515625" style="6" customWidth="1"/>
    <col min="7684" max="7684" width="32.140625" style="6" bestFit="1" customWidth="1"/>
    <col min="7685" max="7932" width="11.421875" style="6" customWidth="1"/>
    <col min="7933" max="7933" width="3.28125" style="6" customWidth="1"/>
    <col min="7934" max="7934" width="15.8515625" style="6" customWidth="1"/>
    <col min="7935" max="7935" width="17.57421875" style="6" bestFit="1" customWidth="1"/>
    <col min="7936" max="7936" width="14.57421875" style="6" customWidth="1"/>
    <col min="7937" max="7937" width="13.7109375" style="6" customWidth="1"/>
    <col min="7938" max="7938" width="12.00390625" style="6" customWidth="1"/>
    <col min="7939" max="7939" width="18.8515625" style="6" customWidth="1"/>
    <col min="7940" max="7940" width="32.140625" style="6" bestFit="1" customWidth="1"/>
    <col min="7941" max="8188" width="11.421875" style="6" customWidth="1"/>
    <col min="8189" max="8189" width="3.28125" style="6" customWidth="1"/>
    <col min="8190" max="8190" width="15.8515625" style="6" customWidth="1"/>
    <col min="8191" max="8191" width="17.57421875" style="6" bestFit="1" customWidth="1"/>
    <col min="8192" max="8192" width="14.57421875" style="6" customWidth="1"/>
    <col min="8193" max="8193" width="13.7109375" style="6" customWidth="1"/>
    <col min="8194" max="8194" width="12.00390625" style="6" customWidth="1"/>
    <col min="8195" max="8195" width="18.8515625" style="6" customWidth="1"/>
    <col min="8196" max="8196" width="32.140625" style="6" bestFit="1" customWidth="1"/>
    <col min="8197" max="8444" width="11.421875" style="6" customWidth="1"/>
    <col min="8445" max="8445" width="3.28125" style="6" customWidth="1"/>
    <col min="8446" max="8446" width="15.8515625" style="6" customWidth="1"/>
    <col min="8447" max="8447" width="17.57421875" style="6" bestFit="1" customWidth="1"/>
    <col min="8448" max="8448" width="14.57421875" style="6" customWidth="1"/>
    <col min="8449" max="8449" width="13.7109375" style="6" customWidth="1"/>
    <col min="8450" max="8450" width="12.00390625" style="6" customWidth="1"/>
    <col min="8451" max="8451" width="18.8515625" style="6" customWidth="1"/>
    <col min="8452" max="8452" width="32.140625" style="6" bestFit="1" customWidth="1"/>
    <col min="8453" max="8700" width="11.421875" style="6" customWidth="1"/>
    <col min="8701" max="8701" width="3.28125" style="6" customWidth="1"/>
    <col min="8702" max="8702" width="15.8515625" style="6" customWidth="1"/>
    <col min="8703" max="8703" width="17.57421875" style="6" bestFit="1" customWidth="1"/>
    <col min="8704" max="8704" width="14.57421875" style="6" customWidth="1"/>
    <col min="8705" max="8705" width="13.7109375" style="6" customWidth="1"/>
    <col min="8706" max="8706" width="12.00390625" style="6" customWidth="1"/>
    <col min="8707" max="8707" width="18.8515625" style="6" customWidth="1"/>
    <col min="8708" max="8708" width="32.140625" style="6" bestFit="1" customWidth="1"/>
    <col min="8709" max="8956" width="11.421875" style="6" customWidth="1"/>
    <col min="8957" max="8957" width="3.28125" style="6" customWidth="1"/>
    <col min="8958" max="8958" width="15.8515625" style="6" customWidth="1"/>
    <col min="8959" max="8959" width="17.57421875" style="6" bestFit="1" customWidth="1"/>
    <col min="8960" max="8960" width="14.57421875" style="6" customWidth="1"/>
    <col min="8961" max="8961" width="13.7109375" style="6" customWidth="1"/>
    <col min="8962" max="8962" width="12.00390625" style="6" customWidth="1"/>
    <col min="8963" max="8963" width="18.8515625" style="6" customWidth="1"/>
    <col min="8964" max="8964" width="32.140625" style="6" bestFit="1" customWidth="1"/>
    <col min="8965" max="9212" width="11.421875" style="6" customWidth="1"/>
    <col min="9213" max="9213" width="3.28125" style="6" customWidth="1"/>
    <col min="9214" max="9214" width="15.8515625" style="6" customWidth="1"/>
    <col min="9215" max="9215" width="17.57421875" style="6" bestFit="1" customWidth="1"/>
    <col min="9216" max="9216" width="14.57421875" style="6" customWidth="1"/>
    <col min="9217" max="9217" width="13.7109375" style="6" customWidth="1"/>
    <col min="9218" max="9218" width="12.00390625" style="6" customWidth="1"/>
    <col min="9219" max="9219" width="18.8515625" style="6" customWidth="1"/>
    <col min="9220" max="9220" width="32.140625" style="6" bestFit="1" customWidth="1"/>
    <col min="9221" max="9468" width="11.421875" style="6" customWidth="1"/>
    <col min="9469" max="9469" width="3.28125" style="6" customWidth="1"/>
    <col min="9470" max="9470" width="15.8515625" style="6" customWidth="1"/>
    <col min="9471" max="9471" width="17.57421875" style="6" bestFit="1" customWidth="1"/>
    <col min="9472" max="9472" width="14.57421875" style="6" customWidth="1"/>
    <col min="9473" max="9473" width="13.7109375" style="6" customWidth="1"/>
    <col min="9474" max="9474" width="12.00390625" style="6" customWidth="1"/>
    <col min="9475" max="9475" width="18.8515625" style="6" customWidth="1"/>
    <col min="9476" max="9476" width="32.140625" style="6" bestFit="1" customWidth="1"/>
    <col min="9477" max="9724" width="11.421875" style="6" customWidth="1"/>
    <col min="9725" max="9725" width="3.28125" style="6" customWidth="1"/>
    <col min="9726" max="9726" width="15.8515625" style="6" customWidth="1"/>
    <col min="9727" max="9727" width="17.57421875" style="6" bestFit="1" customWidth="1"/>
    <col min="9728" max="9728" width="14.57421875" style="6" customWidth="1"/>
    <col min="9729" max="9729" width="13.7109375" style="6" customWidth="1"/>
    <col min="9730" max="9730" width="12.00390625" style="6" customWidth="1"/>
    <col min="9731" max="9731" width="18.8515625" style="6" customWidth="1"/>
    <col min="9732" max="9732" width="32.140625" style="6" bestFit="1" customWidth="1"/>
    <col min="9733" max="9980" width="11.421875" style="6" customWidth="1"/>
    <col min="9981" max="9981" width="3.28125" style="6" customWidth="1"/>
    <col min="9982" max="9982" width="15.8515625" style="6" customWidth="1"/>
    <col min="9983" max="9983" width="17.57421875" style="6" bestFit="1" customWidth="1"/>
    <col min="9984" max="9984" width="14.57421875" style="6" customWidth="1"/>
    <col min="9985" max="9985" width="13.7109375" style="6" customWidth="1"/>
    <col min="9986" max="9986" width="12.00390625" style="6" customWidth="1"/>
    <col min="9987" max="9987" width="18.8515625" style="6" customWidth="1"/>
    <col min="9988" max="9988" width="32.140625" style="6" bestFit="1" customWidth="1"/>
    <col min="9989" max="10236" width="11.421875" style="6" customWidth="1"/>
    <col min="10237" max="10237" width="3.28125" style="6" customWidth="1"/>
    <col min="10238" max="10238" width="15.8515625" style="6" customWidth="1"/>
    <col min="10239" max="10239" width="17.57421875" style="6" bestFit="1" customWidth="1"/>
    <col min="10240" max="10240" width="14.57421875" style="6" customWidth="1"/>
    <col min="10241" max="10241" width="13.7109375" style="6" customWidth="1"/>
    <col min="10242" max="10242" width="12.00390625" style="6" customWidth="1"/>
    <col min="10243" max="10243" width="18.8515625" style="6" customWidth="1"/>
    <col min="10244" max="10244" width="32.140625" style="6" bestFit="1" customWidth="1"/>
    <col min="10245" max="10492" width="11.421875" style="6" customWidth="1"/>
    <col min="10493" max="10493" width="3.28125" style="6" customWidth="1"/>
    <col min="10494" max="10494" width="15.8515625" style="6" customWidth="1"/>
    <col min="10495" max="10495" width="17.57421875" style="6" bestFit="1" customWidth="1"/>
    <col min="10496" max="10496" width="14.57421875" style="6" customWidth="1"/>
    <col min="10497" max="10497" width="13.7109375" style="6" customWidth="1"/>
    <col min="10498" max="10498" width="12.00390625" style="6" customWidth="1"/>
    <col min="10499" max="10499" width="18.8515625" style="6" customWidth="1"/>
    <col min="10500" max="10500" width="32.140625" style="6" bestFit="1" customWidth="1"/>
    <col min="10501" max="10748" width="11.421875" style="6" customWidth="1"/>
    <col min="10749" max="10749" width="3.28125" style="6" customWidth="1"/>
    <col min="10750" max="10750" width="15.8515625" style="6" customWidth="1"/>
    <col min="10751" max="10751" width="17.57421875" style="6" bestFit="1" customWidth="1"/>
    <col min="10752" max="10752" width="14.57421875" style="6" customWidth="1"/>
    <col min="10753" max="10753" width="13.7109375" style="6" customWidth="1"/>
    <col min="10754" max="10754" width="12.00390625" style="6" customWidth="1"/>
    <col min="10755" max="10755" width="18.8515625" style="6" customWidth="1"/>
    <col min="10756" max="10756" width="32.140625" style="6" bestFit="1" customWidth="1"/>
    <col min="10757" max="11004" width="11.421875" style="6" customWidth="1"/>
    <col min="11005" max="11005" width="3.28125" style="6" customWidth="1"/>
    <col min="11006" max="11006" width="15.8515625" style="6" customWidth="1"/>
    <col min="11007" max="11007" width="17.57421875" style="6" bestFit="1" customWidth="1"/>
    <col min="11008" max="11008" width="14.57421875" style="6" customWidth="1"/>
    <col min="11009" max="11009" width="13.7109375" style="6" customWidth="1"/>
    <col min="11010" max="11010" width="12.00390625" style="6" customWidth="1"/>
    <col min="11011" max="11011" width="18.8515625" style="6" customWidth="1"/>
    <col min="11012" max="11012" width="32.140625" style="6" bestFit="1" customWidth="1"/>
    <col min="11013" max="11260" width="11.421875" style="6" customWidth="1"/>
    <col min="11261" max="11261" width="3.28125" style="6" customWidth="1"/>
    <col min="11262" max="11262" width="15.8515625" style="6" customWidth="1"/>
    <col min="11263" max="11263" width="17.57421875" style="6" bestFit="1" customWidth="1"/>
    <col min="11264" max="11264" width="14.57421875" style="6" customWidth="1"/>
    <col min="11265" max="11265" width="13.7109375" style="6" customWidth="1"/>
    <col min="11266" max="11266" width="12.00390625" style="6" customWidth="1"/>
    <col min="11267" max="11267" width="18.8515625" style="6" customWidth="1"/>
    <col min="11268" max="11268" width="32.140625" style="6" bestFit="1" customWidth="1"/>
    <col min="11269" max="11516" width="11.421875" style="6" customWidth="1"/>
    <col min="11517" max="11517" width="3.28125" style="6" customWidth="1"/>
    <col min="11518" max="11518" width="15.8515625" style="6" customWidth="1"/>
    <col min="11519" max="11519" width="17.57421875" style="6" bestFit="1" customWidth="1"/>
    <col min="11520" max="11520" width="14.57421875" style="6" customWidth="1"/>
    <col min="11521" max="11521" width="13.7109375" style="6" customWidth="1"/>
    <col min="11522" max="11522" width="12.00390625" style="6" customWidth="1"/>
    <col min="11523" max="11523" width="18.8515625" style="6" customWidth="1"/>
    <col min="11524" max="11524" width="32.140625" style="6" bestFit="1" customWidth="1"/>
    <col min="11525" max="11772" width="11.421875" style="6" customWidth="1"/>
    <col min="11773" max="11773" width="3.28125" style="6" customWidth="1"/>
    <col min="11774" max="11774" width="15.8515625" style="6" customWidth="1"/>
    <col min="11775" max="11775" width="17.57421875" style="6" bestFit="1" customWidth="1"/>
    <col min="11776" max="11776" width="14.57421875" style="6" customWidth="1"/>
    <col min="11777" max="11777" width="13.7109375" style="6" customWidth="1"/>
    <col min="11778" max="11778" width="12.00390625" style="6" customWidth="1"/>
    <col min="11779" max="11779" width="18.8515625" style="6" customWidth="1"/>
    <col min="11780" max="11780" width="32.140625" style="6" bestFit="1" customWidth="1"/>
    <col min="11781" max="12028" width="11.421875" style="6" customWidth="1"/>
    <col min="12029" max="12029" width="3.28125" style="6" customWidth="1"/>
    <col min="12030" max="12030" width="15.8515625" style="6" customWidth="1"/>
    <col min="12031" max="12031" width="17.57421875" style="6" bestFit="1" customWidth="1"/>
    <col min="12032" max="12032" width="14.57421875" style="6" customWidth="1"/>
    <col min="12033" max="12033" width="13.7109375" style="6" customWidth="1"/>
    <col min="12034" max="12034" width="12.00390625" style="6" customWidth="1"/>
    <col min="12035" max="12035" width="18.8515625" style="6" customWidth="1"/>
    <col min="12036" max="12036" width="32.140625" style="6" bestFit="1" customWidth="1"/>
    <col min="12037" max="12284" width="11.421875" style="6" customWidth="1"/>
    <col min="12285" max="12285" width="3.28125" style="6" customWidth="1"/>
    <col min="12286" max="12286" width="15.8515625" style="6" customWidth="1"/>
    <col min="12287" max="12287" width="17.57421875" style="6" bestFit="1" customWidth="1"/>
    <col min="12288" max="12288" width="14.57421875" style="6" customWidth="1"/>
    <col min="12289" max="12289" width="13.7109375" style="6" customWidth="1"/>
    <col min="12290" max="12290" width="12.00390625" style="6" customWidth="1"/>
    <col min="12291" max="12291" width="18.8515625" style="6" customWidth="1"/>
    <col min="12292" max="12292" width="32.140625" style="6" bestFit="1" customWidth="1"/>
    <col min="12293" max="12540" width="11.421875" style="6" customWidth="1"/>
    <col min="12541" max="12541" width="3.28125" style="6" customWidth="1"/>
    <col min="12542" max="12542" width="15.8515625" style="6" customWidth="1"/>
    <col min="12543" max="12543" width="17.57421875" style="6" bestFit="1" customWidth="1"/>
    <col min="12544" max="12544" width="14.57421875" style="6" customWidth="1"/>
    <col min="12545" max="12545" width="13.7109375" style="6" customWidth="1"/>
    <col min="12546" max="12546" width="12.00390625" style="6" customWidth="1"/>
    <col min="12547" max="12547" width="18.8515625" style="6" customWidth="1"/>
    <col min="12548" max="12548" width="32.140625" style="6" bestFit="1" customWidth="1"/>
    <col min="12549" max="12796" width="11.421875" style="6" customWidth="1"/>
    <col min="12797" max="12797" width="3.28125" style="6" customWidth="1"/>
    <col min="12798" max="12798" width="15.8515625" style="6" customWidth="1"/>
    <col min="12799" max="12799" width="17.57421875" style="6" bestFit="1" customWidth="1"/>
    <col min="12800" max="12800" width="14.57421875" style="6" customWidth="1"/>
    <col min="12801" max="12801" width="13.7109375" style="6" customWidth="1"/>
    <col min="12802" max="12802" width="12.00390625" style="6" customWidth="1"/>
    <col min="12803" max="12803" width="18.8515625" style="6" customWidth="1"/>
    <col min="12804" max="12804" width="32.140625" style="6" bestFit="1" customWidth="1"/>
    <col min="12805" max="13052" width="11.421875" style="6" customWidth="1"/>
    <col min="13053" max="13053" width="3.28125" style="6" customWidth="1"/>
    <col min="13054" max="13054" width="15.8515625" style="6" customWidth="1"/>
    <col min="13055" max="13055" width="17.57421875" style="6" bestFit="1" customWidth="1"/>
    <col min="13056" max="13056" width="14.57421875" style="6" customWidth="1"/>
    <col min="13057" max="13057" width="13.7109375" style="6" customWidth="1"/>
    <col min="13058" max="13058" width="12.00390625" style="6" customWidth="1"/>
    <col min="13059" max="13059" width="18.8515625" style="6" customWidth="1"/>
    <col min="13060" max="13060" width="32.140625" style="6" bestFit="1" customWidth="1"/>
    <col min="13061" max="13308" width="11.421875" style="6" customWidth="1"/>
    <col min="13309" max="13309" width="3.28125" style="6" customWidth="1"/>
    <col min="13310" max="13310" width="15.8515625" style="6" customWidth="1"/>
    <col min="13311" max="13311" width="17.57421875" style="6" bestFit="1" customWidth="1"/>
    <col min="13312" max="13312" width="14.57421875" style="6" customWidth="1"/>
    <col min="13313" max="13313" width="13.7109375" style="6" customWidth="1"/>
    <col min="13314" max="13314" width="12.00390625" style="6" customWidth="1"/>
    <col min="13315" max="13315" width="18.8515625" style="6" customWidth="1"/>
    <col min="13316" max="13316" width="32.140625" style="6" bestFit="1" customWidth="1"/>
    <col min="13317" max="13564" width="11.421875" style="6" customWidth="1"/>
    <col min="13565" max="13565" width="3.28125" style="6" customWidth="1"/>
    <col min="13566" max="13566" width="15.8515625" style="6" customWidth="1"/>
    <col min="13567" max="13567" width="17.57421875" style="6" bestFit="1" customWidth="1"/>
    <col min="13568" max="13568" width="14.57421875" style="6" customWidth="1"/>
    <col min="13569" max="13569" width="13.7109375" style="6" customWidth="1"/>
    <col min="13570" max="13570" width="12.00390625" style="6" customWidth="1"/>
    <col min="13571" max="13571" width="18.8515625" style="6" customWidth="1"/>
    <col min="13572" max="13572" width="32.140625" style="6" bestFit="1" customWidth="1"/>
    <col min="13573" max="13820" width="11.421875" style="6" customWidth="1"/>
    <col min="13821" max="13821" width="3.28125" style="6" customWidth="1"/>
    <col min="13822" max="13822" width="15.8515625" style="6" customWidth="1"/>
    <col min="13823" max="13823" width="17.57421875" style="6" bestFit="1" customWidth="1"/>
    <col min="13824" max="13824" width="14.57421875" style="6" customWidth="1"/>
    <col min="13825" max="13825" width="13.7109375" style="6" customWidth="1"/>
    <col min="13826" max="13826" width="12.00390625" style="6" customWidth="1"/>
    <col min="13827" max="13827" width="18.8515625" style="6" customWidth="1"/>
    <col min="13828" max="13828" width="32.140625" style="6" bestFit="1" customWidth="1"/>
    <col min="13829" max="14076" width="11.421875" style="6" customWidth="1"/>
    <col min="14077" max="14077" width="3.28125" style="6" customWidth="1"/>
    <col min="14078" max="14078" width="15.8515625" style="6" customWidth="1"/>
    <col min="14079" max="14079" width="17.57421875" style="6" bestFit="1" customWidth="1"/>
    <col min="14080" max="14080" width="14.57421875" style="6" customWidth="1"/>
    <col min="14081" max="14081" width="13.7109375" style="6" customWidth="1"/>
    <col min="14082" max="14082" width="12.00390625" style="6" customWidth="1"/>
    <col min="14083" max="14083" width="18.8515625" style="6" customWidth="1"/>
    <col min="14084" max="14084" width="32.140625" style="6" bestFit="1" customWidth="1"/>
    <col min="14085" max="14332" width="11.421875" style="6" customWidth="1"/>
    <col min="14333" max="14333" width="3.28125" style="6" customWidth="1"/>
    <col min="14334" max="14334" width="15.8515625" style="6" customWidth="1"/>
    <col min="14335" max="14335" width="17.57421875" style="6" bestFit="1" customWidth="1"/>
    <col min="14336" max="14336" width="14.57421875" style="6" customWidth="1"/>
    <col min="14337" max="14337" width="13.7109375" style="6" customWidth="1"/>
    <col min="14338" max="14338" width="12.00390625" style="6" customWidth="1"/>
    <col min="14339" max="14339" width="18.8515625" style="6" customWidth="1"/>
    <col min="14340" max="14340" width="32.140625" style="6" bestFit="1" customWidth="1"/>
    <col min="14341" max="14588" width="11.421875" style="6" customWidth="1"/>
    <col min="14589" max="14589" width="3.28125" style="6" customWidth="1"/>
    <col min="14590" max="14590" width="15.8515625" style="6" customWidth="1"/>
    <col min="14591" max="14591" width="17.57421875" style="6" bestFit="1" customWidth="1"/>
    <col min="14592" max="14592" width="14.57421875" style="6" customWidth="1"/>
    <col min="14593" max="14593" width="13.7109375" style="6" customWidth="1"/>
    <col min="14594" max="14594" width="12.00390625" style="6" customWidth="1"/>
    <col min="14595" max="14595" width="18.8515625" style="6" customWidth="1"/>
    <col min="14596" max="14596" width="32.140625" style="6" bestFit="1" customWidth="1"/>
    <col min="14597" max="14844" width="11.421875" style="6" customWidth="1"/>
    <col min="14845" max="14845" width="3.28125" style="6" customWidth="1"/>
    <col min="14846" max="14846" width="15.8515625" style="6" customWidth="1"/>
    <col min="14847" max="14847" width="17.57421875" style="6" bestFit="1" customWidth="1"/>
    <col min="14848" max="14848" width="14.57421875" style="6" customWidth="1"/>
    <col min="14849" max="14849" width="13.7109375" style="6" customWidth="1"/>
    <col min="14850" max="14850" width="12.00390625" style="6" customWidth="1"/>
    <col min="14851" max="14851" width="18.8515625" style="6" customWidth="1"/>
    <col min="14852" max="14852" width="32.140625" style="6" bestFit="1" customWidth="1"/>
    <col min="14853" max="15100" width="11.421875" style="6" customWidth="1"/>
    <col min="15101" max="15101" width="3.28125" style="6" customWidth="1"/>
    <col min="15102" max="15102" width="15.8515625" style="6" customWidth="1"/>
    <col min="15103" max="15103" width="17.57421875" style="6" bestFit="1" customWidth="1"/>
    <col min="15104" max="15104" width="14.57421875" style="6" customWidth="1"/>
    <col min="15105" max="15105" width="13.7109375" style="6" customWidth="1"/>
    <col min="15106" max="15106" width="12.00390625" style="6" customWidth="1"/>
    <col min="15107" max="15107" width="18.8515625" style="6" customWidth="1"/>
    <col min="15108" max="15108" width="32.140625" style="6" bestFit="1" customWidth="1"/>
    <col min="15109" max="15356" width="11.421875" style="6" customWidth="1"/>
    <col min="15357" max="15357" width="3.28125" style="6" customWidth="1"/>
    <col min="15358" max="15358" width="15.8515625" style="6" customWidth="1"/>
    <col min="15359" max="15359" width="17.57421875" style="6" bestFit="1" customWidth="1"/>
    <col min="15360" max="15360" width="14.57421875" style="6" customWidth="1"/>
    <col min="15361" max="15361" width="13.7109375" style="6" customWidth="1"/>
    <col min="15362" max="15362" width="12.00390625" style="6" customWidth="1"/>
    <col min="15363" max="15363" width="18.8515625" style="6" customWidth="1"/>
    <col min="15364" max="15364" width="32.140625" style="6" bestFit="1" customWidth="1"/>
    <col min="15365" max="15612" width="11.421875" style="6" customWidth="1"/>
    <col min="15613" max="15613" width="3.28125" style="6" customWidth="1"/>
    <col min="15614" max="15614" width="15.8515625" style="6" customWidth="1"/>
    <col min="15615" max="15615" width="17.57421875" style="6" bestFit="1" customWidth="1"/>
    <col min="15616" max="15616" width="14.57421875" style="6" customWidth="1"/>
    <col min="15617" max="15617" width="13.7109375" style="6" customWidth="1"/>
    <col min="15618" max="15618" width="12.00390625" style="6" customWidth="1"/>
    <col min="15619" max="15619" width="18.8515625" style="6" customWidth="1"/>
    <col min="15620" max="15620" width="32.140625" style="6" bestFit="1" customWidth="1"/>
    <col min="15621" max="15868" width="11.421875" style="6" customWidth="1"/>
    <col min="15869" max="15869" width="3.28125" style="6" customWidth="1"/>
    <col min="15870" max="15870" width="15.8515625" style="6" customWidth="1"/>
    <col min="15871" max="15871" width="17.57421875" style="6" bestFit="1" customWidth="1"/>
    <col min="15872" max="15872" width="14.57421875" style="6" customWidth="1"/>
    <col min="15873" max="15873" width="13.7109375" style="6" customWidth="1"/>
    <col min="15874" max="15874" width="12.00390625" style="6" customWidth="1"/>
    <col min="15875" max="15875" width="18.8515625" style="6" customWidth="1"/>
    <col min="15876" max="15876" width="32.140625" style="6" bestFit="1" customWidth="1"/>
    <col min="15877" max="16124" width="11.421875" style="6" customWidth="1"/>
    <col min="16125" max="16125" width="3.28125" style="6" customWidth="1"/>
    <col min="16126" max="16126" width="15.8515625" style="6" customWidth="1"/>
    <col min="16127" max="16127" width="17.57421875" style="6" bestFit="1" customWidth="1"/>
    <col min="16128" max="16128" width="14.57421875" style="6" customWidth="1"/>
    <col min="16129" max="16129" width="13.7109375" style="6" customWidth="1"/>
    <col min="16130" max="16130" width="12.00390625" style="6" customWidth="1"/>
    <col min="16131" max="16131" width="18.8515625" style="6" customWidth="1"/>
    <col min="16132" max="16132" width="32.140625" style="6" bestFit="1" customWidth="1"/>
    <col min="16133" max="16384" width="11.421875" style="6" customWidth="1"/>
  </cols>
  <sheetData>
    <row r="1" spans="1:6" ht="12.75">
      <c r="A1" s="283" t="s">
        <v>428</v>
      </c>
      <c r="B1" s="113"/>
      <c r="C1" s="113"/>
      <c r="D1" s="113"/>
      <c r="E1" s="226"/>
      <c r="F1" s="226"/>
    </row>
    <row r="2" spans="1:6" ht="15">
      <c r="A2" s="253" t="s">
        <v>429</v>
      </c>
      <c r="B2" s="253" t="s">
        <v>810</v>
      </c>
      <c r="C2" s="253" t="s">
        <v>430</v>
      </c>
      <c r="D2" s="226"/>
      <c r="E2" s="508" t="s">
        <v>989</v>
      </c>
      <c r="F2" s="226"/>
    </row>
    <row r="3" spans="1:6" ht="25.5">
      <c r="A3" s="254" t="s">
        <v>431</v>
      </c>
      <c r="B3" s="254">
        <v>1.27</v>
      </c>
      <c r="C3" s="247" t="s">
        <v>678</v>
      </c>
      <c r="D3" s="226"/>
      <c r="E3" s="226"/>
      <c r="F3" s="226"/>
    </row>
    <row r="4" ht="12.75"/>
    <row r="5" ht="12.75"/>
    <row r="23" ht="15">
      <c r="F23" s="226"/>
    </row>
    <row r="24" ht="15">
      <c r="F24" s="226"/>
    </row>
    <row r="25" ht="15">
      <c r="F25" s="226"/>
    </row>
    <row r="26" ht="15">
      <c r="F26" s="226"/>
    </row>
    <row r="27" ht="15">
      <c r="F27" s="226"/>
    </row>
    <row r="28" ht="15">
      <c r="F28" s="226"/>
    </row>
    <row r="29" ht="15">
      <c r="F29" s="226"/>
    </row>
    <row r="30" ht="15">
      <c r="F30" s="226"/>
    </row>
    <row r="31" ht="15">
      <c r="F31" s="226"/>
    </row>
    <row r="32" ht="15">
      <c r="F32" s="226"/>
    </row>
    <row r="33" ht="15">
      <c r="F33" s="226"/>
    </row>
    <row r="34" ht="15">
      <c r="F34" s="226"/>
    </row>
    <row r="35" ht="15">
      <c r="F35" s="226"/>
    </row>
    <row r="36" ht="15">
      <c r="F36" s="226"/>
    </row>
    <row r="37" ht="15">
      <c r="F37" s="226"/>
    </row>
    <row r="38" ht="15">
      <c r="F38" s="226"/>
    </row>
    <row r="39" ht="15">
      <c r="F39" s="226"/>
    </row>
    <row r="40" ht="15">
      <c r="F40" s="226"/>
    </row>
    <row r="41" spans="1:6" ht="15">
      <c r="A41" s="226"/>
      <c r="B41" s="226"/>
      <c r="C41" s="226"/>
      <c r="D41" s="226"/>
      <c r="E41" s="226"/>
      <c r="F41" s="226"/>
    </row>
    <row r="42" spans="1:6" ht="15">
      <c r="A42" s="226"/>
      <c r="B42" s="226"/>
      <c r="C42" s="226"/>
      <c r="D42" s="226"/>
      <c r="E42" s="226"/>
      <c r="F42" s="226"/>
    </row>
    <row r="43" spans="1:6" ht="15">
      <c r="A43" s="226"/>
      <c r="B43" s="226"/>
      <c r="C43" s="226"/>
      <c r="D43" s="226"/>
      <c r="E43" s="226"/>
      <c r="F43" s="226"/>
    </row>
    <row r="44" spans="1:6" ht="15">
      <c r="A44" s="226"/>
      <c r="B44" s="226"/>
      <c r="C44" s="226"/>
      <c r="D44" s="226"/>
      <c r="E44" s="226"/>
      <c r="F44" s="226"/>
    </row>
    <row r="45" spans="1:6" ht="15">
      <c r="A45" s="226"/>
      <c r="B45" s="226"/>
      <c r="C45" s="226"/>
      <c r="D45" s="226"/>
      <c r="E45" s="226"/>
      <c r="F45" s="226"/>
    </row>
    <row r="46" spans="1:6" ht="15">
      <c r="A46" s="226"/>
      <c r="B46" s="226"/>
      <c r="C46" s="226"/>
      <c r="D46" s="226"/>
      <c r="E46" s="226"/>
      <c r="F46" s="226"/>
    </row>
    <row r="47" spans="1:6" ht="15">
      <c r="A47" s="226"/>
      <c r="B47" s="226"/>
      <c r="C47" s="226"/>
      <c r="D47" s="226"/>
      <c r="E47" s="226"/>
      <c r="F47" s="226"/>
    </row>
    <row r="48" spans="1:6" ht="15">
      <c r="A48" s="226"/>
      <c r="B48" s="226"/>
      <c r="C48" s="226"/>
      <c r="D48" s="226"/>
      <c r="E48" s="226"/>
      <c r="F48" s="226"/>
    </row>
    <row r="49" spans="1:6" ht="15">
      <c r="A49" s="226"/>
      <c r="B49" s="226"/>
      <c r="C49" s="226"/>
      <c r="D49" s="226"/>
      <c r="E49" s="226"/>
      <c r="F49" s="226"/>
    </row>
    <row r="50" spans="1:6" ht="15">
      <c r="A50" s="226"/>
      <c r="B50" s="226"/>
      <c r="C50" s="226"/>
      <c r="D50" s="226"/>
      <c r="E50" s="226"/>
      <c r="F50" s="226"/>
    </row>
    <row r="51" spans="1:6" ht="15">
      <c r="A51" s="226"/>
      <c r="B51" s="226"/>
      <c r="C51" s="226"/>
      <c r="D51" s="226"/>
      <c r="E51" s="226"/>
      <c r="F51" s="226"/>
    </row>
  </sheetData>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D9D9D9"/>
  </sheetPr>
  <dimension ref="A1:L100"/>
  <sheetViews>
    <sheetView workbookViewId="0" topLeftCell="A80">
      <selection activeCell="A97" sqref="A97:XFD100"/>
    </sheetView>
  </sheetViews>
  <sheetFormatPr defaultColWidth="10.8515625" defaultRowHeight="15"/>
  <cols>
    <col min="1" max="1" width="12.7109375" style="103" customWidth="1"/>
    <col min="2" max="2" width="15.57421875" style="103" bestFit="1" customWidth="1"/>
    <col min="3" max="10" width="16.7109375" style="103" customWidth="1"/>
  </cols>
  <sheetData>
    <row r="1" spans="1:9" ht="15.75" thickBot="1">
      <c r="A1" s="1338" t="s">
        <v>0</v>
      </c>
      <c r="B1" s="1339"/>
      <c r="C1" s="1340" t="s">
        <v>574</v>
      </c>
      <c r="D1" s="1341"/>
      <c r="E1" s="1341"/>
      <c r="F1" s="1341"/>
      <c r="G1" s="1342"/>
      <c r="I1" s="508" t="s">
        <v>989</v>
      </c>
    </row>
    <row r="2" spans="1:7" ht="15.75" thickBot="1">
      <c r="A2" s="1338" t="s">
        <v>1343</v>
      </c>
      <c r="B2" s="1339"/>
      <c r="C2" s="1340" t="s">
        <v>1344</v>
      </c>
      <c r="D2" s="1341"/>
      <c r="E2" s="1341"/>
      <c r="F2" s="1341"/>
      <c r="G2" s="1342"/>
    </row>
    <row r="3" spans="1:7" ht="15.75" thickBot="1">
      <c r="A3" s="1338" t="s">
        <v>1345</v>
      </c>
      <c r="B3" s="1339"/>
      <c r="C3" s="1340" t="s">
        <v>1346</v>
      </c>
      <c r="D3" s="1341"/>
      <c r="E3" s="1341"/>
      <c r="F3" s="1341"/>
      <c r="G3" s="1342"/>
    </row>
    <row r="4" spans="1:7" ht="15.75" thickBot="1">
      <c r="A4" s="1338" t="s">
        <v>1347</v>
      </c>
      <c r="B4" s="1339"/>
      <c r="C4" s="1340" t="s">
        <v>1348</v>
      </c>
      <c r="D4" s="1341"/>
      <c r="E4" s="1341"/>
      <c r="F4" s="1341"/>
      <c r="G4" s="1342"/>
    </row>
    <row r="5" spans="1:7" ht="15.75" thickBot="1">
      <c r="A5" s="1352" t="s">
        <v>1349</v>
      </c>
      <c r="B5" s="1353"/>
      <c r="C5" s="1307" t="s">
        <v>1350</v>
      </c>
      <c r="D5" s="1308"/>
      <c r="E5" s="285" t="s">
        <v>2</v>
      </c>
      <c r="F5" s="1307" t="s">
        <v>1351</v>
      </c>
      <c r="G5" s="1308"/>
    </row>
    <row r="6" spans="1:7" ht="40.5" thickBot="1">
      <c r="A6" s="1354" t="s">
        <v>1352</v>
      </c>
      <c r="B6" s="1355"/>
      <c r="C6" s="286" t="s">
        <v>1353</v>
      </c>
      <c r="D6" s="286" t="s">
        <v>1354</v>
      </c>
      <c r="E6" s="286" t="s">
        <v>1355</v>
      </c>
      <c r="F6" s="286" t="s">
        <v>1356</v>
      </c>
      <c r="G6" s="286" t="s">
        <v>1357</v>
      </c>
    </row>
    <row r="7" spans="1:7" ht="16.5" thickBot="1">
      <c r="A7" s="1356"/>
      <c r="B7" s="1357"/>
      <c r="C7" s="287" t="s">
        <v>1358</v>
      </c>
      <c r="D7" s="287" t="s">
        <v>1359</v>
      </c>
      <c r="E7" s="287" t="s">
        <v>1360</v>
      </c>
      <c r="F7" s="287" t="s">
        <v>1359</v>
      </c>
      <c r="G7" s="287" t="s">
        <v>1360</v>
      </c>
    </row>
    <row r="8" spans="1:7" ht="30.75" thickBot="1">
      <c r="A8" s="1356"/>
      <c r="B8" s="1357"/>
      <c r="C8" s="287"/>
      <c r="D8" s="287" t="s">
        <v>1361</v>
      </c>
      <c r="E8" s="287" t="s">
        <v>1362</v>
      </c>
      <c r="F8" s="287" t="s">
        <v>1363</v>
      </c>
      <c r="G8" s="287" t="s">
        <v>1364</v>
      </c>
    </row>
    <row r="9" spans="1:7" ht="15.75" thickBot="1">
      <c r="A9" s="1309" t="s">
        <v>3</v>
      </c>
      <c r="B9" s="1310"/>
      <c r="C9" s="288" t="s">
        <v>812</v>
      </c>
      <c r="D9" s="288" t="s">
        <v>813</v>
      </c>
      <c r="E9" s="288" t="s">
        <v>814</v>
      </c>
      <c r="F9" s="288" t="s">
        <v>813</v>
      </c>
      <c r="G9" s="288" t="s">
        <v>815</v>
      </c>
    </row>
    <row r="10" spans="1:9" ht="16.5" thickBot="1" thickTop="1">
      <c r="A10" s="1311" t="s">
        <v>632</v>
      </c>
      <c r="B10" s="1312"/>
      <c r="C10" s="289">
        <f>'3A1_3A2_3C6 INFO PROC'!B87</f>
        <v>895718</v>
      </c>
      <c r="D10" s="289">
        <f>'3A1_3A2 FACTORES DE EMISIÓN'!B3</f>
        <v>87</v>
      </c>
      <c r="E10" s="289">
        <f aca="true" t="shared" si="0" ref="E10:E20">C10*D10/1000000</f>
        <v>77.927466</v>
      </c>
      <c r="F10" s="290">
        <f>'3A1_3A2 FACTORES DE EMISIÓN'!E29</f>
        <v>1.0431408099424149</v>
      </c>
      <c r="G10" s="290">
        <f aca="true" t="shared" si="1" ref="G10:G20">C10*F10/1000000</f>
        <v>0.93436</v>
      </c>
      <c r="H10" s="151"/>
      <c r="I10" s="151"/>
    </row>
    <row r="11" spans="1:9" ht="15.75" thickBot="1">
      <c r="A11" s="1311" t="s">
        <v>633</v>
      </c>
      <c r="B11" s="1312"/>
      <c r="C11" s="289">
        <f>'3A1_3A2_3C6 INFO PROC'!B88</f>
        <v>4639737</v>
      </c>
      <c r="D11" s="289">
        <f>'3A1_3A2 FACTORES DE EMISIÓN'!B4</f>
        <v>56</v>
      </c>
      <c r="E11" s="289">
        <f t="shared" si="0"/>
        <v>259.825272</v>
      </c>
      <c r="F11" s="290">
        <f>'3A1_3A2 FACTORES DE EMISIÓN'!E30</f>
        <v>0.9999999999999999</v>
      </c>
      <c r="G11" s="290">
        <f t="shared" si="1"/>
        <v>4.639736999999999</v>
      </c>
      <c r="H11" s="151"/>
      <c r="I11" s="151"/>
    </row>
    <row r="12" spans="1:7" ht="15.75" thickBot="1">
      <c r="A12" s="1299" t="s">
        <v>46</v>
      </c>
      <c r="B12" s="1300"/>
      <c r="C12" s="291">
        <f>'3A1_3A2_3C6 INFO PROC'!B89</f>
        <v>11450659</v>
      </c>
      <c r="D12" s="291">
        <f>'3A1_3A2 FACTORES DE EMISIÓN'!B5</f>
        <v>5</v>
      </c>
      <c r="E12" s="291">
        <f t="shared" si="0"/>
        <v>57.253295</v>
      </c>
      <c r="F12" s="291">
        <f>'3A1_3A2 FACTORES DE EMISIÓN'!E31</f>
        <v>0.11613509318546644</v>
      </c>
      <c r="G12" s="291">
        <f t="shared" si="1"/>
        <v>1.32982335</v>
      </c>
    </row>
    <row r="13" spans="1:7" ht="15.75" thickBot="1">
      <c r="A13" s="1299" t="s">
        <v>45</v>
      </c>
      <c r="B13" s="1300"/>
      <c r="C13" s="291">
        <f>'3A1_3A2_3C6 INFO PROC'!B90</f>
        <v>1879713</v>
      </c>
      <c r="D13" s="291">
        <f>'3A1_3A2 FACTORES DE EMISIÓN'!B6</f>
        <v>5</v>
      </c>
      <c r="E13" s="291">
        <f t="shared" si="0"/>
        <v>9.398565</v>
      </c>
      <c r="F13" s="291">
        <f>'3A1_3A2 FACTORES DE EMISIÓN'!E32</f>
        <v>0.16507287016688185</v>
      </c>
      <c r="G13" s="291">
        <f t="shared" si="1"/>
        <v>0.31028962</v>
      </c>
    </row>
    <row r="14" spans="1:7" ht="15.75" thickBot="1">
      <c r="A14" s="1299" t="s">
        <v>72</v>
      </c>
      <c r="B14" s="1300"/>
      <c r="C14" s="291">
        <f>'3A1_3A2_3C6 INFO PROC'!B91</f>
        <v>526290.5573110435</v>
      </c>
      <c r="D14" s="291">
        <f>'3A1_3A2 FACTORES DE EMISIÓN'!B7</f>
        <v>18</v>
      </c>
      <c r="E14" s="291">
        <f t="shared" si="0"/>
        <v>9.473230031598781</v>
      </c>
      <c r="F14" s="291">
        <f>'3A1_3A2 FACTORES DE EMISIÓN'!E33</f>
        <v>1.434538180057618</v>
      </c>
      <c r="G14" s="291">
        <f t="shared" si="1"/>
        <v>0.7549838982664938</v>
      </c>
    </row>
    <row r="15" spans="1:7" ht="15.75" thickBot="1">
      <c r="A15" s="1299" t="s">
        <v>150</v>
      </c>
      <c r="B15" s="1300"/>
      <c r="C15" s="291">
        <f>'3A1_3A2_3C6 INFO PROC'!B92</f>
        <v>590007.7086570447</v>
      </c>
      <c r="D15" s="291">
        <f>'3A1_3A2 FACTORES DE EMISIÓN'!B8</f>
        <v>10</v>
      </c>
      <c r="E15" s="291">
        <f t="shared" si="0"/>
        <v>5.900077086570447</v>
      </c>
      <c r="F15" s="291">
        <f>'3A1_3A2 FACTORES DE EMISIÓN'!E34</f>
        <v>0.7976472845502857</v>
      </c>
      <c r="G15" s="291">
        <f t="shared" si="1"/>
        <v>0.47061804667402773</v>
      </c>
    </row>
    <row r="16" spans="1:9" ht="15.75" thickBot="1">
      <c r="A16" s="1299" t="s">
        <v>47</v>
      </c>
      <c r="B16" s="1300"/>
      <c r="C16" s="290">
        <f>'3A1_3A2_3C6 INFO PROC'!B93</f>
        <v>904700.4246575341</v>
      </c>
      <c r="D16" s="290">
        <f>'3A1_3A2 FACTORES DE EMISIÓN'!B9</f>
        <v>1</v>
      </c>
      <c r="E16" s="290">
        <f t="shared" si="0"/>
        <v>0.9047004246575341</v>
      </c>
      <c r="F16" s="290">
        <f>'3A1_3A2 FACTORES DE EMISIÓN'!E35</f>
        <v>1.1056570440308169</v>
      </c>
      <c r="G16" s="290">
        <f t="shared" si="1"/>
        <v>1.0002883972602739</v>
      </c>
      <c r="H16" s="151"/>
      <c r="I16" s="151"/>
    </row>
    <row r="17" spans="1:9" ht="15.75" customHeight="1" thickBot="1">
      <c r="A17" s="1299" t="s">
        <v>43</v>
      </c>
      <c r="B17" s="1300"/>
      <c r="C17" s="290">
        <f>'3A1_3A2_3C6 INFO PROC'!B94</f>
        <v>4319229</v>
      </c>
      <c r="D17" s="290">
        <f>'3A1_3A2 FACTORES DE EMISIÓN'!B10</f>
        <v>8</v>
      </c>
      <c r="E17" s="290">
        <f t="shared" si="0"/>
        <v>34.553832</v>
      </c>
      <c r="F17" s="290">
        <f>'3A1_3A2 FACTORES DE EMISIÓN'!E36</f>
        <v>0.18916547297166783</v>
      </c>
      <c r="G17" s="290">
        <f t="shared" si="1"/>
        <v>0.8170489966579438</v>
      </c>
      <c r="H17" s="151"/>
      <c r="I17" s="151"/>
    </row>
    <row r="18" spans="1:9" ht="15.75" thickBot="1">
      <c r="A18" s="1299" t="s">
        <v>44</v>
      </c>
      <c r="B18" s="1300"/>
      <c r="C18" s="290">
        <f>'3A1_3A2_3C6 INFO PROC'!B95</f>
        <v>1105017</v>
      </c>
      <c r="D18" s="290">
        <f>'3A1_3A2 FACTORES DE EMISIÓN'!B11</f>
        <v>8</v>
      </c>
      <c r="E18" s="290">
        <f t="shared" si="0"/>
        <v>8.840136</v>
      </c>
      <c r="F18" s="290">
        <f>'3A1_3A2 FACTORES DE EMISIÓN'!E37</f>
        <v>0.31307923310949143</v>
      </c>
      <c r="G18" s="290">
        <f t="shared" si="1"/>
        <v>0.3459578749329509</v>
      </c>
      <c r="H18" s="151"/>
      <c r="I18" s="151"/>
    </row>
    <row r="19" spans="1:9" ht="15.75" thickBot="1">
      <c r="A19" s="1299" t="s">
        <v>42</v>
      </c>
      <c r="B19" s="1300"/>
      <c r="C19" s="290">
        <f>'3A1_3A2_3C6 INFO PROC'!B96</f>
        <v>49559797.50249963</v>
      </c>
      <c r="D19" s="290"/>
      <c r="E19" s="290"/>
      <c r="F19" s="290">
        <f>'3A1_3A2 FACTORES DE EMISIÓN'!E38</f>
        <v>0.01937076616802405</v>
      </c>
      <c r="G19" s="290">
        <f t="shared" si="1"/>
        <v>0.9600112487555427</v>
      </c>
      <c r="H19" s="151"/>
      <c r="I19" s="151"/>
    </row>
    <row r="20" spans="1:9" ht="15.75" thickBot="1">
      <c r="A20" s="1299" t="s">
        <v>74</v>
      </c>
      <c r="B20" s="1300"/>
      <c r="C20" s="290">
        <f>'3A1_3A2_3C6 INFO PROC'!B97</f>
        <v>3584640.1025886</v>
      </c>
      <c r="D20" s="290">
        <f>'3A1_3A2 FACTORES DE EMISIÓN'!B12</f>
        <v>0.042624143937572384</v>
      </c>
      <c r="E20" s="290">
        <f t="shared" si="0"/>
        <v>0.15279221569713072</v>
      </c>
      <c r="F20" s="290">
        <f>'3A1_3A2 FACTORES DE EMISIÓN'!E39</f>
        <v>0.0426241439375724</v>
      </c>
      <c r="G20" s="290">
        <f t="shared" si="1"/>
        <v>0.15279221569713078</v>
      </c>
      <c r="H20" s="151"/>
      <c r="I20" s="151"/>
    </row>
    <row r="21" spans="1:7" ht="15.75" thickBot="1">
      <c r="A21" s="1301" t="s">
        <v>4</v>
      </c>
      <c r="B21" s="1301"/>
      <c r="C21" s="1303"/>
      <c r="D21" s="1305"/>
      <c r="E21" s="284">
        <f>SUM(E12:E20)</f>
        <v>126.47662775852389</v>
      </c>
      <c r="F21" s="1313"/>
      <c r="G21" s="284">
        <f>SUM(G10:G20)</f>
        <v>11.715910648244362</v>
      </c>
    </row>
    <row r="22" spans="1:7" ht="15.75" customHeight="1" thickBot="1">
      <c r="A22" s="1302"/>
      <c r="B22" s="1302"/>
      <c r="C22" s="1304"/>
      <c r="D22" s="1306"/>
      <c r="E22" s="292">
        <f>SUM(E10:E20)</f>
        <v>464.22936575852384</v>
      </c>
      <c r="F22" s="1314"/>
      <c r="G22" s="292"/>
    </row>
    <row r="23" spans="1:7" ht="25.5" customHeight="1" thickBot="1">
      <c r="A23" s="1327" t="s">
        <v>1365</v>
      </c>
      <c r="B23" s="1328"/>
      <c r="C23" s="1328"/>
      <c r="D23" s="1328"/>
      <c r="E23" s="1328"/>
      <c r="F23" s="1328"/>
      <c r="G23" s="1329"/>
    </row>
    <row r="24" ht="15.75" thickBot="1">
      <c r="L24" s="508" t="s">
        <v>989</v>
      </c>
    </row>
    <row r="25" spans="1:10" ht="15.75" thickBot="1">
      <c r="A25" s="1338" t="s">
        <v>0</v>
      </c>
      <c r="B25" s="1339"/>
      <c r="C25" s="1340" t="s">
        <v>574</v>
      </c>
      <c r="D25" s="1341"/>
      <c r="E25" s="1341"/>
      <c r="F25" s="1341"/>
      <c r="G25" s="1341"/>
      <c r="H25" s="1341"/>
      <c r="I25" s="1341"/>
      <c r="J25" s="1342"/>
    </row>
    <row r="26" spans="1:10" ht="15.75" thickBot="1">
      <c r="A26" s="1338" t="s">
        <v>1343</v>
      </c>
      <c r="B26" s="1339"/>
      <c r="C26" s="1340" t="s">
        <v>1366</v>
      </c>
      <c r="D26" s="1341"/>
      <c r="E26" s="1341"/>
      <c r="F26" s="1341"/>
      <c r="G26" s="1341"/>
      <c r="H26" s="1341"/>
      <c r="I26" s="1341"/>
      <c r="J26" s="1342"/>
    </row>
    <row r="27" spans="1:10" ht="15.75" customHeight="1" thickBot="1">
      <c r="A27" s="1338" t="s">
        <v>1345</v>
      </c>
      <c r="B27" s="1339"/>
      <c r="C27" s="1340" t="s">
        <v>5</v>
      </c>
      <c r="D27" s="1341"/>
      <c r="E27" s="1341"/>
      <c r="F27" s="1341"/>
      <c r="G27" s="1341"/>
      <c r="H27" s="1341"/>
      <c r="I27" s="1341"/>
      <c r="J27" s="1342"/>
    </row>
    <row r="28" spans="1:10" ht="15.75" thickBot="1">
      <c r="A28" s="1338" t="s">
        <v>1347</v>
      </c>
      <c r="B28" s="1339"/>
      <c r="C28" s="1340" t="s">
        <v>1348</v>
      </c>
      <c r="D28" s="1341"/>
      <c r="E28" s="1341"/>
      <c r="F28" s="1341"/>
      <c r="G28" s="1341"/>
      <c r="H28" s="1341"/>
      <c r="I28" s="1341"/>
      <c r="J28" s="1342"/>
    </row>
    <row r="29" spans="1:10" ht="15.75" thickBot="1">
      <c r="A29" s="1343" t="s">
        <v>1349</v>
      </c>
      <c r="B29" s="1344"/>
      <c r="C29" s="293" t="s">
        <v>1367</v>
      </c>
      <c r="D29" s="1345" t="s">
        <v>1368</v>
      </c>
      <c r="E29" s="1346"/>
      <c r="F29" s="1347"/>
      <c r="G29" s="1348" t="s">
        <v>1367</v>
      </c>
      <c r="H29" s="1346"/>
      <c r="I29" s="1346"/>
      <c r="J29" s="1347"/>
    </row>
    <row r="30" spans="1:11" ht="77.25" thickBot="1">
      <c r="A30" s="1325" t="s">
        <v>1369</v>
      </c>
      <c r="B30" s="1325" t="s">
        <v>1370</v>
      </c>
      <c r="C30" s="286" t="s">
        <v>1353</v>
      </c>
      <c r="D30" s="286" t="s">
        <v>1371</v>
      </c>
      <c r="E30" s="286" t="s">
        <v>1372</v>
      </c>
      <c r="F30" s="286" t="s">
        <v>1373</v>
      </c>
      <c r="G30" s="286" t="s">
        <v>1374</v>
      </c>
      <c r="H30" s="286" t="s">
        <v>1375</v>
      </c>
      <c r="I30" s="286" t="s">
        <v>1376</v>
      </c>
      <c r="J30" s="286" t="s">
        <v>1377</v>
      </c>
      <c r="K30" s="1060" t="s">
        <v>1378</v>
      </c>
    </row>
    <row r="31" spans="1:11" ht="15">
      <c r="A31" s="1326"/>
      <c r="B31" s="1326"/>
      <c r="C31" s="1321" t="s">
        <v>1358</v>
      </c>
      <c r="D31" s="1045" t="s">
        <v>6</v>
      </c>
      <c r="E31" s="1321" t="s">
        <v>7</v>
      </c>
      <c r="F31" s="1045" t="s">
        <v>816</v>
      </c>
      <c r="G31" s="1321" t="s">
        <v>8</v>
      </c>
      <c r="H31" s="1321" t="s">
        <v>1379</v>
      </c>
      <c r="I31" s="1045" t="s">
        <v>817</v>
      </c>
      <c r="J31" s="1321" t="s">
        <v>1380</v>
      </c>
      <c r="K31" s="1349" t="s">
        <v>1381</v>
      </c>
    </row>
    <row r="32" spans="1:11" ht="30.75" thickBot="1">
      <c r="A32" s="1326"/>
      <c r="B32" s="1326"/>
      <c r="C32" s="1322"/>
      <c r="D32" s="1047" t="s">
        <v>1382</v>
      </c>
      <c r="E32" s="1322"/>
      <c r="F32" s="1047" t="s">
        <v>1383</v>
      </c>
      <c r="G32" s="1322"/>
      <c r="H32" s="1322"/>
      <c r="I32" s="1047" t="s">
        <v>1384</v>
      </c>
      <c r="J32" s="1322"/>
      <c r="K32" s="1350"/>
    </row>
    <row r="33" spans="1:11" ht="15">
      <c r="A33" s="1326"/>
      <c r="B33" s="1326"/>
      <c r="C33" s="1323"/>
      <c r="D33" s="1323" t="s">
        <v>1385</v>
      </c>
      <c r="E33" s="1323" t="s">
        <v>1386</v>
      </c>
      <c r="F33" s="1323" t="s">
        <v>818</v>
      </c>
      <c r="G33" s="1323" t="s">
        <v>1387</v>
      </c>
      <c r="H33" s="294" t="s">
        <v>819</v>
      </c>
      <c r="I33" s="1323" t="s">
        <v>1388</v>
      </c>
      <c r="J33" s="294" t="s">
        <v>820</v>
      </c>
      <c r="K33" s="1350"/>
    </row>
    <row r="34" spans="1:11" ht="28.5" thickBot="1">
      <c r="A34" s="1322"/>
      <c r="B34" s="1322"/>
      <c r="C34" s="1324"/>
      <c r="D34" s="1324"/>
      <c r="E34" s="1324"/>
      <c r="F34" s="1324"/>
      <c r="G34" s="1324"/>
      <c r="H34" s="287" t="s">
        <v>821</v>
      </c>
      <c r="I34" s="1324"/>
      <c r="J34" s="287" t="s">
        <v>822</v>
      </c>
      <c r="K34" s="1350"/>
    </row>
    <row r="35" spans="1:11" ht="15.75" thickBot="1">
      <c r="A35" s="295" t="s">
        <v>9</v>
      </c>
      <c r="B35" s="288" t="s">
        <v>3</v>
      </c>
      <c r="C35" s="288" t="s">
        <v>823</v>
      </c>
      <c r="D35" s="288" t="s">
        <v>824</v>
      </c>
      <c r="E35" s="288" t="s">
        <v>10</v>
      </c>
      <c r="F35" s="288" t="s">
        <v>825</v>
      </c>
      <c r="G35" s="288" t="s">
        <v>826</v>
      </c>
      <c r="H35" s="288" t="s">
        <v>827</v>
      </c>
      <c r="I35" s="288" t="s">
        <v>828</v>
      </c>
      <c r="J35" s="288" t="s">
        <v>829</v>
      </c>
      <c r="K35" s="1351"/>
    </row>
    <row r="36" spans="1:11" ht="16.5" customHeight="1" thickBot="1" thickTop="1">
      <c r="A36" s="1330" t="s">
        <v>1136</v>
      </c>
      <c r="B36" s="296" t="s">
        <v>161</v>
      </c>
      <c r="C36" s="291">
        <f>'3A1_3A2_3C6 INFO PROC'!B87</f>
        <v>895718</v>
      </c>
      <c r="D36" s="291">
        <f>'FACTORES DE CONVERSIÓN'!B152</f>
        <v>0.48</v>
      </c>
      <c r="E36" s="291">
        <f>'FACTORES DE CONVERSIÓN'!B137</f>
        <v>520</v>
      </c>
      <c r="F36" s="290">
        <f>D36*E36*365/1000</f>
        <v>91.104</v>
      </c>
      <c r="G36" s="291">
        <f>'FACTORES DE CONVERSIÓN'!C167</f>
        <v>0</v>
      </c>
      <c r="H36" s="291">
        <f>C36*F36*G36</f>
        <v>0</v>
      </c>
      <c r="I36" s="291">
        <f>+'3A1_3A2 FACTORES DE EMISIÓN'!$B$45</f>
        <v>0</v>
      </c>
      <c r="J36" s="291">
        <f>H36*I36*44/28</f>
        <v>0</v>
      </c>
      <c r="K36" s="7">
        <f>+J36*'FACTORES DE CONVERSIÓN'!$C$26/'FACTORES DE CONVERSIÓN'!$C$28</f>
        <v>0</v>
      </c>
    </row>
    <row r="37" spans="1:11" ht="15.75" customHeight="1" thickBot="1">
      <c r="A37" s="1326"/>
      <c r="B37" s="296" t="s">
        <v>162</v>
      </c>
      <c r="C37" s="291">
        <f>'3A1_3A2_3C6 INFO PROC'!B88</f>
        <v>4639737</v>
      </c>
      <c r="D37" s="291">
        <f>'FACTORES DE CONVERSIÓN'!B153</f>
        <v>0.36</v>
      </c>
      <c r="E37" s="291">
        <f>'FACTORES DE CONVERSIÓN'!B138</f>
        <v>306.2050565680085</v>
      </c>
      <c r="F37" s="290">
        <f aca="true" t="shared" si="2" ref="F37:F46">D37*E37*365/1000</f>
        <v>40.23534443303631</v>
      </c>
      <c r="G37" s="291">
        <f>'FACTORES DE CONVERSIÓN'!C168</f>
        <v>0</v>
      </c>
      <c r="H37" s="291">
        <f aca="true" t="shared" si="3" ref="H37:H46">C37*F37*G37</f>
        <v>0</v>
      </c>
      <c r="I37" s="291">
        <f>+'3A1_3A2 FACTORES DE EMISIÓN'!$B$45</f>
        <v>0</v>
      </c>
      <c r="J37" s="291">
        <f aca="true" t="shared" si="4" ref="J37:J46">H37*I37*44/28</f>
        <v>0</v>
      </c>
      <c r="K37" s="7">
        <f>+J37*'FACTORES DE CONVERSIÓN'!$C$26/'FACTORES DE CONVERSIÓN'!$C$28</f>
        <v>0</v>
      </c>
    </row>
    <row r="38" spans="1:11" ht="15.75" thickBot="1">
      <c r="A38" s="1326"/>
      <c r="B38" s="296" t="s">
        <v>46</v>
      </c>
      <c r="C38" s="291">
        <f>'3A1_3A2_3C6 INFO PROC'!B89</f>
        <v>11450659</v>
      </c>
      <c r="D38" s="291">
        <f>'FACTORES DE CONVERSIÓN'!B154</f>
        <v>1.17</v>
      </c>
      <c r="E38" s="291">
        <f>'FACTORES DE CONVERSIÓN'!B139</f>
        <v>25.61</v>
      </c>
      <c r="F38" s="290">
        <f t="shared" si="2"/>
        <v>10.936750499999999</v>
      </c>
      <c r="G38" s="291">
        <f>'FACTORES DE CONVERSIÓN'!C169</f>
        <v>0</v>
      </c>
      <c r="H38" s="291">
        <f t="shared" si="3"/>
        <v>0</v>
      </c>
      <c r="I38" s="291">
        <f>+'3A1_3A2 FACTORES DE EMISIÓN'!$B$45</f>
        <v>0</v>
      </c>
      <c r="J38" s="291">
        <f t="shared" si="4"/>
        <v>0</v>
      </c>
      <c r="K38" s="7">
        <f>+J38*'FACTORES DE CONVERSIÓN'!$C$26/'FACTORES DE CONVERSIÓN'!$C$28</f>
        <v>0</v>
      </c>
    </row>
    <row r="39" spans="1:11" ht="15.75" thickBot="1">
      <c r="A39" s="1326"/>
      <c r="B39" s="296" t="s">
        <v>45</v>
      </c>
      <c r="C39" s="291">
        <f>'3A1_3A2_3C6 INFO PROC'!B90</f>
        <v>1879713</v>
      </c>
      <c r="D39" s="291">
        <f>'FACTORES DE CONVERSIÓN'!B155</f>
        <v>1.37</v>
      </c>
      <c r="E39" s="291">
        <f>'FACTORES DE CONVERSIÓN'!B140</f>
        <v>30</v>
      </c>
      <c r="F39" s="290">
        <f t="shared" si="2"/>
        <v>15.0015</v>
      </c>
      <c r="G39" s="291">
        <f>'FACTORES DE CONVERSIÓN'!C170</f>
        <v>0</v>
      </c>
      <c r="H39" s="291">
        <f t="shared" si="3"/>
        <v>0</v>
      </c>
      <c r="I39" s="291">
        <f>+'3A1_3A2 FACTORES DE EMISIÓN'!$B$45</f>
        <v>0</v>
      </c>
      <c r="J39" s="291">
        <f t="shared" si="4"/>
        <v>0</v>
      </c>
      <c r="K39" s="7">
        <f>+J39*'FACTORES DE CONVERSIÓN'!$C$26/'FACTORES DE CONVERSIÓN'!$C$28</f>
        <v>0</v>
      </c>
    </row>
    <row r="40" spans="1:11" ht="15.75" thickBot="1">
      <c r="A40" s="1326"/>
      <c r="B40" s="296" t="s">
        <v>72</v>
      </c>
      <c r="C40" s="291">
        <f>'3A1_3A2_3C6 INFO PROC'!B91</f>
        <v>526290.5573110435</v>
      </c>
      <c r="D40" s="291">
        <f>'FACTORES DE CONVERSIÓN'!B156</f>
        <v>0.46</v>
      </c>
      <c r="E40" s="291">
        <f>'FACTORES DE CONVERSIÓN'!B141</f>
        <v>238</v>
      </c>
      <c r="F40" s="290">
        <f t="shared" si="2"/>
        <v>39.96020000000001</v>
      </c>
      <c r="G40" s="291">
        <f>'FACTORES DE CONVERSIÓN'!C171</f>
        <v>0</v>
      </c>
      <c r="H40" s="291">
        <f t="shared" si="3"/>
        <v>0</v>
      </c>
      <c r="I40" s="291">
        <f>+'3A1_3A2 FACTORES DE EMISIÓN'!$B$45</f>
        <v>0</v>
      </c>
      <c r="J40" s="291">
        <f t="shared" si="4"/>
        <v>0</v>
      </c>
      <c r="K40" s="7">
        <f>+J40*'FACTORES DE CONVERSIÓN'!$C$26/'FACTORES DE CONVERSIÓN'!$C$28</f>
        <v>0</v>
      </c>
    </row>
    <row r="41" spans="1:11" ht="15.75" thickBot="1">
      <c r="A41" s="1326"/>
      <c r="B41" s="296" t="s">
        <v>150</v>
      </c>
      <c r="C41" s="291">
        <f>'3A1_3A2_3C6 INFO PROC'!B92</f>
        <v>590007.7086570447</v>
      </c>
      <c r="D41" s="291">
        <f>'FACTORES DE CONVERSIÓN'!B157</f>
        <v>0.46</v>
      </c>
      <c r="E41" s="291">
        <f>'FACTORES DE CONVERSIÓN'!B142</f>
        <v>130</v>
      </c>
      <c r="F41" s="290">
        <f t="shared" si="2"/>
        <v>21.827</v>
      </c>
      <c r="G41" s="291">
        <f>'FACTORES DE CONVERSIÓN'!C172</f>
        <v>0</v>
      </c>
      <c r="H41" s="291">
        <f t="shared" si="3"/>
        <v>0</v>
      </c>
      <c r="I41" s="291">
        <f>+'3A1_3A2 FACTORES DE EMISIÓN'!$B$45</f>
        <v>0</v>
      </c>
      <c r="J41" s="291">
        <f t="shared" si="4"/>
        <v>0</v>
      </c>
      <c r="K41" s="7">
        <f>+J41*'FACTORES DE CONVERSIÓN'!$C$26/'FACTORES DE CONVERSIÓN'!$C$28</f>
        <v>0</v>
      </c>
    </row>
    <row r="42" spans="1:11" ht="15.75" thickBot="1">
      <c r="A42" s="1326"/>
      <c r="B42" s="296" t="s">
        <v>47</v>
      </c>
      <c r="C42" s="291">
        <f>'3A1_3A2_3C6 INFO PROC'!B93</f>
        <v>904700.4246575341</v>
      </c>
      <c r="D42" s="291">
        <f>'FACTORES DE CONVERSIÓN'!B158</f>
        <v>1.64</v>
      </c>
      <c r="E42" s="291">
        <f>'FACTORES DE CONVERSIÓN'!B143</f>
        <v>28</v>
      </c>
      <c r="F42" s="290">
        <f t="shared" si="2"/>
        <v>16.7608</v>
      </c>
      <c r="G42" s="291">
        <f>'FACTORES DE CONVERSIÓN'!C173</f>
        <v>0</v>
      </c>
      <c r="H42" s="291">
        <f t="shared" si="3"/>
        <v>0</v>
      </c>
      <c r="I42" s="291">
        <f>+'3A1_3A2 FACTORES DE EMISIÓN'!$B$45</f>
        <v>0</v>
      </c>
      <c r="J42" s="291">
        <f t="shared" si="4"/>
        <v>0</v>
      </c>
      <c r="K42" s="7">
        <f>+J42*'FACTORES DE CONVERSIÓN'!$C$26/'FACTORES DE CONVERSIÓN'!$C$28</f>
        <v>0</v>
      </c>
    </row>
    <row r="43" spans="1:11" ht="15.75" thickBot="1">
      <c r="A43" s="1326"/>
      <c r="B43" s="296" t="s">
        <v>43</v>
      </c>
      <c r="C43" s="291">
        <f>'3A1_3A2_3C6 INFO PROC'!B94</f>
        <v>4319229</v>
      </c>
      <c r="D43" s="291">
        <f>'FACTORES DE CONVERSIÓN'!B159</f>
        <v>0.82</v>
      </c>
      <c r="E43" s="291">
        <f>'FACTORES DE CONVERSIÓN'!B144</f>
        <v>52</v>
      </c>
      <c r="F43" s="290">
        <f t="shared" si="2"/>
        <v>15.563600000000001</v>
      </c>
      <c r="G43" s="291">
        <f>'FACTORES DE CONVERSIÓN'!C174</f>
        <v>0</v>
      </c>
      <c r="H43" s="291">
        <f t="shared" si="3"/>
        <v>0</v>
      </c>
      <c r="I43" s="291">
        <f>+'3A1_3A2 FACTORES DE EMISIÓN'!$B$45</f>
        <v>0</v>
      </c>
      <c r="J43" s="291">
        <f t="shared" si="4"/>
        <v>0</v>
      </c>
      <c r="K43" s="7">
        <f>+J43*'FACTORES DE CONVERSIÓN'!$C$26/'FACTORES DE CONVERSIÓN'!$C$28</f>
        <v>0</v>
      </c>
    </row>
    <row r="44" spans="1:11" ht="15.75" thickBot="1">
      <c r="A44" s="1326"/>
      <c r="B44" s="296" t="s">
        <v>44</v>
      </c>
      <c r="C44" s="291">
        <f>'3A1_3A2_3C6 INFO PROC'!B95</f>
        <v>1105017</v>
      </c>
      <c r="D44" s="291">
        <f>'FACTORES DE CONVERSIÓN'!B160</f>
        <v>3.2524021239493717</v>
      </c>
      <c r="E44" s="291">
        <f>'FACTORES DE CONVERSIÓN'!B145</f>
        <v>100.1</v>
      </c>
      <c r="F44" s="290">
        <f t="shared" si="2"/>
        <v>118.83139020167621</v>
      </c>
      <c r="G44" s="291">
        <f>'FACTORES DE CONVERSIÓN'!C175</f>
        <v>0</v>
      </c>
      <c r="H44" s="291">
        <f t="shared" si="3"/>
        <v>0</v>
      </c>
      <c r="I44" s="291">
        <f>+'3A1_3A2 FACTORES DE EMISIÓN'!$B$45</f>
        <v>0</v>
      </c>
      <c r="J44" s="291">
        <f t="shared" si="4"/>
        <v>0</v>
      </c>
      <c r="K44" s="7">
        <f>+J44*'FACTORES DE CONVERSIÓN'!$C$26/'FACTORES DE CONVERSIÓN'!$C$28</f>
        <v>0</v>
      </c>
    </row>
    <row r="45" spans="1:11" ht="15.75" thickBot="1">
      <c r="A45" s="1326"/>
      <c r="B45" s="296" t="s">
        <v>42</v>
      </c>
      <c r="C45" s="291">
        <f>'3A1_3A2_3C6 INFO PROC'!B96</f>
        <v>49559797.50249963</v>
      </c>
      <c r="D45" s="291">
        <f>'FACTORES DE CONVERSIÓN'!B161</f>
        <v>1.9901288046313312</v>
      </c>
      <c r="E45" s="291">
        <f>'FACTORES DE CONVERSIÓN'!B146</f>
        <v>3.919072164948454</v>
      </c>
      <c r="F45" s="290">
        <f t="shared" si="2"/>
        <v>2.846802317055868</v>
      </c>
      <c r="G45" s="291">
        <f>'FACTORES DE CONVERSIÓN'!C176</f>
        <v>0</v>
      </c>
      <c r="H45" s="291">
        <f t="shared" si="3"/>
        <v>0</v>
      </c>
      <c r="I45" s="291">
        <f>+'3A1_3A2 FACTORES DE EMISIÓN'!$B$45</f>
        <v>0</v>
      </c>
      <c r="J45" s="291">
        <f t="shared" si="4"/>
        <v>0</v>
      </c>
      <c r="K45" s="7">
        <f>+J45*'FACTORES DE CONVERSIÓN'!$C$26/'FACTORES DE CONVERSIÓN'!$C$28</f>
        <v>0</v>
      </c>
    </row>
    <row r="46" spans="1:11" ht="15.75" thickBot="1">
      <c r="A46" s="1322"/>
      <c r="B46" s="296" t="s">
        <v>74</v>
      </c>
      <c r="C46" s="291">
        <f>'3A1_3A2_3C6 INFO PROC'!B97</f>
        <v>3584640.1025886</v>
      </c>
      <c r="D46" s="291">
        <f>'FACTORES DE CONVERSIÓN'!B162</f>
        <v>4.315694573679203</v>
      </c>
      <c r="E46" s="291">
        <f>'FACTORES DE CONVERSIÓN'!B147</f>
        <v>0.6911</v>
      </c>
      <c r="F46" s="290">
        <f t="shared" si="2"/>
        <v>1.0886404297524397</v>
      </c>
      <c r="G46" s="291">
        <f>'FACTORES DE CONVERSIÓN'!C177</f>
        <v>1</v>
      </c>
      <c r="H46" s="291">
        <f t="shared" si="3"/>
        <v>3902384.141789883</v>
      </c>
      <c r="I46" s="291">
        <f>+'3A1_3A2 FACTORES DE EMISIÓN'!$B$45</f>
        <v>0</v>
      </c>
      <c r="J46" s="291">
        <f t="shared" si="4"/>
        <v>0</v>
      </c>
      <c r="K46" s="7">
        <f>+J46*'FACTORES DE CONVERSIÓN'!$C$26/'FACTORES DE CONVERSIÓN'!$C$28</f>
        <v>0</v>
      </c>
    </row>
    <row r="47" spans="1:11" ht="15.75" thickBot="1">
      <c r="A47" s="1334" t="s">
        <v>19</v>
      </c>
      <c r="B47" s="1335"/>
      <c r="C47" s="297"/>
      <c r="D47" s="298"/>
      <c r="E47" s="298"/>
      <c r="F47" s="299">
        <f>SUM(F36:F46)</f>
        <v>374.1560278815208</v>
      </c>
      <c r="G47" s="299"/>
      <c r="H47" s="299"/>
      <c r="I47" s="299"/>
      <c r="J47" s="299">
        <f>SUM(J36:J46)</f>
        <v>0</v>
      </c>
      <c r="K47" s="20">
        <f>SUM(K36:K46)</f>
        <v>0</v>
      </c>
    </row>
    <row r="48" spans="1:11" ht="16.5" customHeight="1" thickBot="1" thickTop="1">
      <c r="A48" s="1330" t="s">
        <v>216</v>
      </c>
      <c r="B48" s="296" t="s">
        <v>161</v>
      </c>
      <c r="C48" s="291">
        <f>'3A1_3A2_3C6 INFO PROC'!B87</f>
        <v>895718</v>
      </c>
      <c r="D48" s="291">
        <f>'FACTORES DE CONVERSIÓN'!B152</f>
        <v>0.48</v>
      </c>
      <c r="E48" s="291">
        <f>'FACTORES DE CONVERSIÓN'!B137</f>
        <v>520</v>
      </c>
      <c r="F48" s="290">
        <f>D48*E48*365/1000</f>
        <v>91.104</v>
      </c>
      <c r="G48" s="291">
        <f>'FACTORES DE CONVERSIÓN'!D167</f>
        <v>0.21</v>
      </c>
      <c r="H48" s="291">
        <f>C48*F48*G48</f>
        <v>17136733.461120002</v>
      </c>
      <c r="I48" s="291">
        <f>'3A1_3A2 FACTORES DE EMISIÓN'!$B$46</f>
        <v>0.01</v>
      </c>
      <c r="J48" s="291">
        <f>H48*I48*44/28</f>
        <v>269291.5258176</v>
      </c>
      <c r="K48" s="7">
        <f>+J48*'FACTORES DE CONVERSIÓN'!$C$26/'FACTORES DE CONVERSIÓN'!$C$28</f>
        <v>0.2692915258176</v>
      </c>
    </row>
    <row r="49" spans="1:11" ht="15.75" customHeight="1" thickBot="1">
      <c r="A49" s="1326"/>
      <c r="B49" s="296" t="s">
        <v>162</v>
      </c>
      <c r="C49" s="291">
        <f>'3A1_3A2_3C6 INFO PROC'!B88</f>
        <v>4639737</v>
      </c>
      <c r="D49" s="291">
        <f>'FACTORES DE CONVERSIÓN'!B153</f>
        <v>0.36</v>
      </c>
      <c r="E49" s="291">
        <f>'FACTORES DE CONVERSIÓN'!B138</f>
        <v>306.2050565680085</v>
      </c>
      <c r="F49" s="290">
        <f aca="true" t="shared" si="5" ref="F49:F58">D49*E49*365/1000</f>
        <v>40.23534443303631</v>
      </c>
      <c r="G49" s="291">
        <f>'FACTORES DE CONVERSIÓN'!D168</f>
        <v>0.09</v>
      </c>
      <c r="H49" s="291">
        <f aca="true" t="shared" si="6" ref="H49:H58">C49*F49*G49</f>
        <v>16801327.464633234</v>
      </c>
      <c r="I49" s="291">
        <f>'3A1_3A2 FACTORES DE EMISIÓN'!$B$46</f>
        <v>0.01</v>
      </c>
      <c r="J49" s="291">
        <f aca="true" t="shared" si="7" ref="J49:J58">H49*I49*44/28</f>
        <v>264020.86015852226</v>
      </c>
      <c r="K49" s="7">
        <f>+J49*'FACTORES DE CONVERSIÓN'!$C$26/'FACTORES DE CONVERSIÓN'!$C$28</f>
        <v>0.2640208601585223</v>
      </c>
    </row>
    <row r="50" spans="1:11" ht="15.75" thickBot="1">
      <c r="A50" s="1326"/>
      <c r="B50" s="296" t="s">
        <v>46</v>
      </c>
      <c r="C50" s="291">
        <f>'3A1_3A2_3C6 INFO PROC'!B89</f>
        <v>11450659</v>
      </c>
      <c r="D50" s="291">
        <f>'FACTORES DE CONVERSIÓN'!B154</f>
        <v>1.17</v>
      </c>
      <c r="E50" s="291">
        <f>'FACTORES DE CONVERSIÓN'!B139</f>
        <v>25.61</v>
      </c>
      <c r="F50" s="290">
        <f t="shared" si="5"/>
        <v>10.936750499999999</v>
      </c>
      <c r="G50" s="291">
        <f>'FACTORES DE CONVERSIÓN'!D169</f>
        <v>0</v>
      </c>
      <c r="H50" s="291">
        <f t="shared" si="6"/>
        <v>0</v>
      </c>
      <c r="I50" s="291">
        <f>'3A1_3A2 FACTORES DE EMISIÓN'!$B$46</f>
        <v>0.01</v>
      </c>
      <c r="J50" s="291">
        <f t="shared" si="7"/>
        <v>0</v>
      </c>
      <c r="K50" s="7">
        <f>+J50*'FACTORES DE CONVERSIÓN'!$C$26/'FACTORES DE CONVERSIÓN'!$C$28</f>
        <v>0</v>
      </c>
    </row>
    <row r="51" spans="1:11" ht="15.75" thickBot="1">
      <c r="A51" s="1326"/>
      <c r="B51" s="296" t="s">
        <v>45</v>
      </c>
      <c r="C51" s="291">
        <f>'3A1_3A2_3C6 INFO PROC'!B90</f>
        <v>1879713</v>
      </c>
      <c r="D51" s="291">
        <f>'FACTORES DE CONVERSIÓN'!B155</f>
        <v>1.37</v>
      </c>
      <c r="E51" s="291">
        <f>'FACTORES DE CONVERSIÓN'!B140</f>
        <v>30</v>
      </c>
      <c r="F51" s="290">
        <f t="shared" si="5"/>
        <v>15.0015</v>
      </c>
      <c r="G51" s="291">
        <f>'FACTORES DE CONVERSIÓN'!D170</f>
        <v>0</v>
      </c>
      <c r="H51" s="291">
        <f t="shared" si="6"/>
        <v>0</v>
      </c>
      <c r="I51" s="291">
        <f>'3A1_3A2 FACTORES DE EMISIÓN'!$B$46</f>
        <v>0.01</v>
      </c>
      <c r="J51" s="291">
        <f t="shared" si="7"/>
        <v>0</v>
      </c>
      <c r="K51" s="7">
        <f>+J51*'FACTORES DE CONVERSIÓN'!$C$26/'FACTORES DE CONVERSIÓN'!$C$28</f>
        <v>0</v>
      </c>
    </row>
    <row r="52" spans="1:11" ht="15.75" thickBot="1">
      <c r="A52" s="1326"/>
      <c r="B52" s="296" t="s">
        <v>72</v>
      </c>
      <c r="C52" s="291">
        <f>'3A1_3A2_3C6 INFO PROC'!B91</f>
        <v>526290.5573110435</v>
      </c>
      <c r="D52" s="291">
        <f>'FACTORES DE CONVERSIÓN'!B156</f>
        <v>0.46</v>
      </c>
      <c r="E52" s="291">
        <f>'FACTORES DE CONVERSIÓN'!B141</f>
        <v>238</v>
      </c>
      <c r="F52" s="290">
        <f t="shared" si="5"/>
        <v>39.96020000000001</v>
      </c>
      <c r="G52" s="291">
        <f>'FACTORES DE CONVERSIÓN'!D171</f>
        <v>0</v>
      </c>
      <c r="H52" s="291">
        <f t="shared" si="6"/>
        <v>0</v>
      </c>
      <c r="I52" s="291">
        <f>'3A1_3A2 FACTORES DE EMISIÓN'!$B$46</f>
        <v>0.01</v>
      </c>
      <c r="J52" s="291">
        <f t="shared" si="7"/>
        <v>0</v>
      </c>
      <c r="K52" s="7">
        <f>+J52*'FACTORES DE CONVERSIÓN'!$C$26/'FACTORES DE CONVERSIÓN'!$C$28</f>
        <v>0</v>
      </c>
    </row>
    <row r="53" spans="1:11" ht="15.75" thickBot="1">
      <c r="A53" s="1326"/>
      <c r="B53" s="296" t="s">
        <v>150</v>
      </c>
      <c r="C53" s="291">
        <f>'3A1_3A2_3C6 INFO PROC'!B92</f>
        <v>590007.7086570447</v>
      </c>
      <c r="D53" s="291">
        <f>'FACTORES DE CONVERSIÓN'!B157</f>
        <v>0.46</v>
      </c>
      <c r="E53" s="291">
        <f>'FACTORES DE CONVERSIÓN'!B142</f>
        <v>130</v>
      </c>
      <c r="F53" s="290">
        <f t="shared" si="5"/>
        <v>21.827</v>
      </c>
      <c r="G53" s="291">
        <f>'FACTORES DE CONVERSIÓN'!D172</f>
        <v>0</v>
      </c>
      <c r="H53" s="291">
        <f t="shared" si="6"/>
        <v>0</v>
      </c>
      <c r="I53" s="291">
        <f>'3A1_3A2 FACTORES DE EMISIÓN'!$B$46</f>
        <v>0.01</v>
      </c>
      <c r="J53" s="291">
        <f t="shared" si="7"/>
        <v>0</v>
      </c>
      <c r="K53" s="7">
        <f>+J53*'FACTORES DE CONVERSIÓN'!$C$26/'FACTORES DE CONVERSIÓN'!$C$28</f>
        <v>0</v>
      </c>
    </row>
    <row r="54" spans="1:11" ht="15.75" thickBot="1">
      <c r="A54" s="1326"/>
      <c r="B54" s="296" t="s">
        <v>47</v>
      </c>
      <c r="C54" s="291">
        <f>'3A1_3A2_3C6 INFO PROC'!B93</f>
        <v>904700.4246575341</v>
      </c>
      <c r="D54" s="291">
        <f>'FACTORES DE CONVERSIÓN'!B158</f>
        <v>1.64</v>
      </c>
      <c r="E54" s="291">
        <f>'FACTORES DE CONVERSIÓN'!B143</f>
        <v>28</v>
      </c>
      <c r="F54" s="290">
        <f t="shared" si="5"/>
        <v>16.7608</v>
      </c>
      <c r="G54" s="291">
        <f>'FACTORES DE CONVERSIÓN'!D173</f>
        <v>0.33</v>
      </c>
      <c r="H54" s="291">
        <f t="shared" si="6"/>
        <v>5003955.949607999</v>
      </c>
      <c r="I54" s="291">
        <f>'3A1_3A2 FACTORES DE EMISIÓN'!$B$46</f>
        <v>0.01</v>
      </c>
      <c r="J54" s="291">
        <f t="shared" si="7"/>
        <v>78633.59349383999</v>
      </c>
      <c r="K54" s="7">
        <f>+J54*'FACTORES DE CONVERSIÓN'!$C$26/'FACTORES DE CONVERSIÓN'!$C$28</f>
        <v>0.07863359349384</v>
      </c>
    </row>
    <row r="55" spans="1:11" ht="15.75" thickBot="1">
      <c r="A55" s="1326"/>
      <c r="B55" s="296" t="s">
        <v>43</v>
      </c>
      <c r="C55" s="291">
        <f>'3A1_3A2_3C6 INFO PROC'!B94</f>
        <v>4319229</v>
      </c>
      <c r="D55" s="291">
        <f>'FACTORES DE CONVERSIÓN'!B161</f>
        <v>1.9901288046313312</v>
      </c>
      <c r="E55" s="291">
        <f>'FACTORES DE CONVERSIÓN'!B144</f>
        <v>52</v>
      </c>
      <c r="F55" s="290">
        <f t="shared" si="5"/>
        <v>37.772644711902664</v>
      </c>
      <c r="G55" s="291">
        <f>'FACTORES DE CONVERSIÓN'!D174</f>
        <v>0.11</v>
      </c>
      <c r="H55" s="291">
        <f t="shared" si="6"/>
        <v>17946357.26909813</v>
      </c>
      <c r="I55" s="291">
        <f>'3A1_3A2 FACTORES DE EMISIÓN'!$B$46</f>
        <v>0.01</v>
      </c>
      <c r="J55" s="291">
        <f t="shared" si="7"/>
        <v>282014.18565725634</v>
      </c>
      <c r="K55" s="7">
        <f>+J55*'FACTORES DE CONVERSIÓN'!$C$26/'FACTORES DE CONVERSIÓN'!$C$28</f>
        <v>0.2820141856572564</v>
      </c>
    </row>
    <row r="56" spans="1:11" ht="15.75" thickBot="1">
      <c r="A56" s="1326"/>
      <c r="B56" s="296" t="s">
        <v>44</v>
      </c>
      <c r="C56" s="291">
        <f>'3A1_3A2_3C6 INFO PROC'!B95</f>
        <v>1105017</v>
      </c>
      <c r="D56" s="291">
        <f>'FACTORES DE CONVERSIÓN'!B160</f>
        <v>3.2524021239493717</v>
      </c>
      <c r="E56" s="291">
        <f>'FACTORES DE CONVERSIÓN'!B145</f>
        <v>100.1</v>
      </c>
      <c r="F56" s="290">
        <f t="shared" si="5"/>
        <v>118.83139020167621</v>
      </c>
      <c r="G56" s="291">
        <f>'FACTORES DE CONVERSIÓN'!D175</f>
        <v>0.11</v>
      </c>
      <c r="H56" s="291">
        <f t="shared" si="6"/>
        <v>14444177.693713421</v>
      </c>
      <c r="I56" s="291">
        <f>'3A1_3A2 FACTORES DE EMISIÓN'!$B$46</f>
        <v>0.01</v>
      </c>
      <c r="J56" s="291">
        <f t="shared" si="7"/>
        <v>226979.9351869252</v>
      </c>
      <c r="K56" s="7">
        <f>+J56*'FACTORES DE CONVERSIÓN'!$C$26/'FACTORES DE CONVERSIÓN'!$C$28</f>
        <v>0.2269799351869252</v>
      </c>
    </row>
    <row r="57" spans="1:11" ht="15.75" thickBot="1">
      <c r="A57" s="1326"/>
      <c r="B57" s="296" t="s">
        <v>42</v>
      </c>
      <c r="C57" s="291">
        <f>'3A1_3A2_3C6 INFO PROC'!B96</f>
        <v>49559797.50249963</v>
      </c>
      <c r="D57" s="291">
        <f>'FACTORES DE CONVERSIÓN'!B159</f>
        <v>0.82</v>
      </c>
      <c r="E57" s="291">
        <f>'FACTORES DE CONVERSIÓN'!B146</f>
        <v>3.919072164948454</v>
      </c>
      <c r="F57" s="290">
        <f t="shared" si="5"/>
        <v>1.1729782989690722</v>
      </c>
      <c r="G57" s="291">
        <f>'FACTORES DE CONVERSIÓN'!D176</f>
        <v>0</v>
      </c>
      <c r="H57" s="291">
        <f t="shared" si="6"/>
        <v>0</v>
      </c>
      <c r="I57" s="291">
        <f>'3A1_3A2 FACTORES DE EMISIÓN'!$B$46</f>
        <v>0.01</v>
      </c>
      <c r="J57" s="291">
        <f t="shared" si="7"/>
        <v>0</v>
      </c>
      <c r="K57" s="7">
        <f>+J57*'FACTORES DE CONVERSIÓN'!$C$26/'FACTORES DE CONVERSIÓN'!$C$28</f>
        <v>0</v>
      </c>
    </row>
    <row r="58" spans="1:11" ht="15.75" thickBot="1">
      <c r="A58" s="1322"/>
      <c r="B58" s="296" t="s">
        <v>74</v>
      </c>
      <c r="C58" s="291">
        <f>'3A1_3A2_3C6 INFO PROC'!B97</f>
        <v>3584640.1025886</v>
      </c>
      <c r="D58" s="291">
        <f>'FACTORES DE CONVERSIÓN'!B162</f>
        <v>4.315694573679203</v>
      </c>
      <c r="E58" s="291">
        <f>'FACTORES DE CONVERSIÓN'!B147</f>
        <v>0.6911</v>
      </c>
      <c r="F58" s="290">
        <f t="shared" si="5"/>
        <v>1.0886404297524397</v>
      </c>
      <c r="G58" s="291">
        <f>'FACTORES DE CONVERSIÓN'!D177</f>
        <v>0</v>
      </c>
      <c r="H58" s="291">
        <f t="shared" si="6"/>
        <v>0</v>
      </c>
      <c r="I58" s="291">
        <f>'3A1_3A2 FACTORES DE EMISIÓN'!$B$46</f>
        <v>0.01</v>
      </c>
      <c r="J58" s="291">
        <f t="shared" si="7"/>
        <v>0</v>
      </c>
      <c r="K58" s="7">
        <f>+J58*'FACTORES DE CONVERSIÓN'!$C$26/'FACTORES DE CONVERSIÓN'!$C$28</f>
        <v>0</v>
      </c>
    </row>
    <row r="59" spans="1:11" ht="15.75" thickBot="1">
      <c r="A59" s="1334" t="s">
        <v>19</v>
      </c>
      <c r="B59" s="1335"/>
      <c r="C59" s="297"/>
      <c r="D59" s="298"/>
      <c r="E59" s="298"/>
      <c r="F59" s="299">
        <f>SUM(F48:F58)</f>
        <v>394.6912485753367</v>
      </c>
      <c r="G59" s="299"/>
      <c r="H59" s="299"/>
      <c r="I59" s="299"/>
      <c r="J59" s="299">
        <f>SUM(J48:J58)</f>
        <v>1120940.1003141436</v>
      </c>
      <c r="K59" s="20">
        <f>SUM(K48:K58)</f>
        <v>1.120940100314144</v>
      </c>
    </row>
    <row r="60" spans="1:11" ht="16.5" customHeight="1" thickBot="1" thickTop="1">
      <c r="A60" s="1330" t="s">
        <v>187</v>
      </c>
      <c r="B60" s="296" t="s">
        <v>161</v>
      </c>
      <c r="C60" s="291">
        <f>'3A1_3A2_3C6 INFO PROC'!B87</f>
        <v>895718</v>
      </c>
      <c r="D60" s="291">
        <f>'FACTORES DE CONVERSIÓN'!B152</f>
        <v>0.48</v>
      </c>
      <c r="E60" s="291">
        <f>'FACTORES DE CONVERSIÓN'!B137</f>
        <v>520</v>
      </c>
      <c r="F60" s="290">
        <f>D60*E60*365/1000</f>
        <v>91.104</v>
      </c>
      <c r="G60" s="291">
        <f>'FACTORES DE CONVERSIÓN'!F167</f>
        <v>0</v>
      </c>
      <c r="H60" s="291">
        <f>C60*F60*G60</f>
        <v>0</v>
      </c>
      <c r="I60" s="291">
        <f>'3A1_3A2 FACTORES DE EMISIÓN'!$B$48</f>
        <v>0.02</v>
      </c>
      <c r="J60" s="291">
        <f>H60*I60*44/28</f>
        <v>0</v>
      </c>
      <c r="K60" s="7">
        <f>+J60*'FACTORES DE CONVERSIÓN'!$C$26/'FACTORES DE CONVERSIÓN'!$C$28</f>
        <v>0</v>
      </c>
    </row>
    <row r="61" spans="1:11" ht="15.75" customHeight="1" thickBot="1">
      <c r="A61" s="1326"/>
      <c r="B61" s="296" t="s">
        <v>162</v>
      </c>
      <c r="C61" s="291">
        <f>'3A1_3A2_3C6 INFO PROC'!B88</f>
        <v>4639737</v>
      </c>
      <c r="D61" s="291">
        <f>'FACTORES DE CONVERSIÓN'!B153</f>
        <v>0.36</v>
      </c>
      <c r="E61" s="291">
        <f>'FACTORES DE CONVERSIÓN'!B138</f>
        <v>306.2050565680085</v>
      </c>
      <c r="F61" s="290">
        <f aca="true" t="shared" si="8" ref="F61:F70">D61*E61*365/1000</f>
        <v>40.23534443303631</v>
      </c>
      <c r="G61" s="291">
        <f>'FACTORES DE CONVERSIÓN'!F168</f>
        <v>0</v>
      </c>
      <c r="H61" s="291">
        <f aca="true" t="shared" si="9" ref="H61:H70">C61*F61*G61</f>
        <v>0</v>
      </c>
      <c r="I61" s="291">
        <f>'3A1_3A2 FACTORES DE EMISIÓN'!$B$48</f>
        <v>0.02</v>
      </c>
      <c r="J61" s="291">
        <f aca="true" t="shared" si="10" ref="J61:J70">H61*I61*44/28</f>
        <v>0</v>
      </c>
      <c r="K61" s="7">
        <f>+J61*'FACTORES DE CONVERSIÓN'!$C$26/'FACTORES DE CONVERSIÓN'!$C$28</f>
        <v>0</v>
      </c>
    </row>
    <row r="62" spans="1:11" ht="15.75" thickBot="1">
      <c r="A62" s="1326"/>
      <c r="B62" s="296" t="s">
        <v>46</v>
      </c>
      <c r="C62" s="291">
        <f>'3A1_3A2_3C6 INFO PROC'!B89</f>
        <v>11450659</v>
      </c>
      <c r="D62" s="291">
        <f>'FACTORES DE CONVERSIÓN'!B154</f>
        <v>1.17</v>
      </c>
      <c r="E62" s="291">
        <f>'FACTORES DE CONVERSIÓN'!B139</f>
        <v>25.61</v>
      </c>
      <c r="F62" s="290">
        <f t="shared" si="8"/>
        <v>10.936750499999999</v>
      </c>
      <c r="G62" s="291">
        <f>'FACTORES DE CONVERSIÓN'!F169</f>
        <v>0</v>
      </c>
      <c r="H62" s="291">
        <f t="shared" si="9"/>
        <v>0</v>
      </c>
      <c r="I62" s="291">
        <f>'3A1_3A2 FACTORES DE EMISIÓN'!$B$48</f>
        <v>0.02</v>
      </c>
      <c r="J62" s="291">
        <f t="shared" si="10"/>
        <v>0</v>
      </c>
      <c r="K62" s="7">
        <f>+J62*'FACTORES DE CONVERSIÓN'!$C$26/'FACTORES DE CONVERSIÓN'!$C$28</f>
        <v>0</v>
      </c>
    </row>
    <row r="63" spans="1:11" ht="15.75" thickBot="1">
      <c r="A63" s="1326"/>
      <c r="B63" s="296" t="s">
        <v>45</v>
      </c>
      <c r="C63" s="291">
        <f>'3A1_3A2_3C6 INFO PROC'!B90</f>
        <v>1879713</v>
      </c>
      <c r="D63" s="291">
        <f>'FACTORES DE CONVERSIÓN'!B155</f>
        <v>1.37</v>
      </c>
      <c r="E63" s="291">
        <f>'FACTORES DE CONVERSIÓN'!B140</f>
        <v>30</v>
      </c>
      <c r="F63" s="290">
        <f t="shared" si="8"/>
        <v>15.0015</v>
      </c>
      <c r="G63" s="291">
        <f>'FACTORES DE CONVERSIÓN'!F170</f>
        <v>0</v>
      </c>
      <c r="H63" s="291">
        <f t="shared" si="9"/>
        <v>0</v>
      </c>
      <c r="I63" s="291">
        <f>'3A1_3A2 FACTORES DE EMISIÓN'!$B$48</f>
        <v>0.02</v>
      </c>
      <c r="J63" s="291">
        <f t="shared" si="10"/>
        <v>0</v>
      </c>
      <c r="K63" s="7">
        <f>+J63*'FACTORES DE CONVERSIÓN'!$C$26/'FACTORES DE CONVERSIÓN'!$C$28</f>
        <v>0</v>
      </c>
    </row>
    <row r="64" spans="1:11" ht="15.75" thickBot="1">
      <c r="A64" s="1326"/>
      <c r="B64" s="296" t="s">
        <v>72</v>
      </c>
      <c r="C64" s="291">
        <f>'3A1_3A2_3C6 INFO PROC'!B91</f>
        <v>526290.5573110435</v>
      </c>
      <c r="D64" s="291">
        <f>'FACTORES DE CONVERSIÓN'!B156</f>
        <v>0.46</v>
      </c>
      <c r="E64" s="291">
        <f>'FACTORES DE CONVERSIÓN'!B141</f>
        <v>238</v>
      </c>
      <c r="F64" s="290">
        <f t="shared" si="8"/>
        <v>39.96020000000001</v>
      </c>
      <c r="G64" s="291">
        <f>'FACTORES DE CONVERSIÓN'!F171</f>
        <v>0</v>
      </c>
      <c r="H64" s="291">
        <f t="shared" si="9"/>
        <v>0</v>
      </c>
      <c r="I64" s="291">
        <f>'3A1_3A2 FACTORES DE EMISIÓN'!$B$48</f>
        <v>0.02</v>
      </c>
      <c r="J64" s="291">
        <f t="shared" si="10"/>
        <v>0</v>
      </c>
      <c r="K64" s="7">
        <f>+J64*'FACTORES DE CONVERSIÓN'!$C$26/'FACTORES DE CONVERSIÓN'!$C$28</f>
        <v>0</v>
      </c>
    </row>
    <row r="65" spans="1:11" ht="15.75" thickBot="1">
      <c r="A65" s="1326"/>
      <c r="B65" s="296" t="s">
        <v>150</v>
      </c>
      <c r="C65" s="291">
        <f>'3A1_3A2_3C6 INFO PROC'!B92</f>
        <v>590007.7086570447</v>
      </c>
      <c r="D65" s="291">
        <f>'FACTORES DE CONVERSIÓN'!B157</f>
        <v>0.46</v>
      </c>
      <c r="E65" s="291">
        <f>'FACTORES DE CONVERSIÓN'!B142</f>
        <v>130</v>
      </c>
      <c r="F65" s="290">
        <f t="shared" si="8"/>
        <v>21.827</v>
      </c>
      <c r="G65" s="291">
        <f>'FACTORES DE CONVERSIÓN'!F172</f>
        <v>0</v>
      </c>
      <c r="H65" s="291">
        <f t="shared" si="9"/>
        <v>0</v>
      </c>
      <c r="I65" s="291">
        <f>'3A1_3A2 FACTORES DE EMISIÓN'!$B$48</f>
        <v>0.02</v>
      </c>
      <c r="J65" s="291">
        <f t="shared" si="10"/>
        <v>0</v>
      </c>
      <c r="K65" s="7">
        <f>+J65*'FACTORES DE CONVERSIÓN'!$C$26/'FACTORES DE CONVERSIÓN'!$C$28</f>
        <v>0</v>
      </c>
    </row>
    <row r="66" spans="1:11" ht="15.75" thickBot="1">
      <c r="A66" s="1326"/>
      <c r="B66" s="296" t="s">
        <v>47</v>
      </c>
      <c r="C66" s="291">
        <f>'3A1_3A2_3C6 INFO PROC'!B93</f>
        <v>904700.4246575341</v>
      </c>
      <c r="D66" s="291">
        <f>'FACTORES DE CONVERSIÓN'!B158</f>
        <v>1.64</v>
      </c>
      <c r="E66" s="291">
        <f>'FACTORES DE CONVERSIÓN'!B143</f>
        <v>28</v>
      </c>
      <c r="F66" s="290">
        <f t="shared" si="8"/>
        <v>16.7608</v>
      </c>
      <c r="G66" s="291">
        <f>'FACTORES DE CONVERSIÓN'!F173</f>
        <v>0</v>
      </c>
      <c r="H66" s="291">
        <f t="shared" si="9"/>
        <v>0</v>
      </c>
      <c r="I66" s="291">
        <f>'3A1_3A2 FACTORES DE EMISIÓN'!$B$48</f>
        <v>0.02</v>
      </c>
      <c r="J66" s="291">
        <f t="shared" si="10"/>
        <v>0</v>
      </c>
      <c r="K66" s="7">
        <f>+J66*'FACTORES DE CONVERSIÓN'!$C$26/'FACTORES DE CONVERSIÓN'!$C$28</f>
        <v>0</v>
      </c>
    </row>
    <row r="67" spans="1:11" ht="15.75" thickBot="1">
      <c r="A67" s="1326"/>
      <c r="B67" s="296" t="s">
        <v>43</v>
      </c>
      <c r="C67" s="291">
        <f>'3A1_3A2_3C6 INFO PROC'!B94</f>
        <v>4319229</v>
      </c>
      <c r="D67" s="291">
        <f>'FACTORES DE CONVERSIÓN'!B161</f>
        <v>1.9901288046313312</v>
      </c>
      <c r="E67" s="291">
        <f>'FACTORES DE CONVERSIÓN'!B144</f>
        <v>52</v>
      </c>
      <c r="F67" s="290">
        <f t="shared" si="8"/>
        <v>37.772644711902664</v>
      </c>
      <c r="G67" s="291">
        <f>'FACTORES DE CONVERSIÓN'!F174</f>
        <v>0</v>
      </c>
      <c r="H67" s="291">
        <f t="shared" si="9"/>
        <v>0</v>
      </c>
      <c r="I67" s="291">
        <f>'3A1_3A2 FACTORES DE EMISIÓN'!$B$48</f>
        <v>0.02</v>
      </c>
      <c r="J67" s="291">
        <f t="shared" si="10"/>
        <v>0</v>
      </c>
      <c r="K67" s="7">
        <f>+J67*'FACTORES DE CONVERSIÓN'!$C$26/'FACTORES DE CONVERSIÓN'!$C$28</f>
        <v>0</v>
      </c>
    </row>
    <row r="68" spans="1:11" ht="15.75" thickBot="1">
      <c r="A68" s="1326"/>
      <c r="B68" s="296" t="s">
        <v>44</v>
      </c>
      <c r="C68" s="291">
        <f>'3A1_3A2_3C6 INFO PROC'!B95</f>
        <v>1105017</v>
      </c>
      <c r="D68" s="291">
        <f>'FACTORES DE CONVERSIÓN'!B160</f>
        <v>3.2524021239493717</v>
      </c>
      <c r="E68" s="291">
        <f>'FACTORES DE CONVERSIÓN'!B145</f>
        <v>100.1</v>
      </c>
      <c r="F68" s="290">
        <f t="shared" si="8"/>
        <v>118.83139020167621</v>
      </c>
      <c r="G68" s="291">
        <f>'FACTORES DE CONVERSIÓN'!F175</f>
        <v>0</v>
      </c>
      <c r="H68" s="291">
        <f t="shared" si="9"/>
        <v>0</v>
      </c>
      <c r="I68" s="291">
        <f>'3A1_3A2 FACTORES DE EMISIÓN'!$B$48</f>
        <v>0.02</v>
      </c>
      <c r="J68" s="291">
        <f t="shared" si="10"/>
        <v>0</v>
      </c>
      <c r="K68" s="7">
        <f>+J68*'FACTORES DE CONVERSIÓN'!$C$26/'FACTORES DE CONVERSIÓN'!$C$28</f>
        <v>0</v>
      </c>
    </row>
    <row r="69" spans="1:11" ht="15.75" thickBot="1">
      <c r="A69" s="1326"/>
      <c r="B69" s="296" t="s">
        <v>42</v>
      </c>
      <c r="C69" s="291">
        <f>'3A1_3A2_3C6 INFO PROC'!B96</f>
        <v>49559797.50249963</v>
      </c>
      <c r="D69" s="291">
        <f>'FACTORES DE CONVERSIÓN'!B159</f>
        <v>0.82</v>
      </c>
      <c r="E69" s="291">
        <f>'FACTORES DE CONVERSIÓN'!B146</f>
        <v>3.919072164948454</v>
      </c>
      <c r="F69" s="290">
        <f t="shared" si="8"/>
        <v>1.1729782989690722</v>
      </c>
      <c r="G69" s="291">
        <f>'FACTORES DE CONVERSIÓN'!F176</f>
        <v>0</v>
      </c>
      <c r="H69" s="291">
        <f t="shared" si="9"/>
        <v>0</v>
      </c>
      <c r="I69" s="291">
        <f>'3A1_3A2 FACTORES DE EMISIÓN'!$B$48</f>
        <v>0.02</v>
      </c>
      <c r="J69" s="291">
        <f t="shared" si="10"/>
        <v>0</v>
      </c>
      <c r="K69" s="7">
        <f>+J69*'FACTORES DE CONVERSIÓN'!$C$26/'FACTORES DE CONVERSIÓN'!$C$28</f>
        <v>0</v>
      </c>
    </row>
    <row r="70" spans="1:11" ht="15.75" thickBot="1">
      <c r="A70" s="1322"/>
      <c r="B70" s="296" t="s">
        <v>74</v>
      </c>
      <c r="C70" s="291">
        <f>'3A1_3A2_3C6 INFO PROC'!B97</f>
        <v>3584640.1025886</v>
      </c>
      <c r="D70" s="291">
        <f>'FACTORES DE CONVERSIÓN'!B162</f>
        <v>4.315694573679203</v>
      </c>
      <c r="E70" s="291">
        <f>'FACTORES DE CONVERSIÓN'!B147</f>
        <v>0.6911</v>
      </c>
      <c r="F70" s="290">
        <f t="shared" si="8"/>
        <v>1.0886404297524397</v>
      </c>
      <c r="G70" s="291">
        <f>'FACTORES DE CONVERSIÓN'!F177</f>
        <v>0</v>
      </c>
      <c r="H70" s="291">
        <f t="shared" si="9"/>
        <v>0</v>
      </c>
      <c r="I70" s="291">
        <f>'3A1_3A2 FACTORES DE EMISIÓN'!$B$48</f>
        <v>0.02</v>
      </c>
      <c r="J70" s="291">
        <f t="shared" si="10"/>
        <v>0</v>
      </c>
      <c r="K70" s="7">
        <f>+J70*'FACTORES DE CONVERSIÓN'!$C$26/'FACTORES DE CONVERSIÓN'!$C$28</f>
        <v>0</v>
      </c>
    </row>
    <row r="71" spans="1:11" ht="15.75" thickBot="1">
      <c r="A71" s="1336" t="s">
        <v>19</v>
      </c>
      <c r="B71" s="1337"/>
      <c r="C71" s="297"/>
      <c r="D71" s="298"/>
      <c r="E71" s="298"/>
      <c r="F71" s="299">
        <f>SUM(F60:F70)</f>
        <v>394.6912485753367</v>
      </c>
      <c r="G71" s="298"/>
      <c r="H71" s="298"/>
      <c r="I71" s="298"/>
      <c r="J71" s="299">
        <f>SUM(J60:J70)</f>
        <v>0</v>
      </c>
      <c r="K71" s="20">
        <f>SUM(K60:K70)</f>
        <v>0</v>
      </c>
    </row>
    <row r="72" spans="1:11" ht="16.5" customHeight="1" thickBot="1" thickTop="1">
      <c r="A72" s="1330" t="s">
        <v>188</v>
      </c>
      <c r="B72" s="296" t="s">
        <v>161</v>
      </c>
      <c r="C72" s="291">
        <f>'3A1_3A2_3C6 INFO PROC'!B87</f>
        <v>895718</v>
      </c>
      <c r="D72" s="291">
        <f>'FACTORES DE CONVERSIÓN'!B152</f>
        <v>0.48</v>
      </c>
      <c r="E72" s="291">
        <f>'FACTORES DE CONVERSIÓN'!B137</f>
        <v>520</v>
      </c>
      <c r="F72" s="290">
        <f>D72*E72*365/1000</f>
        <v>91.104</v>
      </c>
      <c r="G72" s="291">
        <f>'FACTORES DE CONVERSIÓN'!G167</f>
        <v>0</v>
      </c>
      <c r="H72" s="291">
        <f>C72*F72*G72</f>
        <v>0</v>
      </c>
      <c r="I72" s="300">
        <f>'3A1_3A2 FACTORES DE EMISIÓN'!$B$49</f>
        <v>0.001</v>
      </c>
      <c r="J72" s="291">
        <f>H72*I72*44/28</f>
        <v>0</v>
      </c>
      <c r="K72" s="7">
        <f>+J72*'FACTORES DE CONVERSIÓN'!$C$26/'FACTORES DE CONVERSIÓN'!$C$28</f>
        <v>0</v>
      </c>
    </row>
    <row r="73" spans="1:11" ht="15.75" customHeight="1" thickBot="1">
      <c r="A73" s="1326"/>
      <c r="B73" s="296" t="s">
        <v>162</v>
      </c>
      <c r="C73" s="291">
        <f>'3A1_3A2_3C6 INFO PROC'!B88</f>
        <v>4639737</v>
      </c>
      <c r="D73" s="291">
        <f>'FACTORES DE CONVERSIÓN'!B153</f>
        <v>0.36</v>
      </c>
      <c r="E73" s="291">
        <f>'FACTORES DE CONVERSIÓN'!B138</f>
        <v>306.2050565680085</v>
      </c>
      <c r="F73" s="290">
        <f aca="true" t="shared" si="11" ref="F73:F82">D73*E73*365/1000</f>
        <v>40.23534443303631</v>
      </c>
      <c r="G73" s="291">
        <f>'FACTORES DE CONVERSIÓN'!G168</f>
        <v>0</v>
      </c>
      <c r="H73" s="291">
        <f aca="true" t="shared" si="12" ref="H73:H82">C73*F73*G73</f>
        <v>0</v>
      </c>
      <c r="I73" s="300">
        <f>'3A1_3A2 FACTORES DE EMISIÓN'!$B$49</f>
        <v>0.001</v>
      </c>
      <c r="J73" s="291">
        <f aca="true" t="shared" si="13" ref="J73:J82">H73*I73*44/28</f>
        <v>0</v>
      </c>
      <c r="K73" s="7">
        <f>+J73*'FACTORES DE CONVERSIÓN'!$C$26/'FACTORES DE CONVERSIÓN'!$C$28</f>
        <v>0</v>
      </c>
    </row>
    <row r="74" spans="1:11" ht="15.75" thickBot="1">
      <c r="A74" s="1326"/>
      <c r="B74" s="296" t="s">
        <v>46</v>
      </c>
      <c r="C74" s="291">
        <f>'3A1_3A2_3C6 INFO PROC'!B89</f>
        <v>11450659</v>
      </c>
      <c r="D74" s="291">
        <f>'FACTORES DE CONVERSIÓN'!B154</f>
        <v>1.17</v>
      </c>
      <c r="E74" s="291">
        <f>'FACTORES DE CONVERSIÓN'!B139</f>
        <v>25.61</v>
      </c>
      <c r="F74" s="290">
        <f t="shared" si="11"/>
        <v>10.936750499999999</v>
      </c>
      <c r="G74" s="291">
        <f>'FACTORES DE CONVERSIÓN'!G169</f>
        <v>0</v>
      </c>
      <c r="H74" s="291">
        <f t="shared" si="12"/>
        <v>0</v>
      </c>
      <c r="I74" s="300">
        <f>'3A1_3A2 FACTORES DE EMISIÓN'!$B$49</f>
        <v>0.001</v>
      </c>
      <c r="J74" s="291">
        <f t="shared" si="13"/>
        <v>0</v>
      </c>
      <c r="K74" s="7">
        <f>+J74*'FACTORES DE CONVERSIÓN'!$C$26/'FACTORES DE CONVERSIÓN'!$C$28</f>
        <v>0</v>
      </c>
    </row>
    <row r="75" spans="1:11" ht="15.75" thickBot="1">
      <c r="A75" s="1326"/>
      <c r="B75" s="296" t="s">
        <v>45</v>
      </c>
      <c r="C75" s="291">
        <f>'3A1_3A2_3C6 INFO PROC'!B90</f>
        <v>1879713</v>
      </c>
      <c r="D75" s="291">
        <f>'FACTORES DE CONVERSIÓN'!B155</f>
        <v>1.37</v>
      </c>
      <c r="E75" s="291">
        <f>'FACTORES DE CONVERSIÓN'!B140</f>
        <v>30</v>
      </c>
      <c r="F75" s="290">
        <f t="shared" si="11"/>
        <v>15.0015</v>
      </c>
      <c r="G75" s="291">
        <f>'FACTORES DE CONVERSIÓN'!G170</f>
        <v>0</v>
      </c>
      <c r="H75" s="291">
        <f t="shared" si="12"/>
        <v>0</v>
      </c>
      <c r="I75" s="300">
        <f>'3A1_3A2 FACTORES DE EMISIÓN'!$B$49</f>
        <v>0.001</v>
      </c>
      <c r="J75" s="291">
        <f t="shared" si="13"/>
        <v>0</v>
      </c>
      <c r="K75" s="7">
        <f>+J75*'FACTORES DE CONVERSIÓN'!$C$26/'FACTORES DE CONVERSIÓN'!$C$28</f>
        <v>0</v>
      </c>
    </row>
    <row r="76" spans="1:11" ht="15.75" thickBot="1">
      <c r="A76" s="1326"/>
      <c r="B76" s="296" t="s">
        <v>72</v>
      </c>
      <c r="C76" s="291">
        <f>'3A1_3A2_3C6 INFO PROC'!B91</f>
        <v>526290.5573110435</v>
      </c>
      <c r="D76" s="291">
        <f>'FACTORES DE CONVERSIÓN'!B156</f>
        <v>0.46</v>
      </c>
      <c r="E76" s="291">
        <f>'FACTORES DE CONVERSIÓN'!B141</f>
        <v>238</v>
      </c>
      <c r="F76" s="290">
        <f t="shared" si="11"/>
        <v>39.96020000000001</v>
      </c>
      <c r="G76" s="291">
        <f>'FACTORES DE CONVERSIÓN'!G171</f>
        <v>0</v>
      </c>
      <c r="H76" s="291">
        <f t="shared" si="12"/>
        <v>0</v>
      </c>
      <c r="I76" s="300">
        <f>'3A1_3A2 FACTORES DE EMISIÓN'!$B$49</f>
        <v>0.001</v>
      </c>
      <c r="J76" s="291">
        <f t="shared" si="13"/>
        <v>0</v>
      </c>
      <c r="K76" s="7">
        <f>+J76*'FACTORES DE CONVERSIÓN'!$C$26/'FACTORES DE CONVERSIÓN'!$C$28</f>
        <v>0</v>
      </c>
    </row>
    <row r="77" spans="1:11" ht="15.75" thickBot="1">
      <c r="A77" s="1326"/>
      <c r="B77" s="296" t="s">
        <v>150</v>
      </c>
      <c r="C77" s="291">
        <f>'3A1_3A2_3C6 INFO PROC'!B92</f>
        <v>590007.7086570447</v>
      </c>
      <c r="D77" s="291">
        <f>'FACTORES DE CONVERSIÓN'!B157</f>
        <v>0.46</v>
      </c>
      <c r="E77" s="291">
        <f>'FACTORES DE CONVERSIÓN'!B142</f>
        <v>130</v>
      </c>
      <c r="F77" s="290">
        <f t="shared" si="11"/>
        <v>21.827</v>
      </c>
      <c r="G77" s="291">
        <f>'FACTORES DE CONVERSIÓN'!G172</f>
        <v>0</v>
      </c>
      <c r="H77" s="291">
        <f t="shared" si="12"/>
        <v>0</v>
      </c>
      <c r="I77" s="300">
        <f>'3A1_3A2 FACTORES DE EMISIÓN'!$B$49</f>
        <v>0.001</v>
      </c>
      <c r="J77" s="291">
        <f t="shared" si="13"/>
        <v>0</v>
      </c>
      <c r="K77" s="7">
        <f>+J77*'FACTORES DE CONVERSIÓN'!$C$26/'FACTORES DE CONVERSIÓN'!$C$28</f>
        <v>0</v>
      </c>
    </row>
    <row r="78" spans="1:11" ht="15.75" thickBot="1">
      <c r="A78" s="1326"/>
      <c r="B78" s="296" t="s">
        <v>47</v>
      </c>
      <c r="C78" s="291">
        <f>'3A1_3A2_3C6 INFO PROC'!B93</f>
        <v>904700.4246575341</v>
      </c>
      <c r="D78" s="291">
        <f>'FACTORES DE CONVERSIÓN'!B158</f>
        <v>1.64</v>
      </c>
      <c r="E78" s="291">
        <f>'FACTORES DE CONVERSIÓN'!B143</f>
        <v>28</v>
      </c>
      <c r="F78" s="290">
        <f t="shared" si="11"/>
        <v>16.7608</v>
      </c>
      <c r="G78" s="291">
        <f>'FACTORES DE CONVERSIÓN'!G173</f>
        <v>0</v>
      </c>
      <c r="H78" s="291">
        <f t="shared" si="12"/>
        <v>0</v>
      </c>
      <c r="I78" s="300">
        <f>'3A1_3A2 FACTORES DE EMISIÓN'!$B$49</f>
        <v>0.001</v>
      </c>
      <c r="J78" s="291">
        <f t="shared" si="13"/>
        <v>0</v>
      </c>
      <c r="K78" s="7">
        <f>+J78*'FACTORES DE CONVERSIÓN'!$C$26/'FACTORES DE CONVERSIÓN'!$C$28</f>
        <v>0</v>
      </c>
    </row>
    <row r="79" spans="1:11" ht="15.75" thickBot="1">
      <c r="A79" s="1326"/>
      <c r="B79" s="296" t="s">
        <v>43</v>
      </c>
      <c r="C79" s="291">
        <f>'3A1_3A2_3C6 INFO PROC'!B94</f>
        <v>4319229</v>
      </c>
      <c r="D79" s="291">
        <f>'FACTORES DE CONVERSIÓN'!B161</f>
        <v>1.9901288046313312</v>
      </c>
      <c r="E79" s="291">
        <f>'FACTORES DE CONVERSIÓN'!B144</f>
        <v>52</v>
      </c>
      <c r="F79" s="290">
        <f t="shared" si="11"/>
        <v>37.772644711902664</v>
      </c>
      <c r="G79" s="291">
        <f>'FACTORES DE CONVERSIÓN'!G174</f>
        <v>0</v>
      </c>
      <c r="H79" s="291">
        <f t="shared" si="12"/>
        <v>0</v>
      </c>
      <c r="I79" s="300">
        <f>'3A1_3A2 FACTORES DE EMISIÓN'!$B$49</f>
        <v>0.001</v>
      </c>
      <c r="J79" s="291">
        <f t="shared" si="13"/>
        <v>0</v>
      </c>
      <c r="K79" s="7">
        <f>+J79*'FACTORES DE CONVERSIÓN'!$C$26/'FACTORES DE CONVERSIÓN'!$C$28</f>
        <v>0</v>
      </c>
    </row>
    <row r="80" spans="1:11" ht="15.75" thickBot="1">
      <c r="A80" s="1326"/>
      <c r="B80" s="296" t="s">
        <v>44</v>
      </c>
      <c r="C80" s="291">
        <f>'3A1_3A2_3C6 INFO PROC'!B95</f>
        <v>1105017</v>
      </c>
      <c r="D80" s="291">
        <f>'FACTORES DE CONVERSIÓN'!B160</f>
        <v>3.2524021239493717</v>
      </c>
      <c r="E80" s="291">
        <f>'FACTORES DE CONVERSIÓN'!B145</f>
        <v>100.1</v>
      </c>
      <c r="F80" s="290">
        <f t="shared" si="11"/>
        <v>118.83139020167621</v>
      </c>
      <c r="G80" s="291">
        <f>'FACTORES DE CONVERSIÓN'!G175</f>
        <v>0</v>
      </c>
      <c r="H80" s="291">
        <f t="shared" si="12"/>
        <v>0</v>
      </c>
      <c r="I80" s="300">
        <f>'3A1_3A2 FACTORES DE EMISIÓN'!$B$49</f>
        <v>0.001</v>
      </c>
      <c r="J80" s="291">
        <f t="shared" si="13"/>
        <v>0</v>
      </c>
      <c r="K80" s="7">
        <f>+J80*'FACTORES DE CONVERSIÓN'!$C$26/'FACTORES DE CONVERSIÓN'!$C$28</f>
        <v>0</v>
      </c>
    </row>
    <row r="81" spans="1:11" ht="15.75" thickBot="1">
      <c r="A81" s="1326"/>
      <c r="B81" s="296" t="s">
        <v>42</v>
      </c>
      <c r="C81" s="291">
        <f>'3A1_3A2_3C6 INFO PROC'!B96</f>
        <v>49559797.50249963</v>
      </c>
      <c r="D81" s="291">
        <f>'FACTORES DE CONVERSIÓN'!B159</f>
        <v>0.82</v>
      </c>
      <c r="E81" s="291">
        <f>'FACTORES DE CONVERSIÓN'!B146</f>
        <v>3.919072164948454</v>
      </c>
      <c r="F81" s="290">
        <f t="shared" si="11"/>
        <v>1.1729782989690722</v>
      </c>
      <c r="G81" s="291">
        <f>'FACTORES DE CONVERSIÓN'!G176</f>
        <v>0.9</v>
      </c>
      <c r="H81" s="291">
        <f t="shared" si="12"/>
        <v>52319310.274560325</v>
      </c>
      <c r="I81" s="300">
        <f>'3A1_3A2 FACTORES DE EMISIÓN'!$B$49</f>
        <v>0.001</v>
      </c>
      <c r="J81" s="291">
        <f>H81*I81*44/28</f>
        <v>82216.0590028805</v>
      </c>
      <c r="K81" s="7">
        <f>+J81*'FACTORES DE CONVERSIÓN'!$C$26/'FACTORES DE CONVERSIÓN'!$C$28</f>
        <v>0.0822160590028805</v>
      </c>
    </row>
    <row r="82" spans="1:11" ht="15.75" thickBot="1">
      <c r="A82" s="1322"/>
      <c r="B82" s="296" t="s">
        <v>74</v>
      </c>
      <c r="C82" s="291">
        <f>'3A1_3A2_3C6 INFO PROC'!B97</f>
        <v>3584640.1025886</v>
      </c>
      <c r="D82" s="291">
        <f>'FACTORES DE CONVERSIÓN'!B162</f>
        <v>4.315694573679203</v>
      </c>
      <c r="E82" s="291">
        <f>'FACTORES DE CONVERSIÓN'!B147</f>
        <v>0.6911</v>
      </c>
      <c r="F82" s="290">
        <f t="shared" si="11"/>
        <v>1.0886404297524397</v>
      </c>
      <c r="G82" s="291">
        <f>'FACTORES DE CONVERSIÓN'!G177</f>
        <v>0</v>
      </c>
      <c r="H82" s="291">
        <f t="shared" si="12"/>
        <v>0</v>
      </c>
      <c r="I82" s="300">
        <f>'3A1_3A2 FACTORES DE EMISIÓN'!$B$49</f>
        <v>0.001</v>
      </c>
      <c r="J82" s="291">
        <f t="shared" si="13"/>
        <v>0</v>
      </c>
      <c r="K82" s="7">
        <f>+J82*'FACTORES DE CONVERSIÓN'!$C$26/'FACTORES DE CONVERSIÓN'!$C$28</f>
        <v>0</v>
      </c>
    </row>
    <row r="83" spans="1:11" ht="15.75" thickBot="1">
      <c r="A83" s="1334" t="s">
        <v>19</v>
      </c>
      <c r="B83" s="1335"/>
      <c r="C83" s="297"/>
      <c r="D83" s="298"/>
      <c r="E83" s="298"/>
      <c r="F83" s="299">
        <f>SUM(F72:F82)</f>
        <v>394.6912485753367</v>
      </c>
      <c r="G83" s="298"/>
      <c r="H83" s="298"/>
      <c r="I83" s="298"/>
      <c r="J83" s="299">
        <f>SUM(J72:J82)</f>
        <v>82216.0590028805</v>
      </c>
      <c r="K83" s="20">
        <f>SUM(K72:K82)</f>
        <v>0.0822160590028805</v>
      </c>
    </row>
    <row r="84" spans="1:11" ht="16.5" customHeight="1" thickBot="1" thickTop="1">
      <c r="A84" s="1330" t="s">
        <v>189</v>
      </c>
      <c r="B84" s="296" t="s">
        <v>161</v>
      </c>
      <c r="C84" s="291">
        <f>'3A1_3A2_3C6 INFO PROC'!B87</f>
        <v>895718</v>
      </c>
      <c r="D84" s="291">
        <f>'FACTORES DE CONVERSIÓN'!B152</f>
        <v>0.48</v>
      </c>
      <c r="E84" s="291">
        <f>'FACTORES DE CONVERSIÓN'!B137</f>
        <v>520</v>
      </c>
      <c r="F84" s="290">
        <f>D84*E84*365/1000</f>
        <v>91.104</v>
      </c>
      <c r="G84" s="291">
        <f>'FACTORES DE CONVERSIÓN'!H167</f>
        <v>0</v>
      </c>
      <c r="H84" s="291">
        <f>C84*F84*G84</f>
        <v>0</v>
      </c>
      <c r="I84" s="300">
        <f>'3A1_3A2 FACTORES DE EMISIÓN'!$B$50</f>
        <v>0.001</v>
      </c>
      <c r="J84" s="291">
        <f>H84*I84*44/28</f>
        <v>0</v>
      </c>
      <c r="K84" s="7">
        <f>+J84*'FACTORES DE CONVERSIÓN'!$C$26/'FACTORES DE CONVERSIÓN'!$C$28</f>
        <v>0</v>
      </c>
    </row>
    <row r="85" spans="1:11" ht="15.75" customHeight="1" thickBot="1">
      <c r="A85" s="1326"/>
      <c r="B85" s="296" t="s">
        <v>162</v>
      </c>
      <c r="C85" s="291">
        <f>'3A1_3A2_3C6 INFO PROC'!B88</f>
        <v>4639737</v>
      </c>
      <c r="D85" s="291">
        <f>'FACTORES DE CONVERSIÓN'!B153</f>
        <v>0.36</v>
      </c>
      <c r="E85" s="291">
        <f>'FACTORES DE CONVERSIÓN'!B138</f>
        <v>306.2050565680085</v>
      </c>
      <c r="F85" s="290">
        <f aca="true" t="shared" si="14" ref="F85:F94">D85*E85*365/1000</f>
        <v>40.23534443303631</v>
      </c>
      <c r="G85" s="291">
        <f>'FACTORES DE CONVERSIÓN'!H168</f>
        <v>0</v>
      </c>
      <c r="H85" s="291">
        <f aca="true" t="shared" si="15" ref="H85:H94">C85*F85*G85</f>
        <v>0</v>
      </c>
      <c r="I85" s="300">
        <f>'3A1_3A2 FACTORES DE EMISIÓN'!$B$50</f>
        <v>0.001</v>
      </c>
      <c r="J85" s="291">
        <f aca="true" t="shared" si="16" ref="J85:J94">H85*I85*44/28</f>
        <v>0</v>
      </c>
      <c r="K85" s="7">
        <f>+J85*'FACTORES DE CONVERSIÓN'!$C$26/'FACTORES DE CONVERSIÓN'!$C$28</f>
        <v>0</v>
      </c>
    </row>
    <row r="86" spans="1:11" ht="15.75" thickBot="1">
      <c r="A86" s="1326"/>
      <c r="B86" s="296" t="s">
        <v>46</v>
      </c>
      <c r="C86" s="291">
        <f>'3A1_3A2_3C6 INFO PROC'!B89</f>
        <v>11450659</v>
      </c>
      <c r="D86" s="291">
        <f>'FACTORES DE CONVERSIÓN'!B154</f>
        <v>1.17</v>
      </c>
      <c r="E86" s="291">
        <f>'FACTORES DE CONVERSIÓN'!B139</f>
        <v>25.61</v>
      </c>
      <c r="F86" s="290">
        <f t="shared" si="14"/>
        <v>10.936750499999999</v>
      </c>
      <c r="G86" s="291">
        <f>'FACTORES DE CONVERSIÓN'!H169</f>
        <v>0</v>
      </c>
      <c r="H86" s="291">
        <f t="shared" si="15"/>
        <v>0</v>
      </c>
      <c r="I86" s="300">
        <f>'3A1_3A2 FACTORES DE EMISIÓN'!$B$50</f>
        <v>0.001</v>
      </c>
      <c r="J86" s="291">
        <f t="shared" si="16"/>
        <v>0</v>
      </c>
      <c r="K86" s="7">
        <f>+J86*'FACTORES DE CONVERSIÓN'!$C$26/'FACTORES DE CONVERSIÓN'!$C$28</f>
        <v>0</v>
      </c>
    </row>
    <row r="87" spans="1:11" ht="15.75" thickBot="1">
      <c r="A87" s="1326"/>
      <c r="B87" s="296" t="s">
        <v>45</v>
      </c>
      <c r="C87" s="291">
        <f>'3A1_3A2_3C6 INFO PROC'!B90</f>
        <v>1879713</v>
      </c>
      <c r="D87" s="291">
        <f>'FACTORES DE CONVERSIÓN'!B155</f>
        <v>1.37</v>
      </c>
      <c r="E87" s="291">
        <f>'FACTORES DE CONVERSIÓN'!B140</f>
        <v>30</v>
      </c>
      <c r="F87" s="290">
        <f t="shared" si="14"/>
        <v>15.0015</v>
      </c>
      <c r="G87" s="291">
        <f>'FACTORES DE CONVERSIÓN'!H170</f>
        <v>0</v>
      </c>
      <c r="H87" s="291">
        <f t="shared" si="15"/>
        <v>0</v>
      </c>
      <c r="I87" s="300">
        <f>'3A1_3A2 FACTORES DE EMISIÓN'!$B$50</f>
        <v>0.001</v>
      </c>
      <c r="J87" s="291">
        <f t="shared" si="16"/>
        <v>0</v>
      </c>
      <c r="K87" s="7">
        <f>+J87*'FACTORES DE CONVERSIÓN'!$C$26/'FACTORES DE CONVERSIÓN'!$C$28</f>
        <v>0</v>
      </c>
    </row>
    <row r="88" spans="1:11" ht="15.75" thickBot="1">
      <c r="A88" s="1326"/>
      <c r="B88" s="296" t="s">
        <v>72</v>
      </c>
      <c r="C88" s="291">
        <f>'3A1_3A2_3C6 INFO PROC'!B91</f>
        <v>526290.5573110435</v>
      </c>
      <c r="D88" s="291">
        <f>'FACTORES DE CONVERSIÓN'!B156</f>
        <v>0.46</v>
      </c>
      <c r="E88" s="291">
        <f>'FACTORES DE CONVERSIÓN'!B141</f>
        <v>238</v>
      </c>
      <c r="F88" s="290">
        <f t="shared" si="14"/>
        <v>39.96020000000001</v>
      </c>
      <c r="G88" s="291">
        <f>'FACTORES DE CONVERSIÓN'!H171</f>
        <v>0</v>
      </c>
      <c r="H88" s="291">
        <f t="shared" si="15"/>
        <v>0</v>
      </c>
      <c r="I88" s="300">
        <f>'3A1_3A2 FACTORES DE EMISIÓN'!$B$50</f>
        <v>0.001</v>
      </c>
      <c r="J88" s="291">
        <f t="shared" si="16"/>
        <v>0</v>
      </c>
      <c r="K88" s="7">
        <f>+J88*'FACTORES DE CONVERSIÓN'!$C$26/'FACTORES DE CONVERSIÓN'!$C$28</f>
        <v>0</v>
      </c>
    </row>
    <row r="89" spans="1:11" ht="15.75" thickBot="1">
      <c r="A89" s="1326"/>
      <c r="B89" s="296" t="s">
        <v>150</v>
      </c>
      <c r="C89" s="291">
        <f>'3A1_3A2_3C6 INFO PROC'!B92</f>
        <v>590007.7086570447</v>
      </c>
      <c r="D89" s="291">
        <f>'FACTORES DE CONVERSIÓN'!B157</f>
        <v>0.46</v>
      </c>
      <c r="E89" s="291">
        <f>'FACTORES DE CONVERSIÓN'!B142</f>
        <v>130</v>
      </c>
      <c r="F89" s="290">
        <f t="shared" si="14"/>
        <v>21.827</v>
      </c>
      <c r="G89" s="291">
        <f>'FACTORES DE CONVERSIÓN'!H172</f>
        <v>0</v>
      </c>
      <c r="H89" s="291">
        <f t="shared" si="15"/>
        <v>0</v>
      </c>
      <c r="I89" s="300">
        <f>'3A1_3A2 FACTORES DE EMISIÓN'!$B$50</f>
        <v>0.001</v>
      </c>
      <c r="J89" s="291">
        <f t="shared" si="16"/>
        <v>0</v>
      </c>
      <c r="K89" s="7">
        <f>+J89*'FACTORES DE CONVERSIÓN'!$C$26/'FACTORES DE CONVERSIÓN'!$C$28</f>
        <v>0</v>
      </c>
    </row>
    <row r="90" spans="1:11" ht="15.75" thickBot="1">
      <c r="A90" s="1326"/>
      <c r="B90" s="296" t="s">
        <v>47</v>
      </c>
      <c r="C90" s="291">
        <f>'3A1_3A2_3C6 INFO PROC'!B93</f>
        <v>904700.4246575341</v>
      </c>
      <c r="D90" s="291">
        <f>'FACTORES DE CONVERSIÓN'!B158</f>
        <v>1.64</v>
      </c>
      <c r="E90" s="291">
        <f>'FACTORES DE CONVERSIÓN'!B143</f>
        <v>28</v>
      </c>
      <c r="F90" s="290">
        <f t="shared" si="14"/>
        <v>16.7608</v>
      </c>
      <c r="G90" s="291">
        <f>'FACTORES DE CONVERSIÓN'!H173</f>
        <v>0</v>
      </c>
      <c r="H90" s="291">
        <f t="shared" si="15"/>
        <v>0</v>
      </c>
      <c r="I90" s="300">
        <f>'3A1_3A2 FACTORES DE EMISIÓN'!$B$50</f>
        <v>0.001</v>
      </c>
      <c r="J90" s="291">
        <f t="shared" si="16"/>
        <v>0</v>
      </c>
      <c r="K90" s="7">
        <f>+J90*'FACTORES DE CONVERSIÓN'!$C$26/'FACTORES DE CONVERSIÓN'!$C$28</f>
        <v>0</v>
      </c>
    </row>
    <row r="91" spans="1:11" ht="15.75" thickBot="1">
      <c r="A91" s="1326"/>
      <c r="B91" s="296" t="s">
        <v>43</v>
      </c>
      <c r="C91" s="291">
        <f>'3A1_3A2_3C6 INFO PROC'!B94</f>
        <v>4319229</v>
      </c>
      <c r="D91" s="291">
        <f>'FACTORES DE CONVERSIÓN'!B161</f>
        <v>1.9901288046313312</v>
      </c>
      <c r="E91" s="291">
        <f>'FACTORES DE CONVERSIÓN'!B144</f>
        <v>52</v>
      </c>
      <c r="F91" s="290">
        <f t="shared" si="14"/>
        <v>37.772644711902664</v>
      </c>
      <c r="G91" s="291">
        <f>'FACTORES DE CONVERSIÓN'!H174</f>
        <v>0</v>
      </c>
      <c r="H91" s="291">
        <f t="shared" si="15"/>
        <v>0</v>
      </c>
      <c r="I91" s="300">
        <f>'3A1_3A2 FACTORES DE EMISIÓN'!$B$50</f>
        <v>0.001</v>
      </c>
      <c r="J91" s="291">
        <f t="shared" si="16"/>
        <v>0</v>
      </c>
      <c r="K91" s="7">
        <f>+J91*'FACTORES DE CONVERSIÓN'!$C$26/'FACTORES DE CONVERSIÓN'!$C$28</f>
        <v>0</v>
      </c>
    </row>
    <row r="92" spans="1:11" ht="15.75" thickBot="1">
      <c r="A92" s="1326"/>
      <c r="B92" s="296" t="s">
        <v>44</v>
      </c>
      <c r="C92" s="291">
        <f>'3A1_3A2_3C6 INFO PROC'!B95</f>
        <v>1105017</v>
      </c>
      <c r="D92" s="291">
        <f>'FACTORES DE CONVERSIÓN'!B160</f>
        <v>3.2524021239493717</v>
      </c>
      <c r="E92" s="291">
        <f>'FACTORES DE CONVERSIÓN'!B145</f>
        <v>100.1</v>
      </c>
      <c r="F92" s="290">
        <f t="shared" si="14"/>
        <v>118.83139020167621</v>
      </c>
      <c r="G92" s="291">
        <f>'FACTORES DE CONVERSIÓN'!H175</f>
        <v>0</v>
      </c>
      <c r="H92" s="291">
        <f t="shared" si="15"/>
        <v>0</v>
      </c>
      <c r="I92" s="300">
        <f>'3A1_3A2 FACTORES DE EMISIÓN'!$B$50</f>
        <v>0.001</v>
      </c>
      <c r="J92" s="291">
        <f t="shared" si="16"/>
        <v>0</v>
      </c>
      <c r="K92" s="7">
        <f>+J92*'FACTORES DE CONVERSIÓN'!$C$26/'FACTORES DE CONVERSIÓN'!$C$28</f>
        <v>0</v>
      </c>
    </row>
    <row r="93" spans="1:11" ht="15.75" thickBot="1">
      <c r="A93" s="1326"/>
      <c r="B93" s="296" t="s">
        <v>42</v>
      </c>
      <c r="C93" s="291">
        <f>'3A1_3A2_3C6 INFO PROC'!B96</f>
        <v>49559797.50249963</v>
      </c>
      <c r="D93" s="291">
        <f>'FACTORES DE CONVERSIÓN'!B159</f>
        <v>0.82</v>
      </c>
      <c r="E93" s="291">
        <f>'FACTORES DE CONVERSIÓN'!B146</f>
        <v>3.919072164948454</v>
      </c>
      <c r="F93" s="290">
        <f t="shared" si="14"/>
        <v>1.1729782989690722</v>
      </c>
      <c r="G93" s="291">
        <f>'FACTORES DE CONVERSIÓN'!H176</f>
        <v>0.1</v>
      </c>
      <c r="H93" s="291">
        <f t="shared" si="15"/>
        <v>5813256.69717337</v>
      </c>
      <c r="I93" s="300">
        <f>'3A1_3A2 FACTORES DE EMISIÓN'!$B$50</f>
        <v>0.001</v>
      </c>
      <c r="J93" s="291">
        <f t="shared" si="16"/>
        <v>9135.117666986725</v>
      </c>
      <c r="K93" s="7">
        <f>+J93*'FACTORES DE CONVERSIÓN'!$C$26/'FACTORES DE CONVERSIÓN'!$C$28</f>
        <v>0.009135117666986726</v>
      </c>
    </row>
    <row r="94" spans="1:11" ht="15.75" thickBot="1">
      <c r="A94" s="1322"/>
      <c r="B94" s="296" t="s">
        <v>74</v>
      </c>
      <c r="C94" s="291">
        <f>'3A1_3A2_3C6 INFO PROC'!B97</f>
        <v>3584640.1025886</v>
      </c>
      <c r="D94" s="291">
        <f>'FACTORES DE CONVERSIÓN'!B162</f>
        <v>4.315694573679203</v>
      </c>
      <c r="E94" s="291">
        <f>'FACTORES DE CONVERSIÓN'!B147</f>
        <v>0.6911</v>
      </c>
      <c r="F94" s="290">
        <f t="shared" si="14"/>
        <v>1.0886404297524397</v>
      </c>
      <c r="G94" s="291">
        <f>'FACTORES DE CONVERSIÓN'!H177</f>
        <v>0</v>
      </c>
      <c r="H94" s="291">
        <f t="shared" si="15"/>
        <v>0</v>
      </c>
      <c r="I94" s="300">
        <f>'3A1_3A2 FACTORES DE EMISIÓN'!$B$50</f>
        <v>0.001</v>
      </c>
      <c r="J94" s="291">
        <f t="shared" si="16"/>
        <v>0</v>
      </c>
      <c r="K94" s="7">
        <f>+J94*'FACTORES DE CONVERSIÓN'!$C$26/'FACTORES DE CONVERSIÓN'!$C$28</f>
        <v>0</v>
      </c>
    </row>
    <row r="95" spans="1:11" ht="15.75" thickBot="1">
      <c r="A95" s="1334" t="s">
        <v>19</v>
      </c>
      <c r="B95" s="1335"/>
      <c r="C95" s="297"/>
      <c r="D95" s="298"/>
      <c r="E95" s="298"/>
      <c r="F95" s="299">
        <f>SUM(F84:F94)</f>
        <v>394.6912485753367</v>
      </c>
      <c r="G95" s="298"/>
      <c r="H95" s="298"/>
      <c r="I95" s="298"/>
      <c r="J95" s="299">
        <f>SUM(J84:J94)</f>
        <v>9135.117666986725</v>
      </c>
      <c r="K95" s="20">
        <f>SUM(K84:K94)</f>
        <v>0.009135117666986726</v>
      </c>
    </row>
    <row r="96" spans="1:11" ht="15.75" thickBot="1">
      <c r="A96" s="1334" t="s">
        <v>4</v>
      </c>
      <c r="B96" s="1335"/>
      <c r="C96" s="297"/>
      <c r="D96" s="298"/>
      <c r="E96" s="298"/>
      <c r="F96" s="299">
        <f>SUM(F59,F71,F83,F95)</f>
        <v>1578.7649943013469</v>
      </c>
      <c r="G96" s="298"/>
      <c r="H96" s="298"/>
      <c r="I96" s="298"/>
      <c r="J96" s="301">
        <f>SUM(J47,J59,J71,J83,J95)</f>
        <v>1212291.2769840108</v>
      </c>
      <c r="K96" s="301">
        <f>SUM(K47,K59,K71,K83,K95)</f>
        <v>1.212291276984011</v>
      </c>
    </row>
    <row r="97" spans="1:10" ht="26.25" customHeight="1">
      <c r="A97" s="1331" t="s">
        <v>1389</v>
      </c>
      <c r="B97" s="1332"/>
      <c r="C97" s="1332"/>
      <c r="D97" s="1332"/>
      <c r="E97" s="1332"/>
      <c r="F97" s="1332"/>
      <c r="G97" s="1332"/>
      <c r="H97" s="1332"/>
      <c r="I97" s="1332"/>
      <c r="J97" s="1333"/>
    </row>
    <row r="98" spans="1:10" ht="15.75">
      <c r="A98" s="1315" t="s">
        <v>1390</v>
      </c>
      <c r="B98" s="1316"/>
      <c r="C98" s="1316"/>
      <c r="D98" s="1316"/>
      <c r="E98" s="1316"/>
      <c r="F98" s="1316"/>
      <c r="G98" s="1316"/>
      <c r="H98" s="1316"/>
      <c r="I98" s="1316"/>
      <c r="J98" s="1317"/>
    </row>
    <row r="99" spans="1:10" ht="15.75">
      <c r="A99" s="1315" t="s">
        <v>1391</v>
      </c>
      <c r="B99" s="1316"/>
      <c r="C99" s="1316"/>
      <c r="D99" s="1316"/>
      <c r="E99" s="1316"/>
      <c r="F99" s="1316"/>
      <c r="G99" s="1316"/>
      <c r="H99" s="1316"/>
      <c r="I99" s="1316"/>
      <c r="J99" s="1317"/>
    </row>
    <row r="100" spans="1:10" ht="16.5" thickBot="1">
      <c r="A100" s="1318" t="s">
        <v>1392</v>
      </c>
      <c r="B100" s="1319"/>
      <c r="C100" s="1319"/>
      <c r="D100" s="1319"/>
      <c r="E100" s="1319"/>
      <c r="F100" s="1319"/>
      <c r="G100" s="1319"/>
      <c r="H100" s="1319"/>
      <c r="I100" s="1319"/>
      <c r="J100" s="1320"/>
    </row>
  </sheetData>
  <mergeCells count="69">
    <mergeCell ref="K31:K35"/>
    <mergeCell ref="A1:B1"/>
    <mergeCell ref="A2:B2"/>
    <mergeCell ref="A3:B3"/>
    <mergeCell ref="A4:B4"/>
    <mergeCell ref="A5:B5"/>
    <mergeCell ref="A6:B8"/>
    <mergeCell ref="A25:B25"/>
    <mergeCell ref="C25:J25"/>
    <mergeCell ref="A26:B26"/>
    <mergeCell ref="C26:J26"/>
    <mergeCell ref="C1:G1"/>
    <mergeCell ref="C2:G2"/>
    <mergeCell ref="C3:G3"/>
    <mergeCell ref="C4:G4"/>
    <mergeCell ref="C5:D5"/>
    <mergeCell ref="A27:B27"/>
    <mergeCell ref="C27:J27"/>
    <mergeCell ref="A28:B28"/>
    <mergeCell ref="C28:J28"/>
    <mergeCell ref="A29:B29"/>
    <mergeCell ref="D29:F29"/>
    <mergeCell ref="G29:J29"/>
    <mergeCell ref="H31:H32"/>
    <mergeCell ref="A60:A70"/>
    <mergeCell ref="A97:J97"/>
    <mergeCell ref="A98:J98"/>
    <mergeCell ref="A72:A82"/>
    <mergeCell ref="A83:B83"/>
    <mergeCell ref="A84:A94"/>
    <mergeCell ref="A95:B95"/>
    <mergeCell ref="A96:B96"/>
    <mergeCell ref="A71:B71"/>
    <mergeCell ref="A48:A58"/>
    <mergeCell ref="A59:B59"/>
    <mergeCell ref="A36:A46"/>
    <mergeCell ref="A47:B47"/>
    <mergeCell ref="F21:F22"/>
    <mergeCell ref="A99:J99"/>
    <mergeCell ref="A100:J100"/>
    <mergeCell ref="J31:J32"/>
    <mergeCell ref="C33:C34"/>
    <mergeCell ref="D33:D34"/>
    <mergeCell ref="E33:E34"/>
    <mergeCell ref="F33:F34"/>
    <mergeCell ref="G33:G34"/>
    <mergeCell ref="I33:I34"/>
    <mergeCell ref="A30:A34"/>
    <mergeCell ref="B30:B34"/>
    <mergeCell ref="C31:C32"/>
    <mergeCell ref="E31:E32"/>
    <mergeCell ref="A23:G23"/>
    <mergeCell ref="G31:G32"/>
    <mergeCell ref="A18:B18"/>
    <mergeCell ref="A21:B22"/>
    <mergeCell ref="C21:C22"/>
    <mergeCell ref="D21:D22"/>
    <mergeCell ref="F5:G5"/>
    <mergeCell ref="A9:B9"/>
    <mergeCell ref="A12:B12"/>
    <mergeCell ref="A19:B19"/>
    <mergeCell ref="A20:B20"/>
    <mergeCell ref="A10:B10"/>
    <mergeCell ref="A11:B11"/>
    <mergeCell ref="A13:B13"/>
    <mergeCell ref="A14:B14"/>
    <mergeCell ref="A15:B15"/>
    <mergeCell ref="A16:B16"/>
    <mergeCell ref="A17:B17"/>
  </mergeCells>
  <printOptions/>
  <pageMargins left="0.7" right="0.7" top="0.75" bottom="0.75" header="0.3" footer="0.3"/>
  <pageSetup horizontalDpi="300" verticalDpi="300" orientation="portrait" r:id="rId4"/>
  <drawing r:id="rId3"/>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D9D9D9"/>
  </sheetPr>
  <dimension ref="A1:AB15"/>
  <sheetViews>
    <sheetView workbookViewId="0" topLeftCell="A1">
      <selection activeCell="A6" sqref="A6:XFD8"/>
    </sheetView>
  </sheetViews>
  <sheetFormatPr defaultColWidth="10.8515625" defaultRowHeight="15"/>
  <cols>
    <col min="1" max="1" width="32.28125" style="103" customWidth="1"/>
    <col min="2" max="2" width="15.57421875" style="103" bestFit="1" customWidth="1"/>
    <col min="3" max="6" width="16.7109375" style="103" customWidth="1"/>
    <col min="7" max="7" width="12.140625" style="103" customWidth="1"/>
    <col min="8" max="10" width="16.7109375" style="103" customWidth="1"/>
    <col min="11" max="22" width="10.8515625" style="103" customWidth="1"/>
    <col min="23" max="24" width="12.28125" style="103" bestFit="1" customWidth="1"/>
    <col min="25" max="25" width="16.00390625" style="103" customWidth="1"/>
    <col min="26" max="26" width="12.00390625" style="103" bestFit="1" customWidth="1"/>
    <col min="27" max="28" width="10.8515625" style="103" customWidth="1"/>
  </cols>
  <sheetData>
    <row r="1" ht="15">
      <c r="A1" s="147" t="s">
        <v>668</v>
      </c>
    </row>
    <row r="2" spans="1:28" s="5" customFormat="1" ht="15">
      <c r="A2" s="119" t="s">
        <v>508</v>
      </c>
      <c r="B2" s="119" t="s">
        <v>509</v>
      </c>
      <c r="I2" s="508" t="s">
        <v>989</v>
      </c>
      <c r="W2" s="119"/>
      <c r="X2" s="119"/>
      <c r="Y2" s="119"/>
      <c r="Z2" s="131"/>
      <c r="AA2" s="131"/>
      <c r="AB2" s="131"/>
    </row>
    <row r="3" spans="1:28" s="5" customFormat="1" ht="27">
      <c r="A3" s="302" t="s">
        <v>521</v>
      </c>
      <c r="B3" s="303" t="s">
        <v>1353</v>
      </c>
      <c r="C3" s="302" t="s">
        <v>1393</v>
      </c>
      <c r="D3" s="302" t="s">
        <v>1394</v>
      </c>
      <c r="E3" s="302" t="s">
        <v>1395</v>
      </c>
      <c r="F3" s="302" t="s">
        <v>540</v>
      </c>
      <c r="G3" s="304" t="s">
        <v>1396</v>
      </c>
      <c r="AA3" s="131"/>
      <c r="AB3" s="131"/>
    </row>
    <row r="4" spans="1:27" ht="15">
      <c r="A4" s="573" t="s">
        <v>541</v>
      </c>
      <c r="B4" s="305">
        <f>'3A1_3A2_3C6 INFO PROC'!B31</f>
        <v>895718</v>
      </c>
      <c r="C4" s="260">
        <f>'3A1_3A2 FACTORES DE EMISIÓN'!U18</f>
        <v>8.694216781550164</v>
      </c>
      <c r="D4" s="260">
        <f>+B4*C4</f>
        <v>7787566.46713655</v>
      </c>
      <c r="E4" s="260">
        <f>+'3A1_3A2 FACTORES DE EMISIÓN'!U18*12</f>
        <v>104.33060137860197</v>
      </c>
      <c r="F4" s="260">
        <f>+B4*E4</f>
        <v>93450797.6056386</v>
      </c>
      <c r="G4" s="306">
        <f>+F4*'FACTORES DE CONVERSIÓN'!$C$26/'FACTORES DE CONVERSIÓN'!$C$28</f>
        <v>93.4507976056386</v>
      </c>
      <c r="AA4" s="131"/>
    </row>
    <row r="5" ht="15">
      <c r="AA5" s="131"/>
    </row>
    <row r="6" spans="1:27" ht="15">
      <c r="A6" s="147" t="s">
        <v>669</v>
      </c>
      <c r="AA6" s="131"/>
    </row>
    <row r="7" spans="1:28" s="5" customFormat="1" ht="15">
      <c r="A7" s="119" t="s">
        <v>508</v>
      </c>
      <c r="B7" s="119" t="s">
        <v>509</v>
      </c>
      <c r="I7" s="508" t="s">
        <v>989</v>
      </c>
      <c r="W7" s="119"/>
      <c r="X7" s="119"/>
      <c r="Y7" s="119"/>
      <c r="Z7" s="131"/>
      <c r="AA7" s="131"/>
      <c r="AB7" s="131"/>
    </row>
    <row r="8" spans="1:28" s="5" customFormat="1" ht="27">
      <c r="A8" s="302" t="s">
        <v>521</v>
      </c>
      <c r="B8" s="303" t="s">
        <v>1353</v>
      </c>
      <c r="C8" s="302" t="s">
        <v>1393</v>
      </c>
      <c r="D8" s="302" t="s">
        <v>1394</v>
      </c>
      <c r="E8" s="302" t="s">
        <v>1395</v>
      </c>
      <c r="F8" s="302" t="s">
        <v>540</v>
      </c>
      <c r="G8" s="304" t="s">
        <v>1396</v>
      </c>
      <c r="AA8" s="131"/>
      <c r="AB8" s="131"/>
    </row>
    <row r="9" spans="1:7" ht="25.5">
      <c r="A9" s="573" t="s">
        <v>542</v>
      </c>
      <c r="B9" s="260">
        <f>'3A1_3A2_3C6 INFO PROC'!$B$3*'FACTORES DE CONVERSIÓN'!C59</f>
        <v>1297774.0150340507</v>
      </c>
      <c r="C9" s="260">
        <f>'3A1_3A2 FACTORES DE EMISIÓN'!U19</f>
        <v>6.659296969801634</v>
      </c>
      <c r="D9" s="260">
        <f aca="true" t="shared" si="0" ref="D9:D14">+B9*C9</f>
        <v>8642262.565803554</v>
      </c>
      <c r="E9" s="260">
        <f>+'3A1_3A2 FACTORES DE EMISIÓN'!U19*12</f>
        <v>79.91156363761961</v>
      </c>
      <c r="F9" s="260">
        <f aca="true" t="shared" si="1" ref="F9:F14">+B9*E9</f>
        <v>103707150.78964265</v>
      </c>
      <c r="G9" s="308">
        <f>+F9*'FACTORES DE CONVERSIÓN'!$C$26/'FACTORES DE CONVERSIÓN'!$C$28</f>
        <v>103.70715078964265</v>
      </c>
    </row>
    <row r="10" spans="1:7" ht="15">
      <c r="A10" s="573" t="s">
        <v>543</v>
      </c>
      <c r="B10" s="260">
        <f>'3A1_3A2_3C6 INFO PROC'!$B$3*'FACTORES DE CONVERSIÓN'!C60</f>
        <v>758420.6908044895</v>
      </c>
      <c r="C10" s="260">
        <f>'3A1_3A2 FACTORES DE EMISIÓN'!U20</f>
        <v>7.996945478694527</v>
      </c>
      <c r="D10" s="260">
        <f t="shared" si="0"/>
        <v>6065048.914277342</v>
      </c>
      <c r="E10" s="260">
        <f>+'3A1_3A2 FACTORES DE EMISIÓN'!U20*12</f>
        <v>95.96334574433432</v>
      </c>
      <c r="F10" s="260">
        <f t="shared" si="1"/>
        <v>72780586.97132811</v>
      </c>
      <c r="G10" s="308">
        <f>+F10*'FACTORES DE CONVERSIÓN'!$C$26/'FACTORES DE CONVERSIÓN'!$C$28</f>
        <v>72.7805869713281</v>
      </c>
    </row>
    <row r="11" spans="1:7" ht="15">
      <c r="A11" s="573" t="s">
        <v>681</v>
      </c>
      <c r="B11" s="260">
        <f>'3A1_3A2_3C6 INFO PROC'!$B$3*'FACTORES DE CONVERSIÓN'!C61</f>
        <v>251309.657</v>
      </c>
      <c r="C11" s="260">
        <f>'3A1_3A2 FACTORES DE EMISIÓN'!U21</f>
        <v>6.391096163447242</v>
      </c>
      <c r="D11" s="260">
        <f t="shared" si="0"/>
        <v>1606144.1846899423</v>
      </c>
      <c r="E11" s="260">
        <f>+'3A1_3A2 FACTORES DE EMISIÓN'!U21*12</f>
        <v>76.6931539613669</v>
      </c>
      <c r="F11" s="260">
        <f t="shared" si="1"/>
        <v>19273730.21627931</v>
      </c>
      <c r="G11" s="308">
        <f>+F11*'FACTORES DE CONVERSIÓN'!$C$26/'FACTORES DE CONVERSIÓN'!$C$28</f>
        <v>19.273730216279308</v>
      </c>
    </row>
    <row r="12" spans="1:7" ht="25.5">
      <c r="A12" s="573" t="s">
        <v>682</v>
      </c>
      <c r="B12" s="260">
        <f>'3A1_3A2_3C6 INFO PROC'!$B$3*'FACTORES DE CONVERSIÓN'!C62</f>
        <v>662593.9635</v>
      </c>
      <c r="C12" s="260">
        <f>'3A1_3A2 FACTORES DE EMISIÓN'!U22</f>
        <v>7.256340257265655</v>
      </c>
      <c r="D12" s="260">
        <f t="shared" si="0"/>
        <v>4808007.251566259</v>
      </c>
      <c r="E12" s="260">
        <f>+'3A1_3A2 FACTORES DE EMISIÓN'!U22*12</f>
        <v>87.07608308718785</v>
      </c>
      <c r="F12" s="260">
        <f t="shared" si="1"/>
        <v>57696087.01879511</v>
      </c>
      <c r="G12" s="308">
        <f>+F12*'FACTORES DE CONVERSIÓN'!$C$26/'FACTORES DE CONVERSIÓN'!$C$28</f>
        <v>57.69608701879511</v>
      </c>
    </row>
    <row r="13" spans="1:7" ht="15">
      <c r="A13" s="573" t="s">
        <v>544</v>
      </c>
      <c r="B13" s="260">
        <f>'3A1_3A2_3C6 INFO PROC'!$B$3*'FACTORES DE CONVERSIÓN'!C63</f>
        <v>430470.29583265027</v>
      </c>
      <c r="C13" s="260">
        <f>'3A1_3A2 FACTORES DE EMISIÓN'!U23</f>
        <v>7.389705940308633</v>
      </c>
      <c r="D13" s="260">
        <f t="shared" si="0"/>
        <v>3181048.90224095</v>
      </c>
      <c r="E13" s="260">
        <f>+'3A1_3A2 FACTORES DE EMISIÓN'!U23*12</f>
        <v>88.67647128370359</v>
      </c>
      <c r="F13" s="260">
        <f t="shared" si="1"/>
        <v>38172586.8268914</v>
      </c>
      <c r="G13" s="308">
        <f>+F13*'FACTORES DE CONVERSIÓN'!$C$26/'FACTORES DE CONVERSIÓN'!$C$28</f>
        <v>38.172586826891404</v>
      </c>
    </row>
    <row r="14" spans="1:7" ht="15">
      <c r="A14" s="256" t="s">
        <v>1053</v>
      </c>
      <c r="B14" s="260">
        <f>'3A1_3A2_3C6 INFO PROC'!$B$3*'FACTORES DE CONVERSIÓN'!C64</f>
        <v>1239378.3188237431</v>
      </c>
      <c r="C14" s="260">
        <f>'3A1_3A2 FACTORES DE EMISIÓN'!U24</f>
        <v>2.3057485978055094</v>
      </c>
      <c r="D14" s="260">
        <f t="shared" si="0"/>
        <v>2857694.8207783955</v>
      </c>
      <c r="E14" s="260">
        <f>+'3A1_3A2 FACTORES DE EMISIÓN'!U24*12</f>
        <v>27.668983173666113</v>
      </c>
      <c r="F14" s="260">
        <f t="shared" si="1"/>
        <v>34292337.849340744</v>
      </c>
      <c r="G14" s="308">
        <f>+F14*'FACTORES DE CONVERSIÓN'!$C$26/'FACTORES DE CONVERSIÓN'!$C$28</f>
        <v>34.29233784934075</v>
      </c>
    </row>
    <row r="15" spans="1:21" ht="15.75" thickBot="1">
      <c r="A15" s="310" t="s">
        <v>623</v>
      </c>
      <c r="B15" s="311">
        <f>SUM(B9:B14)</f>
        <v>4639946.940994933</v>
      </c>
      <c r="C15" s="311"/>
      <c r="D15" s="311"/>
      <c r="E15" s="311">
        <f>(E9*B9+E10*B10+E11*B11+E12*B12+E13*B13+E14*B14)/B15</f>
        <v>70.24271695710178</v>
      </c>
      <c r="F15" s="312">
        <f>SUM(F9:F14)</f>
        <v>325922479.67227733</v>
      </c>
      <c r="G15" s="312">
        <f>+F15*'FACTORES DE CONVERSIÓN'!$C$26/'FACTORES DE CONVERSIÓN'!$C$28</f>
        <v>325.92247967227735</v>
      </c>
      <c r="H15" s="311"/>
      <c r="I15" s="311"/>
      <c r="J15" s="311"/>
      <c r="K15" s="311"/>
      <c r="L15" s="311"/>
      <c r="M15" s="311"/>
      <c r="N15" s="311"/>
      <c r="O15" s="311"/>
      <c r="P15" s="311"/>
      <c r="Q15" s="311"/>
      <c r="R15" s="311"/>
      <c r="S15" s="311"/>
      <c r="T15" s="311"/>
      <c r="U15" s="311"/>
    </row>
  </sheetData>
  <printOptions/>
  <pageMargins left="0.7" right="0.7" top="0.75" bottom="0.75" header="0.3" footer="0.3"/>
  <pageSetup horizontalDpi="300" verticalDpi="300" orientation="portrait" r:id="rId4"/>
  <drawing r:id="rId3"/>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D9D9D9"/>
  </sheetPr>
  <dimension ref="A1:R108"/>
  <sheetViews>
    <sheetView workbookViewId="0" topLeftCell="A98">
      <selection activeCell="A106" sqref="A106:XFD108"/>
    </sheetView>
  </sheetViews>
  <sheetFormatPr defaultColWidth="10.8515625" defaultRowHeight="15"/>
  <cols>
    <col min="1" max="4" width="12.7109375" style="103" customWidth="1"/>
    <col min="5" max="5" width="14.140625" style="103" customWidth="1"/>
    <col min="6" max="6" width="12.7109375" style="103" customWidth="1"/>
    <col min="7" max="12" width="16.7109375" style="103" customWidth="1"/>
    <col min="13" max="13" width="12.57421875" style="103" bestFit="1" customWidth="1"/>
    <col min="14" max="17" width="10.8515625" style="103" customWidth="1"/>
  </cols>
  <sheetData>
    <row r="1" spans="1:18" ht="15.75" thickBot="1">
      <c r="A1" s="1338" t="s">
        <v>0</v>
      </c>
      <c r="B1" s="1339"/>
      <c r="C1" s="1340" t="s">
        <v>574</v>
      </c>
      <c r="D1" s="1341"/>
      <c r="E1" s="1341"/>
      <c r="F1" s="1341"/>
      <c r="G1" s="1341"/>
      <c r="H1" s="1341"/>
      <c r="I1" s="1341"/>
      <c r="J1" s="1341"/>
      <c r="K1" s="1341"/>
      <c r="L1" s="1342"/>
      <c r="R1" s="508" t="s">
        <v>989</v>
      </c>
    </row>
    <row r="2" spans="1:12" ht="15.75" thickBot="1">
      <c r="A2" s="1338" t="s">
        <v>1343</v>
      </c>
      <c r="B2" s="1339"/>
      <c r="C2" s="1374" t="s">
        <v>1397</v>
      </c>
      <c r="D2" s="1375"/>
      <c r="E2" s="1375"/>
      <c r="F2" s="1375"/>
      <c r="G2" s="1375"/>
      <c r="H2" s="1375"/>
      <c r="I2" s="1375"/>
      <c r="J2" s="1375"/>
      <c r="K2" s="1375"/>
      <c r="L2" s="1376"/>
    </row>
    <row r="3" spans="1:12" ht="15.75" customHeight="1" thickBot="1">
      <c r="A3" s="1338" t="s">
        <v>1345</v>
      </c>
      <c r="B3" s="1339"/>
      <c r="C3" s="1340" t="s">
        <v>17</v>
      </c>
      <c r="D3" s="1341"/>
      <c r="E3" s="1341"/>
      <c r="F3" s="1341"/>
      <c r="G3" s="1341"/>
      <c r="H3" s="1341"/>
      <c r="I3" s="1341"/>
      <c r="J3" s="1341"/>
      <c r="K3" s="1341"/>
      <c r="L3" s="1342"/>
    </row>
    <row r="4" spans="1:12" ht="15.75" thickBot="1">
      <c r="A4" s="1338" t="s">
        <v>1347</v>
      </c>
      <c r="B4" s="1339"/>
      <c r="C4" s="1340" t="s">
        <v>1398</v>
      </c>
      <c r="D4" s="1341"/>
      <c r="E4" s="1341"/>
      <c r="F4" s="1341"/>
      <c r="G4" s="1341"/>
      <c r="H4" s="1341"/>
      <c r="I4" s="1341"/>
      <c r="J4" s="1341"/>
      <c r="K4" s="1341"/>
      <c r="L4" s="1342"/>
    </row>
    <row r="5" spans="1:12" ht="15.75" thickBot="1">
      <c r="A5" s="1377" t="s">
        <v>1399</v>
      </c>
      <c r="B5" s="1378"/>
      <c r="C5" s="285" t="s">
        <v>1400</v>
      </c>
      <c r="D5" s="1307" t="s">
        <v>1401</v>
      </c>
      <c r="E5" s="1379"/>
      <c r="F5" s="1379"/>
      <c r="G5" s="1379"/>
      <c r="H5" s="1379"/>
      <c r="I5" s="1379"/>
      <c r="J5" s="1379"/>
      <c r="K5" s="1379"/>
      <c r="L5" s="1380"/>
    </row>
    <row r="6" spans="1:16" ht="54" thickBot="1">
      <c r="A6" s="1364" t="s">
        <v>1402</v>
      </c>
      <c r="B6" s="1365"/>
      <c r="C6" s="1355" t="s">
        <v>1403</v>
      </c>
      <c r="D6" s="286" t="s">
        <v>1404</v>
      </c>
      <c r="E6" s="286" t="s">
        <v>1405</v>
      </c>
      <c r="F6" s="286" t="s">
        <v>1406</v>
      </c>
      <c r="G6" s="1367" t="s">
        <v>1407</v>
      </c>
      <c r="H6" s="1368"/>
      <c r="I6" s="286" t="s">
        <v>1408</v>
      </c>
      <c r="J6" s="286" t="s">
        <v>1409</v>
      </c>
      <c r="K6" s="286" t="s">
        <v>1410</v>
      </c>
      <c r="L6" s="286" t="s">
        <v>1411</v>
      </c>
      <c r="M6" s="313" t="s">
        <v>1412</v>
      </c>
      <c r="N6" s="314" t="s">
        <v>1409</v>
      </c>
      <c r="O6" s="314" t="s">
        <v>1413</v>
      </c>
      <c r="P6" s="314" t="s">
        <v>1414</v>
      </c>
    </row>
    <row r="7" spans="1:16" ht="15">
      <c r="A7" s="1321" t="s">
        <v>1415</v>
      </c>
      <c r="B7" s="1321" t="s">
        <v>1416</v>
      </c>
      <c r="C7" s="1357"/>
      <c r="D7" s="1321" t="s">
        <v>13</v>
      </c>
      <c r="E7" s="1321" t="s">
        <v>1417</v>
      </c>
      <c r="F7" s="1321" t="s">
        <v>8</v>
      </c>
      <c r="G7" s="1354" t="s">
        <v>1418</v>
      </c>
      <c r="H7" s="1355"/>
      <c r="I7" s="1321" t="s">
        <v>1419</v>
      </c>
      <c r="J7" s="1321" t="s">
        <v>1420</v>
      </c>
      <c r="K7" s="1321" t="s">
        <v>1421</v>
      </c>
      <c r="L7" s="1321" t="s">
        <v>1422</v>
      </c>
      <c r="M7" s="1428" t="s">
        <v>830</v>
      </c>
      <c r="N7" s="1428" t="s">
        <v>624</v>
      </c>
      <c r="O7" s="1428" t="s">
        <v>831</v>
      </c>
      <c r="P7" s="1428" t="s">
        <v>832</v>
      </c>
    </row>
    <row r="8" spans="1:16" ht="15.75" thickBot="1">
      <c r="A8" s="1326"/>
      <c r="B8" s="1326"/>
      <c r="C8" s="1357"/>
      <c r="D8" s="1322"/>
      <c r="E8" s="1322"/>
      <c r="F8" s="1322"/>
      <c r="G8" s="1370" t="s">
        <v>1423</v>
      </c>
      <c r="H8" s="1371"/>
      <c r="I8" s="1322"/>
      <c r="J8" s="1322"/>
      <c r="K8" s="1322"/>
      <c r="L8" s="1322"/>
      <c r="M8" s="1429"/>
      <c r="N8" s="1429"/>
      <c r="O8" s="1429"/>
      <c r="P8" s="1429"/>
    </row>
    <row r="9" spans="1:16" ht="15">
      <c r="A9" s="1326"/>
      <c r="B9" s="1326"/>
      <c r="C9" s="1357"/>
      <c r="D9" s="1321"/>
      <c r="E9" s="1321" t="s">
        <v>1424</v>
      </c>
      <c r="F9" s="1321" t="s">
        <v>1425</v>
      </c>
      <c r="G9" s="1354" t="s">
        <v>1426</v>
      </c>
      <c r="H9" s="1355"/>
      <c r="I9" s="1045" t="s">
        <v>1427</v>
      </c>
      <c r="J9" s="1045" t="s">
        <v>1428</v>
      </c>
      <c r="K9" s="1045" t="s">
        <v>1429</v>
      </c>
      <c r="L9" s="1045" t="s">
        <v>1430</v>
      </c>
      <c r="M9" s="1429"/>
      <c r="N9" s="1429"/>
      <c r="O9" s="1429"/>
      <c r="P9" s="1429"/>
    </row>
    <row r="10" spans="1:16" ht="30" thickBot="1">
      <c r="A10" s="1326"/>
      <c r="B10" s="1326"/>
      <c r="C10" s="1357"/>
      <c r="D10" s="1322"/>
      <c r="E10" s="1322"/>
      <c r="F10" s="1322"/>
      <c r="G10" s="1370"/>
      <c r="H10" s="1371"/>
      <c r="I10" s="1047" t="s">
        <v>833</v>
      </c>
      <c r="J10" s="1047" t="s">
        <v>833</v>
      </c>
      <c r="K10" s="1047" t="s">
        <v>833</v>
      </c>
      <c r="L10" s="1047" t="s">
        <v>833</v>
      </c>
      <c r="M10" s="1429"/>
      <c r="N10" s="1429"/>
      <c r="O10" s="1429"/>
      <c r="P10" s="1429"/>
    </row>
    <row r="11" spans="1:16" ht="15.75" thickBot="1">
      <c r="A11" s="1369"/>
      <c r="B11" s="1369"/>
      <c r="C11" s="1366"/>
      <c r="D11" s="288" t="s">
        <v>14</v>
      </c>
      <c r="E11" s="288" t="s">
        <v>834</v>
      </c>
      <c r="F11" s="288" t="s">
        <v>835</v>
      </c>
      <c r="G11" s="1372" t="s">
        <v>836</v>
      </c>
      <c r="H11" s="1373"/>
      <c r="I11" s="288" t="s">
        <v>1431</v>
      </c>
      <c r="J11" s="288" t="s">
        <v>1432</v>
      </c>
      <c r="K11" s="288" t="s">
        <v>1433</v>
      </c>
      <c r="L11" s="288" t="s">
        <v>1434</v>
      </c>
      <c r="M11" s="1430"/>
      <c r="N11" s="1430"/>
      <c r="O11" s="1430"/>
      <c r="P11" s="1430"/>
    </row>
    <row r="12" spans="1:16" ht="16.5" thickBot="1" thickTop="1">
      <c r="A12" s="1330" t="s">
        <v>1435</v>
      </c>
      <c r="B12" s="1330" t="s">
        <v>1435</v>
      </c>
      <c r="C12" s="1358" t="s">
        <v>365</v>
      </c>
      <c r="D12" s="1361">
        <f>+'3C1 INFO PROC'!D4</f>
        <v>83312.15</v>
      </c>
      <c r="E12" s="1361">
        <f>'3C1 INFO PROC'!I32</f>
        <v>6.5</v>
      </c>
      <c r="F12" s="1361">
        <f>'FACTORES DE CONVERSIÓN'!$C$216</f>
        <v>1</v>
      </c>
      <c r="G12" s="315" t="s">
        <v>837</v>
      </c>
      <c r="H12" s="316">
        <f>+'3C1 FACTORES DE EMISIÓN'!$B$3</f>
        <v>2.7</v>
      </c>
      <c r="I12" s="316">
        <f>D12*F12*E12*H12*(10^(-3))</f>
        <v>1462.1282325</v>
      </c>
      <c r="J12" s="317"/>
      <c r="K12" s="317"/>
      <c r="L12" s="317"/>
      <c r="M12" s="317">
        <f>+I12*'FACTORES DE CONVERSIÓN'!$B$16/'FACTORES DE CONVERSIÓN'!$C$28</f>
        <v>1.4621282325</v>
      </c>
      <c r="N12" s="317"/>
      <c r="O12" s="317"/>
      <c r="P12" s="317"/>
    </row>
    <row r="13" spans="1:16" ht="15.75" thickBot="1">
      <c r="A13" s="1326"/>
      <c r="B13" s="1326"/>
      <c r="C13" s="1359"/>
      <c r="D13" s="1382"/>
      <c r="E13" s="1382"/>
      <c r="F13" s="1382"/>
      <c r="G13" s="315" t="s">
        <v>16</v>
      </c>
      <c r="H13" s="316">
        <f>'3C1 FACTORES DE EMISIÓN'!$B$4</f>
        <v>92</v>
      </c>
      <c r="I13" s="317"/>
      <c r="J13" s="316">
        <f>D12*F12*E12*H13*(10^(-3))</f>
        <v>49820.6657</v>
      </c>
      <c r="K13" s="317"/>
      <c r="L13" s="317"/>
      <c r="M13" s="317"/>
      <c r="N13" s="317">
        <f>+J13*'FACTORES DE CONVERSIÓN'!$B$16/'FACTORES DE CONVERSIÓN'!$C$28</f>
        <v>49.8206657</v>
      </c>
      <c r="O13" s="317"/>
      <c r="P13" s="317"/>
    </row>
    <row r="14" spans="1:16" ht="15.75" thickBot="1">
      <c r="A14" s="1326"/>
      <c r="B14" s="1326"/>
      <c r="C14" s="1359"/>
      <c r="D14" s="1382"/>
      <c r="E14" s="1382"/>
      <c r="F14" s="1382"/>
      <c r="G14" s="315" t="s">
        <v>838</v>
      </c>
      <c r="H14" s="316">
        <f>'3C1 FACTORES DE EMISIÓN'!$B$5</f>
        <v>0.07</v>
      </c>
      <c r="I14" s="317"/>
      <c r="J14" s="317"/>
      <c r="K14" s="316">
        <f>D12*F12*E12*H14*(10^(-3))</f>
        <v>37.90702825</v>
      </c>
      <c r="L14" s="317"/>
      <c r="M14" s="317"/>
      <c r="N14" s="317"/>
      <c r="O14" s="317">
        <f>+K14*'FACTORES DE CONVERSIÓN'!$B$16/'FACTORES DE CONVERSIÓN'!$C$28</f>
        <v>0.03790702825</v>
      </c>
      <c r="P14" s="317"/>
    </row>
    <row r="15" spans="1:16" ht="15.75" thickBot="1">
      <c r="A15" s="1326"/>
      <c r="B15" s="1326"/>
      <c r="C15" s="1381"/>
      <c r="D15" s="1383"/>
      <c r="E15" s="1383"/>
      <c r="F15" s="1383"/>
      <c r="G15" s="315" t="s">
        <v>839</v>
      </c>
      <c r="H15" s="316">
        <f>'3C1 FACTORES DE EMISIÓN'!$B$6</f>
        <v>2.5</v>
      </c>
      <c r="I15" s="317"/>
      <c r="J15" s="317"/>
      <c r="K15" s="317"/>
      <c r="L15" s="316">
        <f>D12*F12*E12*H15*(10^(-3))</f>
        <v>1353.8224375</v>
      </c>
      <c r="M15" s="317"/>
      <c r="N15" s="317"/>
      <c r="O15" s="317"/>
      <c r="P15" s="317">
        <f>+L15*'FACTORES DE CONVERSIÓN'!$B$16/'FACTORES DE CONVERSIÓN'!$C$28</f>
        <v>1.3538224375</v>
      </c>
    </row>
    <row r="16" spans="1:16" ht="16.5" customHeight="1" thickBot="1" thickTop="1">
      <c r="A16" s="1330" t="s">
        <v>1435</v>
      </c>
      <c r="B16" s="1330" t="s">
        <v>1435</v>
      </c>
      <c r="C16" s="1358" t="s">
        <v>303</v>
      </c>
      <c r="D16" s="1361">
        <f>'3C1 INFO PROC'!G4</f>
        <v>83912.80000000002</v>
      </c>
      <c r="E16" s="1361">
        <f>'3C1 INFO PROC'!I33</f>
        <v>5.5</v>
      </c>
      <c r="F16" s="1361">
        <f>'FACTORES DE CONVERSIÓN'!$C$216</f>
        <v>1</v>
      </c>
      <c r="G16" s="315" t="s">
        <v>837</v>
      </c>
      <c r="H16" s="316">
        <f>+'3C1 FACTORES DE EMISIÓN'!$B$3</f>
        <v>2.7</v>
      </c>
      <c r="I16" s="316">
        <f>D16*F16*E16*H16*(10^(-3))</f>
        <v>1246.1050800000003</v>
      </c>
      <c r="J16" s="317"/>
      <c r="K16" s="317"/>
      <c r="L16" s="317"/>
      <c r="M16" s="317">
        <f>+I16*'FACTORES DE CONVERSIÓN'!$B$16/'FACTORES DE CONVERSIÓN'!$C$28</f>
        <v>1.2461050800000002</v>
      </c>
      <c r="N16" s="317"/>
      <c r="O16" s="317"/>
      <c r="P16" s="317"/>
    </row>
    <row r="17" spans="1:16" ht="15.75" thickBot="1">
      <c r="A17" s="1326"/>
      <c r="B17" s="1326"/>
      <c r="C17" s="1359"/>
      <c r="D17" s="1362"/>
      <c r="E17" s="1362"/>
      <c r="F17" s="1362"/>
      <c r="G17" s="315" t="s">
        <v>16</v>
      </c>
      <c r="H17" s="316">
        <f>'3C1 FACTORES DE EMISIÓN'!$B$4</f>
        <v>92</v>
      </c>
      <c r="I17" s="317"/>
      <c r="J17" s="316">
        <f>D16*F16*E16*H17*(10^(-3))</f>
        <v>42459.876800000005</v>
      </c>
      <c r="K17" s="317"/>
      <c r="L17" s="317"/>
      <c r="M17" s="317"/>
      <c r="N17" s="317">
        <f>+J17*'FACTORES DE CONVERSIÓN'!$B$16/'FACTORES DE CONVERSIÓN'!$C$28</f>
        <v>42.45987680000001</v>
      </c>
      <c r="O17" s="317"/>
      <c r="P17" s="317"/>
    </row>
    <row r="18" spans="1:16" ht="15.75" thickBot="1">
      <c r="A18" s="1326"/>
      <c r="B18" s="1326"/>
      <c r="C18" s="1359"/>
      <c r="D18" s="1362"/>
      <c r="E18" s="1362"/>
      <c r="F18" s="1362"/>
      <c r="G18" s="315" t="s">
        <v>838</v>
      </c>
      <c r="H18" s="316">
        <f>'3C1 FACTORES DE EMISIÓN'!$B$5</f>
        <v>0.07</v>
      </c>
      <c r="I18" s="317"/>
      <c r="J18" s="317"/>
      <c r="K18" s="316">
        <f>D16*F16*E16*H18*(10^(-3))</f>
        <v>32.30642800000001</v>
      </c>
      <c r="L18" s="317"/>
      <c r="M18" s="317"/>
      <c r="N18" s="317"/>
      <c r="O18" s="317">
        <f>+K18*'FACTORES DE CONVERSIÓN'!$B$16/'FACTORES DE CONVERSIÓN'!$C$28</f>
        <v>0.03230642800000001</v>
      </c>
      <c r="P18" s="317"/>
    </row>
    <row r="19" spans="1:16" ht="15.75" thickBot="1">
      <c r="A19" s="1322"/>
      <c r="B19" s="1322"/>
      <c r="C19" s="1360"/>
      <c r="D19" s="1363"/>
      <c r="E19" s="1363"/>
      <c r="F19" s="1363"/>
      <c r="G19" s="315" t="s">
        <v>839</v>
      </c>
      <c r="H19" s="316">
        <f>'3C1 FACTORES DE EMISIÓN'!$B$6</f>
        <v>2.5</v>
      </c>
      <c r="I19" s="317"/>
      <c r="J19" s="317"/>
      <c r="K19" s="317"/>
      <c r="L19" s="316">
        <f>D16*F16*E16*H19*(10^(-3))</f>
        <v>1153.8010000000002</v>
      </c>
      <c r="M19" s="317"/>
      <c r="N19" s="317"/>
      <c r="O19" s="317"/>
      <c r="P19" s="317">
        <f>+L19*'FACTORES DE CONVERSIÓN'!$B$16/'FACTORES DE CONVERSIÓN'!$C$28</f>
        <v>1.1538010000000003</v>
      </c>
    </row>
    <row r="20" spans="1:16" ht="16.5" customHeight="1" thickBot="1" thickTop="1">
      <c r="A20" s="1330" t="s">
        <v>1435</v>
      </c>
      <c r="B20" s="1330" t="s">
        <v>1435</v>
      </c>
      <c r="C20" s="1358" t="s">
        <v>310</v>
      </c>
      <c r="D20" s="1361">
        <f>'3C1 INFO PROC'!J4</f>
        <v>7239.599999999999</v>
      </c>
      <c r="E20" s="1361">
        <f>'3C1 INFO PROC'!I34</f>
        <v>0.2355738991104481</v>
      </c>
      <c r="F20" s="1361">
        <f>'FACTORES DE CONVERSIÓN'!$C$216</f>
        <v>1</v>
      </c>
      <c r="G20" s="315" t="s">
        <v>837</v>
      </c>
      <c r="H20" s="316">
        <f>+'3C1 FACTORES DE EMISIÓN'!$B$3</f>
        <v>2.7</v>
      </c>
      <c r="I20" s="316">
        <f>D20*F20*E20*H20*(10^(-3))</f>
        <v>4.60474416</v>
      </c>
      <c r="J20" s="317"/>
      <c r="K20" s="317"/>
      <c r="L20" s="317"/>
      <c r="M20" s="317">
        <f>+I20*'FACTORES DE CONVERSIÓN'!$B$16/'FACTORES DE CONVERSIÓN'!$C$28</f>
        <v>0.00460474416</v>
      </c>
      <c r="N20" s="317"/>
      <c r="O20" s="317"/>
      <c r="P20" s="317"/>
    </row>
    <row r="21" spans="1:16" ht="15.75" thickBot="1">
      <c r="A21" s="1326"/>
      <c r="B21" s="1326"/>
      <c r="C21" s="1359"/>
      <c r="D21" s="1362"/>
      <c r="E21" s="1362"/>
      <c r="F21" s="1362"/>
      <c r="G21" s="315" t="s">
        <v>16</v>
      </c>
      <c r="H21" s="316">
        <f>'3C1 FACTORES DE EMISIÓN'!$B$4</f>
        <v>92</v>
      </c>
      <c r="I21" s="317"/>
      <c r="J21" s="316">
        <f>D20*F20*E20*H21*(10^(-3))</f>
        <v>156.90239359999998</v>
      </c>
      <c r="K21" s="317"/>
      <c r="L21" s="317"/>
      <c r="M21" s="317"/>
      <c r="N21" s="317">
        <f>+J21*'FACTORES DE CONVERSIÓN'!$B$16/'FACTORES DE CONVERSIÓN'!$C$28</f>
        <v>0.1569023936</v>
      </c>
      <c r="O21" s="317"/>
      <c r="P21" s="317"/>
    </row>
    <row r="22" spans="1:16" ht="15.75" thickBot="1">
      <c r="A22" s="1326"/>
      <c r="B22" s="1326"/>
      <c r="C22" s="1359"/>
      <c r="D22" s="1362"/>
      <c r="E22" s="1362"/>
      <c r="F22" s="1362"/>
      <c r="G22" s="315" t="s">
        <v>838</v>
      </c>
      <c r="H22" s="316">
        <f>'3C1 FACTORES DE EMISIÓN'!$B$5</f>
        <v>0.07</v>
      </c>
      <c r="I22" s="317"/>
      <c r="J22" s="317"/>
      <c r="K22" s="316">
        <f>D20*F20*E20*H22*(10^(-3))</f>
        <v>0.119382256</v>
      </c>
      <c r="L22" s="317"/>
      <c r="M22" s="317"/>
      <c r="N22" s="317"/>
      <c r="O22" s="317">
        <f>+K22*'FACTORES DE CONVERSIÓN'!$B$16/'FACTORES DE CONVERSIÓN'!$C$28</f>
        <v>0.00011938225600000001</v>
      </c>
      <c r="P22" s="317"/>
    </row>
    <row r="23" spans="1:16" ht="15.75" thickBot="1">
      <c r="A23" s="1322"/>
      <c r="B23" s="1322"/>
      <c r="C23" s="1360"/>
      <c r="D23" s="1363"/>
      <c r="E23" s="1363"/>
      <c r="F23" s="1363"/>
      <c r="G23" s="315" t="s">
        <v>839</v>
      </c>
      <c r="H23" s="316">
        <f>'3C1 FACTORES DE EMISIÓN'!$B$6</f>
        <v>2.5</v>
      </c>
      <c r="I23" s="317"/>
      <c r="J23" s="317"/>
      <c r="K23" s="317"/>
      <c r="L23" s="316">
        <f>D20*F20*E20*H23*(10^(-3))</f>
        <v>4.263652</v>
      </c>
      <c r="M23" s="317"/>
      <c r="N23" s="317"/>
      <c r="O23" s="317"/>
      <c r="P23" s="317">
        <f>+L23*'FACTORES DE CONVERSIÓN'!$B$16/'FACTORES DE CONVERSIÓN'!$C$28</f>
        <v>0.004263652</v>
      </c>
    </row>
    <row r="24" spans="1:16" ht="16.5" customHeight="1" thickBot="1" thickTop="1">
      <c r="A24" s="1330" t="s">
        <v>1435</v>
      </c>
      <c r="B24" s="1330" t="s">
        <v>1435</v>
      </c>
      <c r="C24" s="1358" t="s">
        <v>1032</v>
      </c>
      <c r="D24" s="1361">
        <f>'3C1 INFO PROC'!N4</f>
        <v>22091.99</v>
      </c>
      <c r="E24" s="1361">
        <f>'3C1 INFO PROC'!I35</f>
        <v>0.29009701447994835</v>
      </c>
      <c r="F24" s="1361">
        <f>'FACTORES DE CONVERSIÓN'!$C$216</f>
        <v>1</v>
      </c>
      <c r="G24" s="315" t="s">
        <v>837</v>
      </c>
      <c r="H24" s="316">
        <f>+'3C1 FACTORES DE EMISIÓN'!$B$3</f>
        <v>2.7</v>
      </c>
      <c r="I24" s="316">
        <f>D24*F24*E24*H24*(10^(-3))</f>
        <v>17.303814925886364</v>
      </c>
      <c r="J24" s="317"/>
      <c r="K24" s="317"/>
      <c r="L24" s="317"/>
      <c r="M24" s="317">
        <f>+I24*'FACTORES DE CONVERSIÓN'!$B$16/'FACTORES DE CONVERSIÓN'!$C$28</f>
        <v>0.01730381492588636</v>
      </c>
      <c r="N24" s="317"/>
      <c r="O24" s="317"/>
      <c r="P24" s="317"/>
    </row>
    <row r="25" spans="1:16" ht="15.75" thickBot="1">
      <c r="A25" s="1326"/>
      <c r="B25" s="1326"/>
      <c r="C25" s="1359"/>
      <c r="D25" s="1362"/>
      <c r="E25" s="1362"/>
      <c r="F25" s="1362"/>
      <c r="G25" s="315" t="s">
        <v>16</v>
      </c>
      <c r="H25" s="316">
        <f>'3C1 FACTORES DE EMISIÓN'!$B$4</f>
        <v>92</v>
      </c>
      <c r="I25" s="317"/>
      <c r="J25" s="316">
        <f>D24*F24*E24*H25*(10^(-3))</f>
        <v>589.6114715487204</v>
      </c>
      <c r="K25" s="317"/>
      <c r="L25" s="317"/>
      <c r="M25" s="317"/>
      <c r="N25" s="317">
        <f>+J25*'FACTORES DE CONVERSIÓN'!$B$16/'FACTORES DE CONVERSIÓN'!$C$28</f>
        <v>0.5896114715487204</v>
      </c>
      <c r="O25" s="317"/>
      <c r="P25" s="317"/>
    </row>
    <row r="26" spans="1:16" ht="15.75" thickBot="1">
      <c r="A26" s="1326"/>
      <c r="B26" s="1326"/>
      <c r="C26" s="1359"/>
      <c r="D26" s="1362"/>
      <c r="E26" s="1362"/>
      <c r="F26" s="1362"/>
      <c r="G26" s="315" t="s">
        <v>838</v>
      </c>
      <c r="H26" s="316">
        <f>'3C1 FACTORES DE EMISIÓN'!$B$5</f>
        <v>0.07</v>
      </c>
      <c r="I26" s="317"/>
      <c r="J26" s="317"/>
      <c r="K26" s="316">
        <f>D24*F24*E24*H26*(10^(-3))</f>
        <v>0.4486174240044613</v>
      </c>
      <c r="L26" s="317"/>
      <c r="M26" s="317"/>
      <c r="N26" s="317"/>
      <c r="O26" s="317">
        <f>+K26*'FACTORES DE CONVERSIÓN'!$B$16/'FACTORES DE CONVERSIÓN'!$C$28</f>
        <v>0.0004486174240044613</v>
      </c>
      <c r="P26" s="317"/>
    </row>
    <row r="27" spans="1:16" ht="15.75" thickBot="1">
      <c r="A27" s="1322"/>
      <c r="B27" s="1322"/>
      <c r="C27" s="1360"/>
      <c r="D27" s="1363"/>
      <c r="E27" s="1363"/>
      <c r="F27" s="1363"/>
      <c r="G27" s="315" t="s">
        <v>839</v>
      </c>
      <c r="H27" s="316">
        <f>'3C1 FACTORES DE EMISIÓN'!$B$6</f>
        <v>2.5</v>
      </c>
      <c r="I27" s="317"/>
      <c r="J27" s="317"/>
      <c r="K27" s="317"/>
      <c r="L27" s="316">
        <f>D24*F24*E24*H27*(10^(-3))</f>
        <v>16.022050857302187</v>
      </c>
      <c r="M27" s="317"/>
      <c r="N27" s="317"/>
      <c r="O27" s="317"/>
      <c r="P27" s="317">
        <f>+L27*'FACTORES DE CONVERSIÓN'!$B$16/'FACTORES DE CONVERSIÓN'!$C$28</f>
        <v>0.016022050857302187</v>
      </c>
    </row>
    <row r="28" spans="1:16" ht="16.5" customHeight="1" thickBot="1" thickTop="1">
      <c r="A28" s="1330" t="s">
        <v>1435</v>
      </c>
      <c r="B28" s="1330" t="s">
        <v>1435</v>
      </c>
      <c r="C28" s="1358" t="s">
        <v>1033</v>
      </c>
      <c r="D28" s="1361">
        <f>'3C1 INFO PROC'!P4</f>
        <v>1104.5995000000003</v>
      </c>
      <c r="E28" s="1361">
        <f>'3C1 INFO PROC'!I36</f>
        <v>0.19866288410414812</v>
      </c>
      <c r="F28" s="1361">
        <f>'FACTORES DE CONVERSIÓN'!$C$216</f>
        <v>1</v>
      </c>
      <c r="G28" s="315" t="s">
        <v>837</v>
      </c>
      <c r="H28" s="316">
        <f>+'3C1 FACTORES DE EMISIÓN'!$B$3</f>
        <v>2.7</v>
      </c>
      <c r="I28" s="316">
        <f>D28*F28*E28*H28*(10^(-3))</f>
        <v>0.5924958906150002</v>
      </c>
      <c r="J28" s="317"/>
      <c r="K28" s="317"/>
      <c r="L28" s="317"/>
      <c r="M28" s="317">
        <f>+I28*'FACTORES DE CONVERSIÓN'!$B$16/'FACTORES DE CONVERSIÓN'!$C$28</f>
        <v>0.0005924958906150001</v>
      </c>
      <c r="N28" s="317"/>
      <c r="O28" s="317"/>
      <c r="P28" s="317"/>
    </row>
    <row r="29" spans="1:16" ht="15.75" thickBot="1">
      <c r="A29" s="1326"/>
      <c r="B29" s="1326"/>
      <c r="C29" s="1359"/>
      <c r="D29" s="1362"/>
      <c r="E29" s="1362"/>
      <c r="F29" s="1362"/>
      <c r="G29" s="315" t="s">
        <v>16</v>
      </c>
      <c r="H29" s="316">
        <f>'3C1 FACTORES DE EMISIÓN'!$B$4</f>
        <v>92</v>
      </c>
      <c r="I29" s="317"/>
      <c r="J29" s="316">
        <f>D28*F28*E28*H29*(10^(-3))</f>
        <v>20.1887488654</v>
      </c>
      <c r="K29" s="317"/>
      <c r="L29" s="317"/>
      <c r="M29" s="317"/>
      <c r="N29" s="317">
        <f>+J29*'FACTORES DE CONVERSIÓN'!$B$16/'FACTORES DE CONVERSIÓN'!$C$28</f>
        <v>0.0201887488654</v>
      </c>
      <c r="O29" s="317"/>
      <c r="P29" s="317"/>
    </row>
    <row r="30" spans="1:16" ht="15.75" thickBot="1">
      <c r="A30" s="1326"/>
      <c r="B30" s="1326"/>
      <c r="C30" s="1359"/>
      <c r="D30" s="1362"/>
      <c r="E30" s="1362"/>
      <c r="F30" s="1362"/>
      <c r="G30" s="315" t="s">
        <v>838</v>
      </c>
      <c r="H30" s="316">
        <f>'3C1 FACTORES DE EMISIÓN'!$B$5</f>
        <v>0.07</v>
      </c>
      <c r="I30" s="317"/>
      <c r="J30" s="317"/>
      <c r="K30" s="316">
        <f>D28*F28*E28*H30*(10^(-3))</f>
        <v>0.015361004571500005</v>
      </c>
      <c r="L30" s="317"/>
      <c r="M30" s="317"/>
      <c r="N30" s="317"/>
      <c r="O30" s="317">
        <f>+K30*'FACTORES DE CONVERSIÓN'!$B$16/'FACTORES DE CONVERSIÓN'!$C$28</f>
        <v>1.5361004571500006E-05</v>
      </c>
      <c r="P30" s="317"/>
    </row>
    <row r="31" spans="1:16" ht="15.75" thickBot="1">
      <c r="A31" s="1322"/>
      <c r="B31" s="1322"/>
      <c r="C31" s="1360"/>
      <c r="D31" s="1363"/>
      <c r="E31" s="1363"/>
      <c r="F31" s="1363"/>
      <c r="G31" s="315" t="s">
        <v>839</v>
      </c>
      <c r="H31" s="316">
        <f>'3C1 FACTORES DE EMISIÓN'!$B$6</f>
        <v>2.5</v>
      </c>
      <c r="I31" s="317"/>
      <c r="J31" s="317"/>
      <c r="K31" s="317"/>
      <c r="L31" s="316">
        <f>D28*F28*E28*H31*(10^(-3))</f>
        <v>0.5486073061250001</v>
      </c>
      <c r="M31" s="317"/>
      <c r="N31" s="317"/>
      <c r="O31" s="317"/>
      <c r="P31" s="317">
        <f>+L31*'FACTORES DE CONVERSIÓN'!$B$16/'FACTORES DE CONVERSIÓN'!$C$28</f>
        <v>0.0005486073061250001</v>
      </c>
    </row>
    <row r="32" spans="1:16" ht="15.75" thickBot="1">
      <c r="A32" s="1384" t="s">
        <v>4</v>
      </c>
      <c r="B32" s="1385"/>
      <c r="C32" s="1386"/>
      <c r="D32" s="1393"/>
      <c r="E32" s="1393"/>
      <c r="F32" s="1393"/>
      <c r="G32" s="1396" t="s">
        <v>837</v>
      </c>
      <c r="H32" s="1397"/>
      <c r="I32" s="317">
        <f>SUM(I$12:I$31)</f>
        <v>2730.7343674765016</v>
      </c>
      <c r="J32" s="317"/>
      <c r="K32" s="317"/>
      <c r="L32" s="317"/>
      <c r="M32" s="318">
        <f>SUM(M$12:M$31)</f>
        <v>2.7307343674765012</v>
      </c>
      <c r="N32" s="318"/>
      <c r="O32" s="318"/>
      <c r="P32" s="318"/>
    </row>
    <row r="33" spans="1:16" ht="15.75" thickBot="1">
      <c r="A33" s="1387"/>
      <c r="B33" s="1388"/>
      <c r="C33" s="1389"/>
      <c r="D33" s="1394"/>
      <c r="E33" s="1394"/>
      <c r="F33" s="1394"/>
      <c r="G33" s="1396" t="s">
        <v>16</v>
      </c>
      <c r="H33" s="1398"/>
      <c r="I33" s="317"/>
      <c r="J33" s="317">
        <f>SUM(J$12:J$31)</f>
        <v>93047.24511401413</v>
      </c>
      <c r="K33" s="317"/>
      <c r="L33" s="317"/>
      <c r="M33" s="318"/>
      <c r="N33" s="318">
        <f>SUM(N$20:N$31)</f>
        <v>0.7667026140141204</v>
      </c>
      <c r="O33" s="318"/>
      <c r="P33" s="318"/>
    </row>
    <row r="34" spans="1:16" ht="15.75" thickBot="1">
      <c r="A34" s="1387"/>
      <c r="B34" s="1388"/>
      <c r="C34" s="1389"/>
      <c r="D34" s="1394"/>
      <c r="E34" s="1394"/>
      <c r="F34" s="1394"/>
      <c r="G34" s="1396" t="s">
        <v>838</v>
      </c>
      <c r="H34" s="1398"/>
      <c r="I34" s="317"/>
      <c r="J34" s="317"/>
      <c r="K34" s="317">
        <f>SUM(K$12:K$31)</f>
        <v>70.79681693457597</v>
      </c>
      <c r="L34" s="317"/>
      <c r="M34" s="318"/>
      <c r="N34" s="318"/>
      <c r="O34" s="318">
        <f>SUM(O$12:O$31)</f>
        <v>0.07079681693457597</v>
      </c>
      <c r="P34" s="318"/>
    </row>
    <row r="35" spans="1:16" ht="15.75" thickBot="1">
      <c r="A35" s="1390"/>
      <c r="B35" s="1391"/>
      <c r="C35" s="1392"/>
      <c r="D35" s="1395"/>
      <c r="E35" s="1395"/>
      <c r="F35" s="1395"/>
      <c r="G35" s="1396" t="s">
        <v>839</v>
      </c>
      <c r="H35" s="1398"/>
      <c r="I35" s="317"/>
      <c r="J35" s="317"/>
      <c r="K35" s="317"/>
      <c r="L35" s="317">
        <f>SUM(L$12:L$31)</f>
        <v>2528.4577476634277</v>
      </c>
      <c r="M35" s="318"/>
      <c r="N35" s="318"/>
      <c r="O35" s="318"/>
      <c r="P35" s="318">
        <f>SUM(P$12:P$31)</f>
        <v>2.528457747663428</v>
      </c>
    </row>
    <row r="36" spans="1:12" ht="15.75" customHeight="1">
      <c r="A36" s="1315" t="s">
        <v>1436</v>
      </c>
      <c r="B36" s="1316"/>
      <c r="C36" s="1316"/>
      <c r="D36" s="1316"/>
      <c r="E36" s="1316"/>
      <c r="F36" s="1316"/>
      <c r="G36" s="1316"/>
      <c r="H36" s="1316"/>
      <c r="I36" s="1316"/>
      <c r="J36" s="1316"/>
      <c r="K36" s="1316"/>
      <c r="L36" s="1399"/>
    </row>
    <row r="37" spans="1:12" ht="15.75" customHeight="1" thickBot="1">
      <c r="A37" s="1400" t="s">
        <v>1437</v>
      </c>
      <c r="B37" s="1401"/>
      <c r="C37" s="1401"/>
      <c r="D37" s="1401"/>
      <c r="E37" s="1401"/>
      <c r="F37" s="1401"/>
      <c r="G37" s="1401"/>
      <c r="H37" s="1401"/>
      <c r="I37" s="1401"/>
      <c r="J37" s="1401"/>
      <c r="K37" s="1401"/>
      <c r="L37" s="1402"/>
    </row>
    <row r="38" spans="1:12" ht="15.75">
      <c r="A38" s="319"/>
      <c r="B38" s="319"/>
      <c r="C38" s="319"/>
      <c r="D38" s="319"/>
      <c r="E38" s="319"/>
      <c r="F38" s="319"/>
      <c r="G38" s="319"/>
      <c r="H38" s="319"/>
      <c r="I38" s="319"/>
      <c r="J38" s="319"/>
      <c r="K38" s="319"/>
      <c r="L38" s="319"/>
    </row>
    <row r="39" ht="15.75" thickBot="1"/>
    <row r="40" spans="1:12" ht="15.75" thickBot="1">
      <c r="A40" s="1338" t="s">
        <v>0</v>
      </c>
      <c r="B40" s="1339"/>
      <c r="C40" s="1340" t="s">
        <v>574</v>
      </c>
      <c r="D40" s="1341"/>
      <c r="E40" s="1341"/>
      <c r="F40" s="1341"/>
      <c r="G40" s="1341"/>
      <c r="H40" s="1341"/>
      <c r="I40" s="1341"/>
      <c r="J40" s="1341"/>
      <c r="K40" s="1341"/>
      <c r="L40" s="1342"/>
    </row>
    <row r="41" spans="1:12" ht="15.75" customHeight="1" thickBot="1">
      <c r="A41" s="1338" t="s">
        <v>1343</v>
      </c>
      <c r="B41" s="1339"/>
      <c r="C41" s="1374" t="s">
        <v>1438</v>
      </c>
      <c r="D41" s="1375"/>
      <c r="E41" s="1375"/>
      <c r="F41" s="1375"/>
      <c r="G41" s="1375"/>
      <c r="H41" s="1375"/>
      <c r="I41" s="1375"/>
      <c r="J41" s="1375"/>
      <c r="K41" s="1375"/>
      <c r="L41" s="1376"/>
    </row>
    <row r="42" spans="1:12" ht="15.75" customHeight="1" thickBot="1">
      <c r="A42" s="1338" t="s">
        <v>1345</v>
      </c>
      <c r="B42" s="1339"/>
      <c r="C42" s="1340" t="s">
        <v>17</v>
      </c>
      <c r="D42" s="1341"/>
      <c r="E42" s="1341"/>
      <c r="F42" s="1341"/>
      <c r="G42" s="1341"/>
      <c r="H42" s="1341"/>
      <c r="I42" s="1341"/>
      <c r="J42" s="1341"/>
      <c r="K42" s="1341"/>
      <c r="L42" s="1342"/>
    </row>
    <row r="43" spans="1:18" ht="15.75" thickBot="1">
      <c r="A43" s="1338" t="s">
        <v>1347</v>
      </c>
      <c r="B43" s="1339"/>
      <c r="C43" s="1340" t="s">
        <v>1439</v>
      </c>
      <c r="D43" s="1341"/>
      <c r="E43" s="1341"/>
      <c r="F43" s="1341"/>
      <c r="G43" s="1341"/>
      <c r="H43" s="1341"/>
      <c r="I43" s="1341"/>
      <c r="J43" s="1341"/>
      <c r="K43" s="1341"/>
      <c r="L43" s="1342"/>
      <c r="R43" s="508" t="s">
        <v>989</v>
      </c>
    </row>
    <row r="44" spans="1:12" ht="15.75" thickBot="1">
      <c r="A44" s="1377" t="s">
        <v>1349</v>
      </c>
      <c r="B44" s="1378"/>
      <c r="C44" s="285" t="s">
        <v>1440</v>
      </c>
      <c r="D44" s="1307" t="s">
        <v>1401</v>
      </c>
      <c r="E44" s="1379"/>
      <c r="F44" s="1379"/>
      <c r="G44" s="1379"/>
      <c r="H44" s="1379"/>
      <c r="I44" s="1379"/>
      <c r="J44" s="1379"/>
      <c r="K44" s="1379"/>
      <c r="L44" s="1380"/>
    </row>
    <row r="45" spans="1:16" ht="54" thickBot="1">
      <c r="A45" s="1364" t="s">
        <v>1402</v>
      </c>
      <c r="B45" s="1365"/>
      <c r="C45" s="1355" t="s">
        <v>1403</v>
      </c>
      <c r="D45" s="286" t="s">
        <v>1404</v>
      </c>
      <c r="E45" s="286" t="s">
        <v>1405</v>
      </c>
      <c r="F45" s="286" t="s">
        <v>1406</v>
      </c>
      <c r="G45" s="1367" t="s">
        <v>1407</v>
      </c>
      <c r="H45" s="1368"/>
      <c r="I45" s="286" t="s">
        <v>1408</v>
      </c>
      <c r="J45" s="286" t="s">
        <v>1409</v>
      </c>
      <c r="K45" s="286" t="s">
        <v>1410</v>
      </c>
      <c r="L45" s="286" t="s">
        <v>1411</v>
      </c>
      <c r="M45" s="313" t="s">
        <v>1412</v>
      </c>
      <c r="N45" s="314" t="s">
        <v>1409</v>
      </c>
      <c r="O45" s="314" t="s">
        <v>1413</v>
      </c>
      <c r="P45" s="314" t="s">
        <v>1414</v>
      </c>
    </row>
    <row r="46" spans="1:16" ht="15" customHeight="1">
      <c r="A46" s="1321" t="s">
        <v>1415</v>
      </c>
      <c r="B46" s="1321" t="s">
        <v>1416</v>
      </c>
      <c r="C46" s="1357"/>
      <c r="D46" s="1321" t="s">
        <v>13</v>
      </c>
      <c r="E46" s="1321" t="s">
        <v>1417</v>
      </c>
      <c r="F46" s="1321" t="s">
        <v>8</v>
      </c>
      <c r="G46" s="1354" t="s">
        <v>1418</v>
      </c>
      <c r="H46" s="1355"/>
      <c r="I46" s="1321" t="s">
        <v>1419</v>
      </c>
      <c r="J46" s="1321" t="s">
        <v>1420</v>
      </c>
      <c r="K46" s="1321" t="s">
        <v>1421</v>
      </c>
      <c r="L46" s="1321" t="s">
        <v>1422</v>
      </c>
      <c r="M46" s="1428" t="s">
        <v>830</v>
      </c>
      <c r="N46" s="1428" t="s">
        <v>624</v>
      </c>
      <c r="O46" s="1428" t="s">
        <v>831</v>
      </c>
      <c r="P46" s="1428" t="s">
        <v>832</v>
      </c>
    </row>
    <row r="47" spans="1:16" ht="15.75" thickBot="1">
      <c r="A47" s="1326"/>
      <c r="B47" s="1326"/>
      <c r="C47" s="1357"/>
      <c r="D47" s="1322"/>
      <c r="E47" s="1322"/>
      <c r="F47" s="1322"/>
      <c r="G47" s="1370" t="s">
        <v>1423</v>
      </c>
      <c r="H47" s="1371"/>
      <c r="I47" s="1322"/>
      <c r="J47" s="1322"/>
      <c r="K47" s="1322"/>
      <c r="L47" s="1322"/>
      <c r="M47" s="1429"/>
      <c r="N47" s="1429"/>
      <c r="O47" s="1429"/>
      <c r="P47" s="1429"/>
    </row>
    <row r="48" spans="1:16" ht="15">
      <c r="A48" s="1326"/>
      <c r="B48" s="1326"/>
      <c r="C48" s="1357"/>
      <c r="D48" s="1321"/>
      <c r="E48" s="1321" t="s">
        <v>1424</v>
      </c>
      <c r="F48" s="1321" t="s">
        <v>1425</v>
      </c>
      <c r="G48" s="1354" t="s">
        <v>1426</v>
      </c>
      <c r="H48" s="1355"/>
      <c r="I48" s="1045" t="s">
        <v>1427</v>
      </c>
      <c r="J48" s="1045" t="s">
        <v>1428</v>
      </c>
      <c r="K48" s="1045" t="s">
        <v>1429</v>
      </c>
      <c r="L48" s="1045" t="s">
        <v>1430</v>
      </c>
      <c r="M48" s="1429"/>
      <c r="N48" s="1429"/>
      <c r="O48" s="1429"/>
      <c r="P48" s="1429"/>
    </row>
    <row r="49" spans="1:16" ht="30" thickBot="1">
      <c r="A49" s="1326"/>
      <c r="B49" s="1326"/>
      <c r="C49" s="1357"/>
      <c r="D49" s="1322"/>
      <c r="E49" s="1322"/>
      <c r="F49" s="1322"/>
      <c r="G49" s="1370"/>
      <c r="H49" s="1371"/>
      <c r="I49" s="1047" t="s">
        <v>833</v>
      </c>
      <c r="J49" s="1047" t="s">
        <v>833</v>
      </c>
      <c r="K49" s="1047" t="s">
        <v>833</v>
      </c>
      <c r="L49" s="1047" t="s">
        <v>833</v>
      </c>
      <c r="M49" s="1429"/>
      <c r="N49" s="1429"/>
      <c r="O49" s="1429"/>
      <c r="P49" s="1429"/>
    </row>
    <row r="50" spans="1:16" ht="15.75" thickBot="1">
      <c r="A50" s="1369"/>
      <c r="B50" s="1369"/>
      <c r="C50" s="1366"/>
      <c r="D50" s="288" t="s">
        <v>14</v>
      </c>
      <c r="E50" s="288" t="s">
        <v>834</v>
      </c>
      <c r="F50" s="288" t="s">
        <v>835</v>
      </c>
      <c r="G50" s="1372" t="s">
        <v>836</v>
      </c>
      <c r="H50" s="1373"/>
      <c r="I50" s="288" t="s">
        <v>1431</v>
      </c>
      <c r="J50" s="288" t="s">
        <v>1432</v>
      </c>
      <c r="K50" s="288" t="s">
        <v>1433</v>
      </c>
      <c r="L50" s="288" t="s">
        <v>1434</v>
      </c>
      <c r="M50" s="1430"/>
      <c r="N50" s="1430"/>
      <c r="O50" s="1430"/>
      <c r="P50" s="1430"/>
    </row>
    <row r="51" spans="1:16" ht="15.75" thickBot="1" thickTop="1">
      <c r="A51" s="1330" t="s">
        <v>1634</v>
      </c>
      <c r="B51" s="1330" t="s">
        <v>1435</v>
      </c>
      <c r="C51" s="1403" t="s">
        <v>15</v>
      </c>
      <c r="D51" s="1406">
        <v>0</v>
      </c>
      <c r="E51" s="1409">
        <f>+'FACTORES DE CONVERSIÓN'!$C$202</f>
        <v>6.5</v>
      </c>
      <c r="F51" s="1409">
        <f>'FACTORES DE CONVERSIÓN'!C216</f>
        <v>1</v>
      </c>
      <c r="G51" s="315" t="s">
        <v>837</v>
      </c>
      <c r="H51" s="316">
        <f>'3C1 FACTORES DE EMISIÓN'!$B$3</f>
        <v>2.7</v>
      </c>
      <c r="I51" s="316">
        <f>D51*F51*E51*H51*(10^(-3))</f>
        <v>0</v>
      </c>
      <c r="J51" s="317"/>
      <c r="K51" s="317"/>
      <c r="L51" s="317"/>
      <c r="M51" s="317">
        <f>+I51*'FACTORES DE CONVERSIÓN'!$B$16/'FACTORES DE CONVERSIÓN'!$C$28</f>
        <v>0</v>
      </c>
      <c r="N51" s="317"/>
      <c r="O51" s="317"/>
      <c r="P51" s="317"/>
    </row>
    <row r="52" spans="1:16" ht="13.5" thickBot="1">
      <c r="A52" s="1326"/>
      <c r="B52" s="1326"/>
      <c r="C52" s="1404"/>
      <c r="D52" s="1407"/>
      <c r="E52" s="1407"/>
      <c r="F52" s="1407"/>
      <c r="G52" s="315" t="s">
        <v>16</v>
      </c>
      <c r="H52" s="316">
        <f>'3C1 FACTORES DE EMISIÓN'!$B$4</f>
        <v>92</v>
      </c>
      <c r="I52" s="317"/>
      <c r="J52" s="316">
        <f>D51*F51*E51*H52*(10^(-3))</f>
        <v>0</v>
      </c>
      <c r="K52" s="317"/>
      <c r="L52" s="317"/>
      <c r="M52" s="317"/>
      <c r="N52" s="317">
        <f>+J52*'FACTORES DE CONVERSIÓN'!$B$16/'FACTORES DE CONVERSIÓN'!$C$28</f>
        <v>0</v>
      </c>
      <c r="O52" s="317"/>
      <c r="P52" s="317"/>
    </row>
    <row r="53" spans="1:16" ht="15" thickBot="1">
      <c r="A53" s="1326"/>
      <c r="B53" s="1326"/>
      <c r="C53" s="1404"/>
      <c r="D53" s="1407"/>
      <c r="E53" s="1407"/>
      <c r="F53" s="1407"/>
      <c r="G53" s="315" t="s">
        <v>838</v>
      </c>
      <c r="H53" s="316">
        <f>'3C1 FACTORES DE EMISIÓN'!$B$5</f>
        <v>0.07</v>
      </c>
      <c r="I53" s="317"/>
      <c r="J53" s="317"/>
      <c r="K53" s="316">
        <f>D51*F51*E51*H53*(10^(-3))</f>
        <v>0</v>
      </c>
      <c r="L53" s="317"/>
      <c r="M53" s="317"/>
      <c r="N53" s="317"/>
      <c r="O53" s="317">
        <f>+K53*'FACTORES DE CONVERSIÓN'!$B$16/'FACTORES DE CONVERSIÓN'!$C$28</f>
        <v>0</v>
      </c>
      <c r="P53" s="317"/>
    </row>
    <row r="54" spans="1:16" ht="15" thickBot="1">
      <c r="A54" s="1326"/>
      <c r="B54" s="1326"/>
      <c r="C54" s="1405"/>
      <c r="D54" s="1408"/>
      <c r="E54" s="1408"/>
      <c r="F54" s="1408"/>
      <c r="G54" s="315" t="s">
        <v>839</v>
      </c>
      <c r="H54" s="316">
        <f>'3C1 FACTORES DE EMISIÓN'!$B$6</f>
        <v>2.5</v>
      </c>
      <c r="I54" s="317"/>
      <c r="J54" s="317"/>
      <c r="K54" s="317"/>
      <c r="L54" s="316">
        <f>D51*F51*E51*H54*(10^(-3))</f>
        <v>0</v>
      </c>
      <c r="M54" s="317"/>
      <c r="N54" s="317"/>
      <c r="O54" s="317"/>
      <c r="P54" s="317">
        <f>+L54*'FACTORES DE CONVERSIÓN'!$B$16/'FACTORES DE CONVERSIÓN'!$C$28</f>
        <v>0</v>
      </c>
    </row>
    <row r="55" spans="1:16" ht="15" thickBot="1">
      <c r="A55" s="1384" t="s">
        <v>4</v>
      </c>
      <c r="B55" s="1385"/>
      <c r="C55" s="1386"/>
      <c r="D55" s="1393"/>
      <c r="E55" s="1393"/>
      <c r="F55" s="1393"/>
      <c r="G55" s="1396" t="s">
        <v>837</v>
      </c>
      <c r="H55" s="1397"/>
      <c r="I55" s="321">
        <f>+SUM(I51:I54)</f>
        <v>0</v>
      </c>
      <c r="J55" s="298"/>
      <c r="K55" s="298"/>
      <c r="L55" s="298"/>
      <c r="M55" s="322">
        <f>+SUM(M51:M54)</f>
        <v>0</v>
      </c>
      <c r="N55" s="323"/>
      <c r="O55" s="323"/>
      <c r="P55" s="323"/>
    </row>
    <row r="56" spans="1:16" ht="13.5" thickBot="1">
      <c r="A56" s="1387"/>
      <c r="B56" s="1388"/>
      <c r="C56" s="1389"/>
      <c r="D56" s="1394"/>
      <c r="E56" s="1394"/>
      <c r="F56" s="1394"/>
      <c r="G56" s="1396" t="s">
        <v>16</v>
      </c>
      <c r="H56" s="1398"/>
      <c r="I56" s="298"/>
      <c r="J56" s="321">
        <f>+SUM(J51:J54)</f>
        <v>0</v>
      </c>
      <c r="K56" s="298"/>
      <c r="L56" s="298"/>
      <c r="M56" s="323"/>
      <c r="N56" s="322">
        <f>+SUM(N51:N54)</f>
        <v>0</v>
      </c>
      <c r="O56" s="323"/>
      <c r="P56" s="323"/>
    </row>
    <row r="57" spans="1:16" ht="15" thickBot="1">
      <c r="A57" s="1387"/>
      <c r="B57" s="1388"/>
      <c r="C57" s="1389"/>
      <c r="D57" s="1394"/>
      <c r="E57" s="1394"/>
      <c r="F57" s="1394"/>
      <c r="G57" s="1396" t="s">
        <v>838</v>
      </c>
      <c r="H57" s="1398"/>
      <c r="I57" s="298"/>
      <c r="J57" s="298"/>
      <c r="K57" s="321">
        <f>+SUM(K51:K54)</f>
        <v>0</v>
      </c>
      <c r="L57" s="298"/>
      <c r="M57" s="323"/>
      <c r="N57" s="323"/>
      <c r="O57" s="322">
        <f>+SUM(O51:O54)</f>
        <v>0</v>
      </c>
      <c r="P57" s="323"/>
    </row>
    <row r="58" spans="1:16" ht="15" thickBot="1">
      <c r="A58" s="1390"/>
      <c r="B58" s="1391"/>
      <c r="C58" s="1392"/>
      <c r="D58" s="1395"/>
      <c r="E58" s="1395"/>
      <c r="F58" s="1395"/>
      <c r="G58" s="1396" t="s">
        <v>839</v>
      </c>
      <c r="H58" s="1398"/>
      <c r="I58" s="298"/>
      <c r="J58" s="298"/>
      <c r="K58" s="298"/>
      <c r="L58" s="321">
        <f>+SUM(L51:L54)</f>
        <v>0</v>
      </c>
      <c r="M58" s="323"/>
      <c r="N58" s="323"/>
      <c r="O58" s="323"/>
      <c r="P58" s="322">
        <f>+SUM(P51:P54)</f>
        <v>0</v>
      </c>
    </row>
    <row r="59" spans="1:12" ht="15">
      <c r="A59" s="1331" t="s">
        <v>1441</v>
      </c>
      <c r="B59" s="1332"/>
      <c r="C59" s="1332"/>
      <c r="D59" s="1332"/>
      <c r="E59" s="1332"/>
      <c r="F59" s="1332"/>
      <c r="G59" s="1332"/>
      <c r="H59" s="1332"/>
      <c r="I59" s="1332"/>
      <c r="J59" s="1332"/>
      <c r="K59" s="1332"/>
      <c r="L59" s="1410"/>
    </row>
    <row r="60" spans="1:12" ht="15">
      <c r="A60" s="1315" t="s">
        <v>1442</v>
      </c>
      <c r="B60" s="1316"/>
      <c r="C60" s="1316"/>
      <c r="D60" s="1316"/>
      <c r="E60" s="1316"/>
      <c r="F60" s="1316"/>
      <c r="G60" s="1316"/>
      <c r="H60" s="1316"/>
      <c r="I60" s="1316"/>
      <c r="J60" s="1316"/>
      <c r="K60" s="1316"/>
      <c r="L60" s="1399"/>
    </row>
    <row r="61" spans="1:13" ht="27.75" customHeight="1" thickBot="1">
      <c r="A61" s="1400" t="s">
        <v>1443</v>
      </c>
      <c r="B61" s="1401"/>
      <c r="C61" s="1401"/>
      <c r="D61" s="1401"/>
      <c r="E61" s="1401"/>
      <c r="F61" s="1401"/>
      <c r="G61" s="1401"/>
      <c r="H61" s="1401"/>
      <c r="I61" s="1401"/>
      <c r="J61" s="1401"/>
      <c r="K61" s="1401"/>
      <c r="L61" s="1402"/>
      <c r="M61" s="151"/>
    </row>
    <row r="62" ht="12.75"/>
    <row r="63" ht="13.5" thickBot="1"/>
    <row r="64" spans="1:12" ht="13.5" thickBot="1">
      <c r="A64" s="1338" t="s">
        <v>0</v>
      </c>
      <c r="B64" s="1339"/>
      <c r="C64" s="1340" t="s">
        <v>574</v>
      </c>
      <c r="D64" s="1341"/>
      <c r="E64" s="1341"/>
      <c r="F64" s="1341"/>
      <c r="G64" s="1341"/>
      <c r="H64" s="1341"/>
      <c r="I64" s="1341"/>
      <c r="J64" s="1341"/>
      <c r="K64" s="1341"/>
      <c r="L64" s="1342"/>
    </row>
    <row r="65" spans="1:12" ht="15.75" customHeight="1" thickBot="1">
      <c r="A65" s="1338" t="s">
        <v>1343</v>
      </c>
      <c r="B65" s="1339"/>
      <c r="C65" s="1374" t="s">
        <v>1444</v>
      </c>
      <c r="D65" s="1375"/>
      <c r="E65" s="1375"/>
      <c r="F65" s="1375"/>
      <c r="G65" s="1375"/>
      <c r="H65" s="1375"/>
      <c r="I65" s="1375"/>
      <c r="J65" s="1375"/>
      <c r="K65" s="1375"/>
      <c r="L65" s="1376"/>
    </row>
    <row r="66" spans="1:12" ht="15.75" customHeight="1" thickBot="1">
      <c r="A66" s="1338" t="s">
        <v>1345</v>
      </c>
      <c r="B66" s="1339"/>
      <c r="C66" s="1340" t="s">
        <v>18</v>
      </c>
      <c r="D66" s="1341"/>
      <c r="E66" s="1341"/>
      <c r="F66" s="1341"/>
      <c r="G66" s="1341"/>
      <c r="H66" s="1341"/>
      <c r="I66" s="1341"/>
      <c r="J66" s="1341"/>
      <c r="K66" s="1341"/>
      <c r="L66" s="1342"/>
    </row>
    <row r="67" spans="1:18" ht="15.75" thickBot="1">
      <c r="A67" s="1338" t="s">
        <v>1347</v>
      </c>
      <c r="B67" s="1339"/>
      <c r="C67" s="1340" t="s">
        <v>1398</v>
      </c>
      <c r="D67" s="1341"/>
      <c r="E67" s="1341"/>
      <c r="F67" s="1341"/>
      <c r="G67" s="1341"/>
      <c r="H67" s="1341"/>
      <c r="I67" s="1341"/>
      <c r="J67" s="1341"/>
      <c r="K67" s="1341"/>
      <c r="L67" s="1342"/>
      <c r="R67" s="508" t="s">
        <v>989</v>
      </c>
    </row>
    <row r="68" spans="1:12" ht="26.25" thickBot="1">
      <c r="A68" s="1377" t="s">
        <v>1349</v>
      </c>
      <c r="B68" s="1378"/>
      <c r="C68" s="285" t="s">
        <v>1400</v>
      </c>
      <c r="D68" s="1307" t="s">
        <v>1401</v>
      </c>
      <c r="E68" s="1379"/>
      <c r="F68" s="1379"/>
      <c r="G68" s="1379"/>
      <c r="H68" s="1379"/>
      <c r="I68" s="1379"/>
      <c r="J68" s="1379"/>
      <c r="K68" s="1379"/>
      <c r="L68" s="1380"/>
    </row>
    <row r="69" spans="1:16" ht="75.75" thickBot="1">
      <c r="A69" s="1364" t="s">
        <v>1402</v>
      </c>
      <c r="B69" s="1365"/>
      <c r="C69" s="1355" t="s">
        <v>1403</v>
      </c>
      <c r="D69" s="286" t="s">
        <v>1404</v>
      </c>
      <c r="E69" s="286" t="s">
        <v>1405</v>
      </c>
      <c r="F69" s="286" t="s">
        <v>1406</v>
      </c>
      <c r="G69" s="1367" t="s">
        <v>1407</v>
      </c>
      <c r="H69" s="1368"/>
      <c r="I69" s="286" t="s">
        <v>1408</v>
      </c>
      <c r="J69" s="286" t="s">
        <v>1409</v>
      </c>
      <c r="K69" s="286" t="s">
        <v>1410</v>
      </c>
      <c r="L69" s="286" t="s">
        <v>1411</v>
      </c>
      <c r="M69" s="313" t="s">
        <v>1412</v>
      </c>
      <c r="N69" s="314" t="s">
        <v>1409</v>
      </c>
      <c r="O69" s="314" t="s">
        <v>1413</v>
      </c>
      <c r="P69" s="314" t="s">
        <v>1414</v>
      </c>
    </row>
    <row r="70" spans="1:16" ht="15" customHeight="1">
      <c r="A70" s="1321" t="s">
        <v>1415</v>
      </c>
      <c r="B70" s="1321" t="s">
        <v>1416</v>
      </c>
      <c r="C70" s="1357"/>
      <c r="D70" s="1321" t="s">
        <v>13</v>
      </c>
      <c r="E70" s="1321" t="s">
        <v>1417</v>
      </c>
      <c r="F70" s="1321" t="s">
        <v>8</v>
      </c>
      <c r="G70" s="1354" t="s">
        <v>1418</v>
      </c>
      <c r="H70" s="1355"/>
      <c r="I70" s="1321" t="s">
        <v>1419</v>
      </c>
      <c r="J70" s="1321" t="s">
        <v>1420</v>
      </c>
      <c r="K70" s="1321" t="s">
        <v>1421</v>
      </c>
      <c r="L70" s="1321" t="s">
        <v>1422</v>
      </c>
      <c r="M70" s="1428" t="s">
        <v>830</v>
      </c>
      <c r="N70" s="1428" t="s">
        <v>624</v>
      </c>
      <c r="O70" s="1428" t="s">
        <v>831</v>
      </c>
      <c r="P70" s="1428" t="s">
        <v>832</v>
      </c>
    </row>
    <row r="71" spans="1:16" ht="15.75" thickBot="1">
      <c r="A71" s="1326"/>
      <c r="B71" s="1326"/>
      <c r="C71" s="1357"/>
      <c r="D71" s="1322"/>
      <c r="E71" s="1322"/>
      <c r="F71" s="1322"/>
      <c r="G71" s="1370" t="s">
        <v>1423</v>
      </c>
      <c r="H71" s="1371"/>
      <c r="I71" s="1322"/>
      <c r="J71" s="1322"/>
      <c r="K71" s="1322"/>
      <c r="L71" s="1322"/>
      <c r="M71" s="1429"/>
      <c r="N71" s="1429"/>
      <c r="O71" s="1429"/>
      <c r="P71" s="1429"/>
    </row>
    <row r="72" spans="1:16" ht="14.25">
      <c r="A72" s="1326"/>
      <c r="B72" s="1326"/>
      <c r="C72" s="1357"/>
      <c r="D72" s="1321"/>
      <c r="E72" s="1321" t="s">
        <v>1424</v>
      </c>
      <c r="F72" s="1321" t="s">
        <v>1425</v>
      </c>
      <c r="G72" s="1354" t="s">
        <v>1426</v>
      </c>
      <c r="H72" s="1355"/>
      <c r="I72" s="1045" t="s">
        <v>1427</v>
      </c>
      <c r="J72" s="1045" t="s">
        <v>1428</v>
      </c>
      <c r="K72" s="1045" t="s">
        <v>1429</v>
      </c>
      <c r="L72" s="1045" t="s">
        <v>1430</v>
      </c>
      <c r="M72" s="1429"/>
      <c r="N72" s="1429"/>
      <c r="O72" s="1429"/>
      <c r="P72" s="1429"/>
    </row>
    <row r="73" spans="1:16" ht="30.75" thickBot="1">
      <c r="A73" s="1326"/>
      <c r="B73" s="1326"/>
      <c r="C73" s="1357"/>
      <c r="D73" s="1322"/>
      <c r="E73" s="1322"/>
      <c r="F73" s="1322"/>
      <c r="G73" s="1370"/>
      <c r="H73" s="1371"/>
      <c r="I73" s="1047" t="s">
        <v>833</v>
      </c>
      <c r="J73" s="1047" t="s">
        <v>833</v>
      </c>
      <c r="K73" s="1047" t="s">
        <v>833</v>
      </c>
      <c r="L73" s="1047" t="s">
        <v>833</v>
      </c>
      <c r="M73" s="1429"/>
      <c r="N73" s="1429"/>
      <c r="O73" s="1429"/>
      <c r="P73" s="1429"/>
    </row>
    <row r="74" spans="1:16" ht="15" thickBot="1">
      <c r="A74" s="1369"/>
      <c r="B74" s="1369"/>
      <c r="C74" s="1366"/>
      <c r="D74" s="288" t="s">
        <v>14</v>
      </c>
      <c r="E74" s="288" t="s">
        <v>834</v>
      </c>
      <c r="F74" s="288" t="s">
        <v>835</v>
      </c>
      <c r="G74" s="1372" t="s">
        <v>836</v>
      </c>
      <c r="H74" s="1373"/>
      <c r="I74" s="288" t="s">
        <v>1431</v>
      </c>
      <c r="J74" s="288" t="s">
        <v>1432</v>
      </c>
      <c r="K74" s="288" t="s">
        <v>1433</v>
      </c>
      <c r="L74" s="288" t="s">
        <v>1434</v>
      </c>
      <c r="M74" s="1430"/>
      <c r="N74" s="1430"/>
      <c r="O74" s="1430"/>
      <c r="P74" s="1430"/>
    </row>
    <row r="75" spans="1:16" ht="15.75" thickBot="1" thickTop="1">
      <c r="A75" s="1330" t="s">
        <v>1445</v>
      </c>
      <c r="B75" s="1330" t="s">
        <v>1445</v>
      </c>
      <c r="C75" s="1330" t="s">
        <v>15</v>
      </c>
      <c r="D75" s="1412">
        <f>'3C1 INFO PROC'!D41</f>
        <v>7609128.185879999</v>
      </c>
      <c r="E75" s="1415">
        <f>'FACTORES DE CONVERSIÓN'!$C$198</f>
        <v>2.1</v>
      </c>
      <c r="F75" s="1415">
        <f>'FACTORES DE CONVERSIÓN'!C216</f>
        <v>1</v>
      </c>
      <c r="G75" s="315" t="s">
        <v>837</v>
      </c>
      <c r="H75" s="316">
        <f>'3C1 FACTORES DE EMISIÓN'!$C$3</f>
        <v>2.3</v>
      </c>
      <c r="I75" s="316">
        <f>D75*F75*E75*H75*(10^(-3))</f>
        <v>36752.08913780039</v>
      </c>
      <c r="J75" s="317"/>
      <c r="K75" s="317"/>
      <c r="L75" s="317"/>
      <c r="M75" s="317">
        <f>+I75*'FACTORES DE CONVERSIÓN'!$B$16/'FACTORES DE CONVERSIÓN'!$C$28</f>
        <v>36.75208913780038</v>
      </c>
      <c r="N75" s="317"/>
      <c r="O75" s="317"/>
      <c r="P75" s="317"/>
    </row>
    <row r="76" spans="1:16" ht="13.5" thickBot="1">
      <c r="A76" s="1326"/>
      <c r="B76" s="1326"/>
      <c r="C76" s="1326"/>
      <c r="D76" s="1413"/>
      <c r="E76" s="1416"/>
      <c r="F76" s="1416"/>
      <c r="G76" s="315" t="s">
        <v>16</v>
      </c>
      <c r="H76" s="316">
        <f>'3C1 FACTORES DE EMISIÓN'!$C$4</f>
        <v>65</v>
      </c>
      <c r="I76" s="317"/>
      <c r="J76" s="316">
        <f>D75*F75*E75*H76*(10^(-3))</f>
        <v>1038645.9973726199</v>
      </c>
      <c r="K76" s="317"/>
      <c r="L76" s="317"/>
      <c r="M76" s="317"/>
      <c r="N76" s="317">
        <f>+J76*'FACTORES DE CONVERSIÓN'!$B$16/'FACTORES DE CONVERSIÓN'!$C$28</f>
        <v>1038.6459973726198</v>
      </c>
      <c r="O76" s="317"/>
      <c r="P76" s="317"/>
    </row>
    <row r="77" spans="1:16" ht="15" thickBot="1">
      <c r="A77" s="1326"/>
      <c r="B77" s="1326"/>
      <c r="C77" s="1326"/>
      <c r="D77" s="1413"/>
      <c r="E77" s="1416"/>
      <c r="F77" s="1416"/>
      <c r="G77" s="315" t="s">
        <v>838</v>
      </c>
      <c r="H77" s="316">
        <f>'3C1 FACTORES DE EMISIÓN'!$C$5</f>
        <v>0.21</v>
      </c>
      <c r="I77" s="317"/>
      <c r="J77" s="317"/>
      <c r="K77" s="316">
        <f>D75*F75*E75*H77*(10^(-3))</f>
        <v>3355.6255299730797</v>
      </c>
      <c r="L77" s="317"/>
      <c r="M77" s="317"/>
      <c r="N77" s="317"/>
      <c r="O77" s="317">
        <f>+K77*'FACTORES DE CONVERSIÓN'!$B$16/'FACTORES DE CONVERSIÓN'!$C$28</f>
        <v>3.3556255299730795</v>
      </c>
      <c r="P77" s="317"/>
    </row>
    <row r="78" spans="1:16" ht="15" thickBot="1">
      <c r="A78" s="1326"/>
      <c r="B78" s="1326"/>
      <c r="C78" s="1411"/>
      <c r="D78" s="1414"/>
      <c r="E78" s="1417"/>
      <c r="F78" s="1417"/>
      <c r="G78" s="315" t="s">
        <v>839</v>
      </c>
      <c r="H78" s="316">
        <f>'3C1 FACTORES DE EMISIÓN'!$C$6</f>
        <v>3.9</v>
      </c>
      <c r="I78" s="317"/>
      <c r="J78" s="317"/>
      <c r="K78" s="317"/>
      <c r="L78" s="316">
        <f>D75*F75*E75*H78*(10^(-3))</f>
        <v>62318.75984235719</v>
      </c>
      <c r="M78" s="317"/>
      <c r="N78" s="317"/>
      <c r="O78" s="317"/>
      <c r="P78" s="317">
        <f>+L78*'FACTORES DE CONVERSIÓN'!$B$16/'FACTORES DE CONVERSIÓN'!$C$28</f>
        <v>62.318759842357196</v>
      </c>
    </row>
    <row r="79" spans="1:16" ht="15" thickBot="1">
      <c r="A79" s="1418" t="s">
        <v>4</v>
      </c>
      <c r="B79" s="1419"/>
      <c r="C79" s="1420"/>
      <c r="D79" s="1393"/>
      <c r="E79" s="1393"/>
      <c r="F79" s="1393"/>
      <c r="G79" s="1396" t="s">
        <v>837</v>
      </c>
      <c r="H79" s="1397"/>
      <c r="I79" s="478">
        <f>+SUM(I71:I78)</f>
        <v>36752.08913780039</v>
      </c>
      <c r="J79" s="479"/>
      <c r="K79" s="479"/>
      <c r="L79" s="479"/>
      <c r="M79" s="480">
        <f>+SUM(M71:M78)</f>
        <v>36.75208913780038</v>
      </c>
      <c r="N79" s="481"/>
      <c r="O79" s="481"/>
      <c r="P79" s="481"/>
    </row>
    <row r="80" spans="1:16" ht="13.5" thickBot="1">
      <c r="A80" s="1421"/>
      <c r="B80" s="1422"/>
      <c r="C80" s="1423"/>
      <c r="D80" s="1394"/>
      <c r="E80" s="1394"/>
      <c r="F80" s="1394"/>
      <c r="G80" s="1396" t="s">
        <v>16</v>
      </c>
      <c r="H80" s="1398"/>
      <c r="I80" s="479"/>
      <c r="J80" s="478">
        <f>+SUM(J71:J78)</f>
        <v>1038645.9973726199</v>
      </c>
      <c r="K80" s="479"/>
      <c r="L80" s="479"/>
      <c r="M80" s="481"/>
      <c r="N80" s="480">
        <f>+SUM(N71:N78)</f>
        <v>1038.6459973726198</v>
      </c>
      <c r="O80" s="481"/>
      <c r="P80" s="481"/>
    </row>
    <row r="81" spans="1:16" ht="15" thickBot="1">
      <c r="A81" s="1421"/>
      <c r="B81" s="1422"/>
      <c r="C81" s="1423"/>
      <c r="D81" s="1394"/>
      <c r="E81" s="1394"/>
      <c r="F81" s="1394"/>
      <c r="G81" s="1396" t="s">
        <v>838</v>
      </c>
      <c r="H81" s="1398"/>
      <c r="I81" s="479"/>
      <c r="J81" s="479"/>
      <c r="K81" s="478">
        <f>+SUM(K71:K78)</f>
        <v>3355.6255299730797</v>
      </c>
      <c r="L81" s="479"/>
      <c r="M81" s="481"/>
      <c r="N81" s="481"/>
      <c r="O81" s="480">
        <f>+SUM(O71:O78)</f>
        <v>3.3556255299730795</v>
      </c>
      <c r="P81" s="481"/>
    </row>
    <row r="82" spans="1:16" ht="15" thickBot="1">
      <c r="A82" s="1424"/>
      <c r="B82" s="1425"/>
      <c r="C82" s="1426"/>
      <c r="D82" s="1395"/>
      <c r="E82" s="1395"/>
      <c r="F82" s="1395"/>
      <c r="G82" s="1396" t="s">
        <v>839</v>
      </c>
      <c r="H82" s="1398"/>
      <c r="I82" s="479"/>
      <c r="J82" s="479"/>
      <c r="K82" s="479"/>
      <c r="L82" s="478">
        <f>+SUM(L71:L78)</f>
        <v>62318.75984235719</v>
      </c>
      <c r="M82" s="481"/>
      <c r="N82" s="481"/>
      <c r="O82" s="481"/>
      <c r="P82" s="480">
        <f>+SUM(P71:P78)</f>
        <v>62.318759842357196</v>
      </c>
    </row>
    <row r="83" spans="1:12" ht="15.75" customHeight="1">
      <c r="A83" s="1331" t="s">
        <v>1436</v>
      </c>
      <c r="B83" s="1332"/>
      <c r="C83" s="1332"/>
      <c r="D83" s="1332"/>
      <c r="E83" s="1332"/>
      <c r="F83" s="1332"/>
      <c r="G83" s="1332"/>
      <c r="H83" s="1332"/>
      <c r="I83" s="1332"/>
      <c r="J83" s="1332"/>
      <c r="K83" s="1332"/>
      <c r="L83" s="1410"/>
    </row>
    <row r="84" spans="1:12" ht="30.75" customHeight="1" thickBot="1">
      <c r="A84" s="1400" t="s">
        <v>1437</v>
      </c>
      <c r="B84" s="1401"/>
      <c r="C84" s="1401"/>
      <c r="D84" s="1401"/>
      <c r="E84" s="1401"/>
      <c r="F84" s="1401"/>
      <c r="G84" s="1401"/>
      <c r="H84" s="1401"/>
      <c r="I84" s="1401"/>
      <c r="J84" s="1401"/>
      <c r="K84" s="1401"/>
      <c r="L84" s="1402"/>
    </row>
    <row r="85" ht="12.75"/>
    <row r="86" ht="13.5" thickBot="1"/>
    <row r="87" spans="1:12" ht="13.5" thickBot="1">
      <c r="A87" s="1338" t="s">
        <v>0</v>
      </c>
      <c r="B87" s="1339"/>
      <c r="C87" s="1340" t="s">
        <v>574</v>
      </c>
      <c r="D87" s="1341"/>
      <c r="E87" s="1341"/>
      <c r="F87" s="1341"/>
      <c r="G87" s="1341"/>
      <c r="H87" s="1341"/>
      <c r="I87" s="1341"/>
      <c r="J87" s="1341"/>
      <c r="K87" s="1341"/>
      <c r="L87" s="1342"/>
    </row>
    <row r="88" spans="1:12" ht="15.75" customHeight="1" thickBot="1">
      <c r="A88" s="1338" t="s">
        <v>1343</v>
      </c>
      <c r="B88" s="1339"/>
      <c r="C88" s="1374" t="s">
        <v>1446</v>
      </c>
      <c r="D88" s="1375"/>
      <c r="E88" s="1375"/>
      <c r="F88" s="1375"/>
      <c r="G88" s="1375"/>
      <c r="H88" s="1375"/>
      <c r="I88" s="1375"/>
      <c r="J88" s="1375"/>
      <c r="K88" s="1375"/>
      <c r="L88" s="1376"/>
    </row>
    <row r="89" spans="1:12" ht="15.75" customHeight="1" thickBot="1">
      <c r="A89" s="1338" t="s">
        <v>1345</v>
      </c>
      <c r="B89" s="1339"/>
      <c r="C89" s="1340" t="s">
        <v>18</v>
      </c>
      <c r="D89" s="1341"/>
      <c r="E89" s="1341"/>
      <c r="F89" s="1341"/>
      <c r="G89" s="1341"/>
      <c r="H89" s="1341"/>
      <c r="I89" s="1341"/>
      <c r="J89" s="1341"/>
      <c r="K89" s="1341"/>
      <c r="L89" s="1342"/>
    </row>
    <row r="90" spans="1:18" ht="15.75" thickBot="1">
      <c r="A90" s="1338" t="s">
        <v>1347</v>
      </c>
      <c r="B90" s="1339"/>
      <c r="C90" s="1340" t="s">
        <v>1439</v>
      </c>
      <c r="D90" s="1341"/>
      <c r="E90" s="1341"/>
      <c r="F90" s="1341"/>
      <c r="G90" s="1341"/>
      <c r="H90" s="1341"/>
      <c r="I90" s="1341"/>
      <c r="J90" s="1341"/>
      <c r="K90" s="1341"/>
      <c r="L90" s="1342"/>
      <c r="R90" s="508" t="s">
        <v>989</v>
      </c>
    </row>
    <row r="91" spans="1:12" ht="15.75" thickBot="1">
      <c r="A91" s="1377" t="s">
        <v>1349</v>
      </c>
      <c r="B91" s="1378"/>
      <c r="C91" s="285" t="s">
        <v>1400</v>
      </c>
      <c r="D91" s="1307" t="s">
        <v>1401</v>
      </c>
      <c r="E91" s="1379"/>
      <c r="F91" s="1379"/>
      <c r="G91" s="1379"/>
      <c r="H91" s="1379"/>
      <c r="I91" s="1379"/>
      <c r="J91" s="1379"/>
      <c r="K91" s="1379"/>
      <c r="L91" s="1308"/>
    </row>
    <row r="92" spans="1:16" ht="75.75" thickBot="1">
      <c r="A92" s="1364" t="s">
        <v>1402</v>
      </c>
      <c r="B92" s="1365"/>
      <c r="C92" s="1355" t="s">
        <v>1403</v>
      </c>
      <c r="D92" s="286" t="s">
        <v>1404</v>
      </c>
      <c r="E92" s="286" t="s">
        <v>1405</v>
      </c>
      <c r="F92" s="286" t="s">
        <v>1406</v>
      </c>
      <c r="G92" s="1367" t="s">
        <v>1407</v>
      </c>
      <c r="H92" s="1368"/>
      <c r="I92" s="286" t="s">
        <v>1408</v>
      </c>
      <c r="J92" s="286" t="s">
        <v>1409</v>
      </c>
      <c r="K92" s="286" t="s">
        <v>1410</v>
      </c>
      <c r="L92" s="286" t="s">
        <v>1411</v>
      </c>
      <c r="M92" s="313" t="s">
        <v>1447</v>
      </c>
      <c r="N92" s="314" t="s">
        <v>1409</v>
      </c>
      <c r="O92" s="314" t="s">
        <v>1410</v>
      </c>
      <c r="P92" s="314" t="s">
        <v>1414</v>
      </c>
    </row>
    <row r="93" spans="1:16" ht="15" customHeight="1">
      <c r="A93" s="1321" t="s">
        <v>1415</v>
      </c>
      <c r="B93" s="1321" t="s">
        <v>1450</v>
      </c>
      <c r="C93" s="1357"/>
      <c r="D93" s="1321" t="s">
        <v>13</v>
      </c>
      <c r="E93" s="1321" t="s">
        <v>1417</v>
      </c>
      <c r="F93" s="1321" t="s">
        <v>8</v>
      </c>
      <c r="G93" s="1354" t="s">
        <v>1418</v>
      </c>
      <c r="H93" s="1355"/>
      <c r="I93" s="1321" t="s">
        <v>1419</v>
      </c>
      <c r="J93" s="1321" t="s">
        <v>1420</v>
      </c>
      <c r="K93" s="1321" t="s">
        <v>1421</v>
      </c>
      <c r="L93" s="1321" t="s">
        <v>1422</v>
      </c>
      <c r="M93" s="1428" t="s">
        <v>830</v>
      </c>
      <c r="N93" s="1428" t="s">
        <v>624</v>
      </c>
      <c r="O93" s="1428" t="s">
        <v>831</v>
      </c>
      <c r="P93" s="1428" t="s">
        <v>832</v>
      </c>
    </row>
    <row r="94" spans="1:16" ht="15.75" thickBot="1">
      <c r="A94" s="1326"/>
      <c r="B94" s="1326"/>
      <c r="C94" s="1357"/>
      <c r="D94" s="1322"/>
      <c r="E94" s="1322"/>
      <c r="F94" s="1322"/>
      <c r="G94" s="1370" t="s">
        <v>1423</v>
      </c>
      <c r="H94" s="1371"/>
      <c r="I94" s="1322"/>
      <c r="J94" s="1322"/>
      <c r="K94" s="1322"/>
      <c r="L94" s="1322"/>
      <c r="M94" s="1429"/>
      <c r="N94" s="1429"/>
      <c r="O94" s="1429"/>
      <c r="P94" s="1429"/>
    </row>
    <row r="95" spans="1:16" ht="15">
      <c r="A95" s="1326"/>
      <c r="B95" s="1326"/>
      <c r="C95" s="1357"/>
      <c r="D95" s="1321"/>
      <c r="E95" s="1321" t="s">
        <v>1424</v>
      </c>
      <c r="F95" s="1321" t="s">
        <v>1425</v>
      </c>
      <c r="G95" s="1354" t="s">
        <v>1426</v>
      </c>
      <c r="H95" s="1355"/>
      <c r="I95" s="1045" t="s">
        <v>1427</v>
      </c>
      <c r="J95" s="1045" t="s">
        <v>1428</v>
      </c>
      <c r="K95" s="1045" t="s">
        <v>1429</v>
      </c>
      <c r="L95" s="1045" t="s">
        <v>1430</v>
      </c>
      <c r="M95" s="1429"/>
      <c r="N95" s="1429"/>
      <c r="O95" s="1429"/>
      <c r="P95" s="1429"/>
    </row>
    <row r="96" spans="1:16" ht="30" thickBot="1">
      <c r="A96" s="1326"/>
      <c r="B96" s="1326"/>
      <c r="C96" s="1357"/>
      <c r="D96" s="1322"/>
      <c r="E96" s="1322"/>
      <c r="F96" s="1322"/>
      <c r="G96" s="1370"/>
      <c r="H96" s="1371"/>
      <c r="I96" s="1047" t="s">
        <v>833</v>
      </c>
      <c r="J96" s="1047" t="s">
        <v>833</v>
      </c>
      <c r="K96" s="1047" t="s">
        <v>833</v>
      </c>
      <c r="L96" s="1047" t="s">
        <v>833</v>
      </c>
      <c r="M96" s="1429"/>
      <c r="N96" s="1429"/>
      <c r="O96" s="1429"/>
      <c r="P96" s="1429"/>
    </row>
    <row r="97" spans="1:16" ht="15.75" thickBot="1">
      <c r="A97" s="1369"/>
      <c r="B97" s="1369"/>
      <c r="C97" s="1366"/>
      <c r="D97" s="288" t="s">
        <v>14</v>
      </c>
      <c r="E97" s="288" t="s">
        <v>834</v>
      </c>
      <c r="F97" s="288" t="s">
        <v>835</v>
      </c>
      <c r="G97" s="1372" t="s">
        <v>836</v>
      </c>
      <c r="H97" s="1373"/>
      <c r="I97" s="288" t="s">
        <v>1431</v>
      </c>
      <c r="J97" s="288" t="s">
        <v>1432</v>
      </c>
      <c r="K97" s="288" t="s">
        <v>1433</v>
      </c>
      <c r="L97" s="288" t="s">
        <v>1434</v>
      </c>
      <c r="M97" s="1430"/>
      <c r="N97" s="1430"/>
      <c r="O97" s="1430"/>
      <c r="P97" s="1430"/>
    </row>
    <row r="98" spans="1:16" ht="16.5" thickBot="1" thickTop="1">
      <c r="A98" s="1330" t="s">
        <v>1449</v>
      </c>
      <c r="B98" s="1330" t="s">
        <v>1445</v>
      </c>
      <c r="C98" s="1330" t="s">
        <v>15</v>
      </c>
      <c r="D98" s="1412">
        <f>'3C1 INFO PROC'!D45</f>
        <v>0</v>
      </c>
      <c r="E98" s="1415">
        <f>'FACTORES DE CONVERSIÓN'!$C$198</f>
        <v>2.1</v>
      </c>
      <c r="F98" s="1415">
        <f>'FACTORES DE CONVERSIÓN'!C216</f>
        <v>1</v>
      </c>
      <c r="G98" s="315" t="s">
        <v>837</v>
      </c>
      <c r="H98" s="316">
        <f>'3C1 FACTORES DE EMISIÓN'!$C$3</f>
        <v>2.3</v>
      </c>
      <c r="I98" s="316">
        <f>D98*F98*E98*H98*(10^(-3))</f>
        <v>0</v>
      </c>
      <c r="J98" s="317"/>
      <c r="K98" s="317"/>
      <c r="L98" s="317"/>
      <c r="M98" s="317">
        <f>+I98*'FACTORES DE CONVERSIÓN'!$B$16/'FACTORES DE CONVERSIÓN'!$C$28</f>
        <v>0</v>
      </c>
      <c r="N98" s="317"/>
      <c r="O98" s="317"/>
      <c r="P98" s="317"/>
    </row>
    <row r="99" spans="1:16" ht="15.75" thickBot="1">
      <c r="A99" s="1326"/>
      <c r="B99" s="1326"/>
      <c r="C99" s="1326"/>
      <c r="D99" s="1413"/>
      <c r="E99" s="1416"/>
      <c r="F99" s="1416"/>
      <c r="G99" s="315" t="s">
        <v>16</v>
      </c>
      <c r="H99" s="316">
        <f>'3C1 FACTORES DE EMISIÓN'!$C$4</f>
        <v>65</v>
      </c>
      <c r="I99" s="317"/>
      <c r="J99" s="316">
        <f>D98*F98*E98*H99*(10^(-3))</f>
        <v>0</v>
      </c>
      <c r="K99" s="317"/>
      <c r="L99" s="317"/>
      <c r="M99" s="317"/>
      <c r="N99" s="317">
        <f>+J99*'FACTORES DE CONVERSIÓN'!$B$16/'FACTORES DE CONVERSIÓN'!$C$28</f>
        <v>0</v>
      </c>
      <c r="O99" s="317"/>
      <c r="P99" s="317"/>
    </row>
    <row r="100" spans="1:16" ht="15.75" thickBot="1">
      <c r="A100" s="1326"/>
      <c r="B100" s="1326"/>
      <c r="C100" s="1326"/>
      <c r="D100" s="1413"/>
      <c r="E100" s="1416"/>
      <c r="F100" s="1416"/>
      <c r="G100" s="315" t="s">
        <v>838</v>
      </c>
      <c r="H100" s="316">
        <f>'3C1 FACTORES DE EMISIÓN'!$C$5</f>
        <v>0.21</v>
      </c>
      <c r="I100" s="317"/>
      <c r="J100" s="317"/>
      <c r="K100" s="316">
        <f>D98*F98*E98*H100*(10^(-3))</f>
        <v>0</v>
      </c>
      <c r="L100" s="317"/>
      <c r="M100" s="317"/>
      <c r="N100" s="317"/>
      <c r="O100" s="317">
        <f>+K100*'FACTORES DE CONVERSIÓN'!$B$16/'FACTORES DE CONVERSIÓN'!$C$28</f>
        <v>0</v>
      </c>
      <c r="P100" s="317"/>
    </row>
    <row r="101" spans="1:16" ht="15.75" thickBot="1">
      <c r="A101" s="1326"/>
      <c r="B101" s="1326"/>
      <c r="C101" s="1322"/>
      <c r="D101" s="1414"/>
      <c r="E101" s="1417"/>
      <c r="F101" s="1417"/>
      <c r="G101" s="315" t="s">
        <v>839</v>
      </c>
      <c r="H101" s="316">
        <f>'3C1 FACTORES DE EMISIÓN'!$C$6</f>
        <v>3.9</v>
      </c>
      <c r="I101" s="317"/>
      <c r="J101" s="317"/>
      <c r="K101" s="317"/>
      <c r="L101" s="316">
        <f>D98*F98*E98*H101*(10^(-3))</f>
        <v>0</v>
      </c>
      <c r="M101" s="317"/>
      <c r="N101" s="317"/>
      <c r="O101" s="317"/>
      <c r="P101" s="317">
        <f>+L101*'FACTORES DE CONVERSIÓN'!$B$16/'FACTORES DE CONVERSIÓN'!$C$28</f>
        <v>0</v>
      </c>
    </row>
    <row r="102" spans="1:16" ht="15.75" thickBot="1">
      <c r="A102" s="1384" t="s">
        <v>4</v>
      </c>
      <c r="B102" s="1385"/>
      <c r="C102" s="1386"/>
      <c r="D102" s="1427"/>
      <c r="E102" s="1427"/>
      <c r="F102" s="1427"/>
      <c r="G102" s="1396" t="s">
        <v>837</v>
      </c>
      <c r="H102" s="1397"/>
      <c r="I102" s="478">
        <f>+SUM(I94:I101)</f>
        <v>0</v>
      </c>
      <c r="J102" s="479"/>
      <c r="K102" s="479"/>
      <c r="L102" s="479"/>
      <c r="M102" s="480">
        <f>+SUM(M94:M101)</f>
        <v>0</v>
      </c>
      <c r="N102" s="481"/>
      <c r="O102" s="481"/>
      <c r="P102" s="481"/>
    </row>
    <row r="103" spans="1:16" ht="15.75" thickBot="1">
      <c r="A103" s="1387"/>
      <c r="B103" s="1388"/>
      <c r="C103" s="1389"/>
      <c r="D103" s="1394"/>
      <c r="E103" s="1394"/>
      <c r="F103" s="1394"/>
      <c r="G103" s="1396" t="s">
        <v>16</v>
      </c>
      <c r="H103" s="1397"/>
      <c r="I103" s="479"/>
      <c r="J103" s="478">
        <f>+SUM(J94:J101)</f>
        <v>0</v>
      </c>
      <c r="K103" s="479"/>
      <c r="L103" s="479"/>
      <c r="M103" s="481"/>
      <c r="N103" s="480">
        <f>+SUM(N94:N101)</f>
        <v>0</v>
      </c>
      <c r="O103" s="481"/>
      <c r="P103" s="481"/>
    </row>
    <row r="104" spans="1:16" ht="15.75" thickBot="1">
      <c r="A104" s="1387"/>
      <c r="B104" s="1388"/>
      <c r="C104" s="1389"/>
      <c r="D104" s="1394"/>
      <c r="E104" s="1394"/>
      <c r="F104" s="1394"/>
      <c r="G104" s="1396" t="s">
        <v>838</v>
      </c>
      <c r="H104" s="1397"/>
      <c r="I104" s="479"/>
      <c r="J104" s="479"/>
      <c r="K104" s="478">
        <f>+SUM(K94:K101)</f>
        <v>0</v>
      </c>
      <c r="L104" s="479"/>
      <c r="M104" s="481"/>
      <c r="N104" s="481"/>
      <c r="O104" s="480">
        <f>+SUM(O94:O101)</f>
        <v>0</v>
      </c>
      <c r="P104" s="481"/>
    </row>
    <row r="105" spans="1:16" ht="15.75" thickBot="1">
      <c r="A105" s="1390"/>
      <c r="B105" s="1391"/>
      <c r="C105" s="1392"/>
      <c r="D105" s="1395"/>
      <c r="E105" s="1395"/>
      <c r="F105" s="1395"/>
      <c r="G105" s="1396" t="s">
        <v>839</v>
      </c>
      <c r="H105" s="1397"/>
      <c r="I105" s="479"/>
      <c r="J105" s="479"/>
      <c r="K105" s="479"/>
      <c r="L105" s="478">
        <f>+SUM(L94:L101)</f>
        <v>0</v>
      </c>
      <c r="M105" s="481"/>
      <c r="N105" s="481"/>
      <c r="O105" s="481"/>
      <c r="P105" s="480">
        <f>+SUM(P94:P101)</f>
        <v>0</v>
      </c>
    </row>
    <row r="106" spans="1:12" ht="15.75">
      <c r="A106" s="1331" t="s">
        <v>1448</v>
      </c>
      <c r="B106" s="1332"/>
      <c r="C106" s="1332"/>
      <c r="D106" s="1332"/>
      <c r="E106" s="1332"/>
      <c r="F106" s="1332"/>
      <c r="G106" s="1332"/>
      <c r="H106" s="1332"/>
      <c r="I106" s="1332"/>
      <c r="J106" s="1332"/>
      <c r="K106" s="1332"/>
      <c r="L106" s="1410"/>
    </row>
    <row r="107" spans="1:12" ht="15.75">
      <c r="A107" s="1315" t="s">
        <v>1442</v>
      </c>
      <c r="B107" s="1316"/>
      <c r="C107" s="1316"/>
      <c r="D107" s="1316"/>
      <c r="E107" s="1316"/>
      <c r="F107" s="1316"/>
      <c r="G107" s="1316"/>
      <c r="H107" s="1316"/>
      <c r="I107" s="1316"/>
      <c r="J107" s="1316"/>
      <c r="K107" s="1316"/>
      <c r="L107" s="1399"/>
    </row>
    <row r="108" spans="1:12" ht="30.75" customHeight="1" thickBot="1">
      <c r="A108" s="1400" t="s">
        <v>1443</v>
      </c>
      <c r="B108" s="1401"/>
      <c r="C108" s="1401"/>
      <c r="D108" s="1401"/>
      <c r="E108" s="1401"/>
      <c r="F108" s="1401"/>
      <c r="G108" s="1401"/>
      <c r="H108" s="1401"/>
      <c r="I108" s="1401"/>
      <c r="J108" s="1401"/>
      <c r="K108" s="1401"/>
      <c r="L108" s="1402"/>
    </row>
  </sheetData>
  <mergeCells count="222">
    <mergeCell ref="I70:I71"/>
    <mergeCell ref="J70:J71"/>
    <mergeCell ref="K70:K71"/>
    <mergeCell ref="L70:L71"/>
    <mergeCell ref="G71:H71"/>
    <mergeCell ref="M70:M74"/>
    <mergeCell ref="N70:N74"/>
    <mergeCell ref="O70:O74"/>
    <mergeCell ref="P70:P74"/>
    <mergeCell ref="M93:M97"/>
    <mergeCell ref="N93:N97"/>
    <mergeCell ref="O93:O97"/>
    <mergeCell ref="P93:P97"/>
    <mergeCell ref="L93:L94"/>
    <mergeCell ref="M7:M11"/>
    <mergeCell ref="N7:N11"/>
    <mergeCell ref="O7:O11"/>
    <mergeCell ref="P7:P11"/>
    <mergeCell ref="M46:M50"/>
    <mergeCell ref="N46:N50"/>
    <mergeCell ref="O46:O50"/>
    <mergeCell ref="P46:P50"/>
    <mergeCell ref="C98:C101"/>
    <mergeCell ref="D98:D101"/>
    <mergeCell ref="E98:E101"/>
    <mergeCell ref="F98:F101"/>
    <mergeCell ref="A90:B90"/>
    <mergeCell ref="C90:L90"/>
    <mergeCell ref="A91:B91"/>
    <mergeCell ref="D91:L91"/>
    <mergeCell ref="A92:B92"/>
    <mergeCell ref="C92:C97"/>
    <mergeCell ref="G92:H92"/>
    <mergeCell ref="A93:A97"/>
    <mergeCell ref="B93:B97"/>
    <mergeCell ref="D93:D94"/>
    <mergeCell ref="G95:H96"/>
    <mergeCell ref="E93:E94"/>
    <mergeCell ref="F93:F94"/>
    <mergeCell ref="E79:E82"/>
    <mergeCell ref="F79:F82"/>
    <mergeCell ref="A107:L107"/>
    <mergeCell ref="A108:L108"/>
    <mergeCell ref="A102:C105"/>
    <mergeCell ref="D102:D105"/>
    <mergeCell ref="E102:E105"/>
    <mergeCell ref="F102:F105"/>
    <mergeCell ref="G102:H102"/>
    <mergeCell ref="G103:H103"/>
    <mergeCell ref="G104:H104"/>
    <mergeCell ref="G105:H105"/>
    <mergeCell ref="A106:L106"/>
    <mergeCell ref="G93:H93"/>
    <mergeCell ref="I93:I94"/>
    <mergeCell ref="J93:J94"/>
    <mergeCell ref="K93:K94"/>
    <mergeCell ref="G97:H97"/>
    <mergeCell ref="G94:H94"/>
    <mergeCell ref="D95:D96"/>
    <mergeCell ref="E95:E96"/>
    <mergeCell ref="F95:F96"/>
    <mergeCell ref="A98:A101"/>
    <mergeCell ref="B98:B101"/>
    <mergeCell ref="A89:B89"/>
    <mergeCell ref="C89:L89"/>
    <mergeCell ref="G79:H79"/>
    <mergeCell ref="G80:H80"/>
    <mergeCell ref="G81:H81"/>
    <mergeCell ref="G82:H82"/>
    <mergeCell ref="A83:L83"/>
    <mergeCell ref="A84:L84"/>
    <mergeCell ref="D72:D73"/>
    <mergeCell ref="E72:E73"/>
    <mergeCell ref="F72:F73"/>
    <mergeCell ref="G72:H73"/>
    <mergeCell ref="A75:A78"/>
    <mergeCell ref="B75:B78"/>
    <mergeCell ref="C75:C78"/>
    <mergeCell ref="D75:D78"/>
    <mergeCell ref="E75:E78"/>
    <mergeCell ref="F75:F78"/>
    <mergeCell ref="A87:B87"/>
    <mergeCell ref="C87:L87"/>
    <mergeCell ref="A88:B88"/>
    <mergeCell ref="C88:L88"/>
    <mergeCell ref="A79:C82"/>
    <mergeCell ref="D79:D82"/>
    <mergeCell ref="A69:B69"/>
    <mergeCell ref="C69:C74"/>
    <mergeCell ref="G69:H69"/>
    <mergeCell ref="A70:A74"/>
    <mergeCell ref="B70:B74"/>
    <mergeCell ref="D70:D71"/>
    <mergeCell ref="E70:E71"/>
    <mergeCell ref="F70:F71"/>
    <mergeCell ref="G70:H70"/>
    <mergeCell ref="G74:H74"/>
    <mergeCell ref="A66:B66"/>
    <mergeCell ref="C66:L66"/>
    <mergeCell ref="A67:B67"/>
    <mergeCell ref="C67:L67"/>
    <mergeCell ref="A68:B68"/>
    <mergeCell ref="D68:L68"/>
    <mergeCell ref="A59:L59"/>
    <mergeCell ref="A60:L60"/>
    <mergeCell ref="A61:L61"/>
    <mergeCell ref="A64:B64"/>
    <mergeCell ref="C64:L64"/>
    <mergeCell ref="A65:B65"/>
    <mergeCell ref="C65:L65"/>
    <mergeCell ref="A55:C58"/>
    <mergeCell ref="D55:D58"/>
    <mergeCell ref="E55:E58"/>
    <mergeCell ref="F55:F58"/>
    <mergeCell ref="G55:H55"/>
    <mergeCell ref="G56:H56"/>
    <mergeCell ref="G57:H57"/>
    <mergeCell ref="G58:H58"/>
    <mergeCell ref="A51:A54"/>
    <mergeCell ref="B51:B54"/>
    <mergeCell ref="C51:C54"/>
    <mergeCell ref="D51:D54"/>
    <mergeCell ref="E51:E54"/>
    <mergeCell ref="F51:F54"/>
    <mergeCell ref="I46:I47"/>
    <mergeCell ref="J46:J47"/>
    <mergeCell ref="K46:K47"/>
    <mergeCell ref="L46:L47"/>
    <mergeCell ref="G47:H47"/>
    <mergeCell ref="D48:D49"/>
    <mergeCell ref="E48:E49"/>
    <mergeCell ref="F48:F49"/>
    <mergeCell ref="G48:H49"/>
    <mergeCell ref="A45:B45"/>
    <mergeCell ref="C45:C50"/>
    <mergeCell ref="G45:H45"/>
    <mergeCell ref="A46:A50"/>
    <mergeCell ref="B46:B50"/>
    <mergeCell ref="D46:D47"/>
    <mergeCell ref="E46:E47"/>
    <mergeCell ref="F46:F47"/>
    <mergeCell ref="G46:H46"/>
    <mergeCell ref="G50:H50"/>
    <mergeCell ref="G32:H32"/>
    <mergeCell ref="G33:H33"/>
    <mergeCell ref="G34:H34"/>
    <mergeCell ref="G35:H35"/>
    <mergeCell ref="A42:B42"/>
    <mergeCell ref="C42:L42"/>
    <mergeCell ref="A43:B43"/>
    <mergeCell ref="C43:L43"/>
    <mergeCell ref="A44:B44"/>
    <mergeCell ref="D44:L44"/>
    <mergeCell ref="A36:L36"/>
    <mergeCell ref="A37:L37"/>
    <mergeCell ref="A40:B40"/>
    <mergeCell ref="C40:L40"/>
    <mergeCell ref="A41:B41"/>
    <mergeCell ref="C41:L41"/>
    <mergeCell ref="A12:A15"/>
    <mergeCell ref="B12:B15"/>
    <mergeCell ref="C12:C15"/>
    <mergeCell ref="D12:D15"/>
    <mergeCell ref="F12:F15"/>
    <mergeCell ref="E12:E15"/>
    <mergeCell ref="A32:C35"/>
    <mergeCell ref="D32:D35"/>
    <mergeCell ref="E32:E35"/>
    <mergeCell ref="F32:F35"/>
    <mergeCell ref="A16:A19"/>
    <mergeCell ref="B16:B19"/>
    <mergeCell ref="C16:C19"/>
    <mergeCell ref="D16:D19"/>
    <mergeCell ref="E16:E19"/>
    <mergeCell ref="F16:F19"/>
    <mergeCell ref="A20:A23"/>
    <mergeCell ref="B20:B23"/>
    <mergeCell ref="C20:C23"/>
    <mergeCell ref="D20:D23"/>
    <mergeCell ref="E20:E23"/>
    <mergeCell ref="F20:F23"/>
    <mergeCell ref="A24:A27"/>
    <mergeCell ref="B24:B27"/>
    <mergeCell ref="A1:B1"/>
    <mergeCell ref="C1:L1"/>
    <mergeCell ref="A2:B2"/>
    <mergeCell ref="C2:L2"/>
    <mergeCell ref="A3:B3"/>
    <mergeCell ref="C3:L3"/>
    <mergeCell ref="A4:B4"/>
    <mergeCell ref="C4:L4"/>
    <mergeCell ref="A5:B5"/>
    <mergeCell ref="D5:L5"/>
    <mergeCell ref="A6:B6"/>
    <mergeCell ref="C6:C11"/>
    <mergeCell ref="G6:H6"/>
    <mergeCell ref="A7:A11"/>
    <mergeCell ref="B7:B11"/>
    <mergeCell ref="D7:D8"/>
    <mergeCell ref="L7:L8"/>
    <mergeCell ref="G8:H8"/>
    <mergeCell ref="D9:D10"/>
    <mergeCell ref="E9:E10"/>
    <mergeCell ref="F9:F10"/>
    <mergeCell ref="G9:H10"/>
    <mergeCell ref="E7:E8"/>
    <mergeCell ref="F7:F8"/>
    <mergeCell ref="G7:H7"/>
    <mergeCell ref="I7:I8"/>
    <mergeCell ref="J7:J8"/>
    <mergeCell ref="K7:K8"/>
    <mergeCell ref="G11:H11"/>
    <mergeCell ref="C24:C27"/>
    <mergeCell ref="D24:D27"/>
    <mergeCell ref="E24:E27"/>
    <mergeCell ref="F24:F27"/>
    <mergeCell ref="A28:A31"/>
    <mergeCell ref="B28:B31"/>
    <mergeCell ref="C28:C31"/>
    <mergeCell ref="D28:D31"/>
    <mergeCell ref="E28:E31"/>
    <mergeCell ref="F28:F31"/>
  </mergeCells>
  <printOptions/>
  <pageMargins left="0.7" right="0.7" top="0.75" bottom="0.75" header="0.3" footer="0.3"/>
  <pageSetup horizontalDpi="300" verticalDpi="300" orientation="portrait" r:id="rId4"/>
  <drawing r:id="rId3"/>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D9D9D9"/>
  </sheetPr>
  <dimension ref="A1:H13"/>
  <sheetViews>
    <sheetView workbookViewId="0" topLeftCell="A1">
      <selection activeCell="A10" sqref="A10:A11"/>
    </sheetView>
  </sheetViews>
  <sheetFormatPr defaultColWidth="10.8515625" defaultRowHeight="15"/>
  <cols>
    <col min="1" max="1" width="12.7109375" style="103" customWidth="1"/>
    <col min="2" max="2" width="16.7109375" style="103" customWidth="1"/>
    <col min="3" max="3" width="18.421875" style="103" customWidth="1"/>
    <col min="4" max="6" width="16.7109375" style="103" customWidth="1"/>
    <col min="7" max="8" width="10.8515625" style="103" customWidth="1"/>
  </cols>
  <sheetData>
    <row r="1" spans="1:8" ht="15.75" thickBot="1">
      <c r="A1" s="325" t="s">
        <v>0</v>
      </c>
      <c r="B1" s="1340" t="s">
        <v>574</v>
      </c>
      <c r="C1" s="1341"/>
      <c r="D1" s="1341"/>
      <c r="E1" s="1341"/>
      <c r="F1" s="1434"/>
      <c r="H1" s="508" t="s">
        <v>989</v>
      </c>
    </row>
    <row r="2" spans="1:6" ht="15.75" thickBot="1">
      <c r="A2" s="326" t="s">
        <v>521</v>
      </c>
      <c r="B2" s="1374" t="s">
        <v>1451</v>
      </c>
      <c r="C2" s="1375"/>
      <c r="D2" s="1375"/>
      <c r="E2" s="1375"/>
      <c r="F2" s="1435"/>
    </row>
    <row r="3" spans="1:6" ht="27" thickBot="1">
      <c r="A3" s="326" t="s">
        <v>1452</v>
      </c>
      <c r="B3" s="1340" t="s">
        <v>20</v>
      </c>
      <c r="C3" s="1341"/>
      <c r="D3" s="1341"/>
      <c r="E3" s="1341"/>
      <c r="F3" s="1434"/>
    </row>
    <row r="4" spans="1:6" ht="15.75" thickBot="1">
      <c r="A4" s="326" t="s">
        <v>1347</v>
      </c>
      <c r="B4" s="1340" t="s">
        <v>1348</v>
      </c>
      <c r="C4" s="1341"/>
      <c r="D4" s="1341"/>
      <c r="E4" s="1341"/>
      <c r="F4" s="1434"/>
    </row>
    <row r="5" spans="1:6" ht="15.75" thickBot="1">
      <c r="A5" s="327" t="s">
        <v>1349</v>
      </c>
      <c r="B5" s="1307" t="s">
        <v>1453</v>
      </c>
      <c r="C5" s="1379"/>
      <c r="D5" s="1379"/>
      <c r="E5" s="1379"/>
      <c r="F5" s="1380"/>
    </row>
    <row r="6" spans="1:7" ht="49.5" thickBot="1">
      <c r="A6" s="1321" t="s">
        <v>1454</v>
      </c>
      <c r="B6" s="286" t="s">
        <v>1455</v>
      </c>
      <c r="C6" s="286" t="s">
        <v>786</v>
      </c>
      <c r="D6" s="286" t="s">
        <v>1456</v>
      </c>
      <c r="E6" s="286" t="s">
        <v>786</v>
      </c>
      <c r="F6" s="286" t="s">
        <v>1457</v>
      </c>
      <c r="G6" s="1061" t="s">
        <v>1458</v>
      </c>
    </row>
    <row r="7" spans="1:7" ht="41.25" thickBot="1">
      <c r="A7" s="1326"/>
      <c r="B7" s="1047" t="s">
        <v>1459</v>
      </c>
      <c r="C7" s="1047" t="s">
        <v>1460</v>
      </c>
      <c r="D7" s="1047" t="s">
        <v>1459</v>
      </c>
      <c r="E7" s="1047" t="s">
        <v>1461</v>
      </c>
      <c r="F7" s="526" t="s">
        <v>1462</v>
      </c>
      <c r="G7" s="1431" t="s">
        <v>1463</v>
      </c>
    </row>
    <row r="8" spans="1:7" ht="57.75" thickBot="1">
      <c r="A8" s="1326"/>
      <c r="B8" s="1047"/>
      <c r="C8" s="1047" t="s">
        <v>1464</v>
      </c>
      <c r="D8" s="1047"/>
      <c r="E8" s="1047" t="s">
        <v>1465</v>
      </c>
      <c r="F8" s="526" t="s">
        <v>1466</v>
      </c>
      <c r="G8" s="1432"/>
    </row>
    <row r="9" spans="1:7" ht="15.75" thickBot="1">
      <c r="A9" s="1369"/>
      <c r="B9" s="288" t="s">
        <v>1467</v>
      </c>
      <c r="C9" s="288" t="s">
        <v>1468</v>
      </c>
      <c r="D9" s="288" t="s">
        <v>1469</v>
      </c>
      <c r="E9" s="288" t="s">
        <v>1470</v>
      </c>
      <c r="F9" s="527" t="s">
        <v>1471</v>
      </c>
      <c r="G9" s="1433"/>
    </row>
    <row r="10" spans="1:7" ht="16.5" thickBot="1" thickTop="1">
      <c r="A10" s="1046" t="s">
        <v>1472</v>
      </c>
      <c r="B10" s="329">
        <v>0</v>
      </c>
      <c r="C10" s="330">
        <f>'3C2 FACTORES DE EMISIÓN'!B3</f>
        <v>0.12</v>
      </c>
      <c r="D10" s="331"/>
      <c r="E10" s="331"/>
      <c r="F10" s="290">
        <f>B10*C10</f>
        <v>0</v>
      </c>
      <c r="G10" s="338">
        <f>+(F10*'FACTORES DE CONVERSIÓN'!$B$16/'FACTORES DE CONVERSIÓN'!$C$28)*44/12</f>
        <v>0</v>
      </c>
    </row>
    <row r="11" spans="1:7" ht="15.75" thickBot="1">
      <c r="A11" s="1046" t="s">
        <v>1473</v>
      </c>
      <c r="B11" s="331"/>
      <c r="C11" s="331"/>
      <c r="D11" s="329">
        <v>0</v>
      </c>
      <c r="E11" s="330">
        <f>'3C2 FACTORES DE EMISIÓN'!B4</f>
        <v>0.13</v>
      </c>
      <c r="F11" s="290">
        <f>D11*E11</f>
        <v>0</v>
      </c>
      <c r="G11" s="338">
        <f>+(F11*'FACTORES DE CONVERSIÓN'!$B$16/'FACTORES DE CONVERSIÓN'!$C$28)*44/12</f>
        <v>0</v>
      </c>
    </row>
    <row r="12" spans="1:7" ht="15.75" thickBot="1">
      <c r="A12" s="332" t="s">
        <v>4</v>
      </c>
      <c r="B12" s="331"/>
      <c r="C12" s="331"/>
      <c r="D12" s="331"/>
      <c r="E12" s="331"/>
      <c r="F12" s="333">
        <f>SUM(F10:F11)</f>
        <v>0</v>
      </c>
      <c r="G12" s="528">
        <f>SUM(G10:G11)</f>
        <v>0</v>
      </c>
    </row>
    <row r="13" ht="15">
      <c r="A13" s="147"/>
    </row>
  </sheetData>
  <mergeCells count="7">
    <mergeCell ref="G7:G9"/>
    <mergeCell ref="A6:A9"/>
    <mergeCell ref="B1:F1"/>
    <mergeCell ref="B2:F2"/>
    <mergeCell ref="B3:F3"/>
    <mergeCell ref="B4:F4"/>
    <mergeCell ref="B5:F5"/>
  </mergeCells>
  <printOptions/>
  <pageMargins left="0.7" right="0.7" top="0.75" bottom="0.75" header="0.3" footer="0.3"/>
  <pageSetup orientation="portrait" paperSize="9"/>
  <drawing r:id="rId3"/>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D9D9D9"/>
  </sheetPr>
  <dimension ref="A1:G12"/>
  <sheetViews>
    <sheetView workbookViewId="0" topLeftCell="A1">
      <selection activeCell="A1" sqref="A1:XFD10"/>
    </sheetView>
  </sheetViews>
  <sheetFormatPr defaultColWidth="10.8515625" defaultRowHeight="15"/>
  <cols>
    <col min="1" max="1" width="18.8515625" style="103" customWidth="1"/>
    <col min="2" max="4" width="18.7109375" style="103" customWidth="1"/>
    <col min="5" max="5" width="17.28125" style="103" customWidth="1"/>
    <col min="6" max="7" width="10.8515625" style="103" customWidth="1"/>
  </cols>
  <sheetData>
    <row r="1" spans="1:4" ht="13.5" thickBot="1">
      <c r="A1" s="325" t="s">
        <v>0</v>
      </c>
      <c r="B1" s="1340" t="s">
        <v>574</v>
      </c>
      <c r="C1" s="1341"/>
      <c r="D1" s="1434"/>
    </row>
    <row r="2" spans="1:4" ht="15" thickBot="1">
      <c r="A2" s="326" t="s">
        <v>521</v>
      </c>
      <c r="B2" s="1374" t="s">
        <v>1485</v>
      </c>
      <c r="C2" s="1375"/>
      <c r="D2" s="1435"/>
    </row>
    <row r="3" spans="1:4" ht="26.25" thickBot="1">
      <c r="A3" s="326" t="s">
        <v>1452</v>
      </c>
      <c r="B3" s="1340" t="s">
        <v>21</v>
      </c>
      <c r="C3" s="1341"/>
      <c r="D3" s="1434"/>
    </row>
    <row r="4" spans="1:7" ht="15.75" thickBot="1">
      <c r="A4" s="326" t="s">
        <v>1347</v>
      </c>
      <c r="B4" s="1340" t="s">
        <v>1348</v>
      </c>
      <c r="C4" s="1341"/>
      <c r="D4" s="1434"/>
      <c r="G4" s="508" t="s">
        <v>989</v>
      </c>
    </row>
    <row r="5" spans="1:4" ht="13.5" thickBot="1">
      <c r="A5" s="327" t="s">
        <v>1349</v>
      </c>
      <c r="B5" s="1307" t="s">
        <v>1474</v>
      </c>
      <c r="C5" s="1379"/>
      <c r="D5" s="1380"/>
    </row>
    <row r="6" spans="1:5" ht="72" thickBot="1">
      <c r="A6" s="1321" t="s">
        <v>1475</v>
      </c>
      <c r="B6" s="286" t="s">
        <v>1476</v>
      </c>
      <c r="C6" s="286" t="s">
        <v>1477</v>
      </c>
      <c r="D6" s="286" t="s">
        <v>1478</v>
      </c>
      <c r="E6" s="334" t="s">
        <v>1479</v>
      </c>
    </row>
    <row r="7" spans="1:5" ht="12.75">
      <c r="A7" s="1326"/>
      <c r="B7" s="1321" t="s">
        <v>1480</v>
      </c>
      <c r="C7" s="1321" t="s">
        <v>1481</v>
      </c>
      <c r="D7" s="1321" t="s">
        <v>1482</v>
      </c>
      <c r="E7" s="1436" t="s">
        <v>841</v>
      </c>
    </row>
    <row r="8" spans="1:5" ht="23.25" customHeight="1" thickBot="1">
      <c r="A8" s="1326"/>
      <c r="B8" s="1322"/>
      <c r="C8" s="1439"/>
      <c r="D8" s="1322"/>
      <c r="E8" s="1437"/>
    </row>
    <row r="9" spans="1:5" ht="15.75" thickBot="1">
      <c r="A9" s="1326"/>
      <c r="B9" s="335"/>
      <c r="C9" s="1047" t="s">
        <v>1483</v>
      </c>
      <c r="D9" s="1047" t="s">
        <v>1484</v>
      </c>
      <c r="E9" s="1437"/>
    </row>
    <row r="10" spans="1:5" ht="15.75" thickBot="1">
      <c r="A10" s="1369"/>
      <c r="B10" s="288" t="s">
        <v>22</v>
      </c>
      <c r="C10" s="288" t="s">
        <v>23</v>
      </c>
      <c r="D10" s="288" t="s">
        <v>1471</v>
      </c>
      <c r="E10" s="1438"/>
    </row>
    <row r="11" spans="1:5" ht="16.5" thickBot="1" thickTop="1">
      <c r="A11" s="336" t="s">
        <v>230</v>
      </c>
      <c r="B11" s="330">
        <f>'3C3 INFO PROC'!B3</f>
        <v>358008.424395</v>
      </c>
      <c r="C11" s="337">
        <f>'3C3 FACTORES DE EMISIÓN'!B3</f>
        <v>0.2</v>
      </c>
      <c r="D11" s="338">
        <f>B11*C11</f>
        <v>71601.684879</v>
      </c>
      <c r="E11" s="338">
        <f>+(D11*'FACTORES DE CONVERSIÓN'!B16/'FACTORES DE CONVERSIÓN'!C28)*44/12</f>
        <v>262.53951122300003</v>
      </c>
    </row>
    <row r="12" spans="1:5" ht="15.75" thickBot="1">
      <c r="A12" s="332" t="s">
        <v>4</v>
      </c>
      <c r="B12" s="297"/>
      <c r="C12" s="297"/>
      <c r="D12" s="339">
        <f>SUM(D11)</f>
        <v>71601.684879</v>
      </c>
      <c r="E12" s="339">
        <f>SUM(E11)</f>
        <v>262.53951122300003</v>
      </c>
    </row>
  </sheetData>
  <mergeCells count="10">
    <mergeCell ref="E7:E10"/>
    <mergeCell ref="A6:A10"/>
    <mergeCell ref="B7:B8"/>
    <mergeCell ref="C7:C8"/>
    <mergeCell ref="D7:D8"/>
    <mergeCell ref="B1:D1"/>
    <mergeCell ref="B2:D2"/>
    <mergeCell ref="B3:D3"/>
    <mergeCell ref="B4:D4"/>
    <mergeCell ref="B5:D5"/>
  </mergeCells>
  <printOptions/>
  <pageMargins left="0.7" right="0.7" top="0.75" bottom="0.75" header="0.3" footer="0.3"/>
  <pageSetup horizontalDpi="300" verticalDpi="300" orientation="portrait" r:id="rId2"/>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D9D9D9"/>
  </sheetPr>
  <dimension ref="A1:L40"/>
  <sheetViews>
    <sheetView workbookViewId="0" topLeftCell="A32">
      <selection activeCell="A39" sqref="A39:XFD40"/>
    </sheetView>
  </sheetViews>
  <sheetFormatPr defaultColWidth="10.8515625" defaultRowHeight="15"/>
  <cols>
    <col min="1" max="2" width="12.7109375" style="103" customWidth="1"/>
    <col min="3" max="9" width="16.7109375" style="103" customWidth="1"/>
    <col min="10" max="13" width="10.8515625" style="103" customWidth="1"/>
  </cols>
  <sheetData>
    <row r="1" spans="1:7" ht="15.75" thickBot="1">
      <c r="A1" s="1338" t="s">
        <v>0</v>
      </c>
      <c r="B1" s="1339"/>
      <c r="C1" s="1340" t="s">
        <v>574</v>
      </c>
      <c r="D1" s="1341"/>
      <c r="E1" s="1341"/>
      <c r="F1" s="1341"/>
      <c r="G1" s="1434"/>
    </row>
    <row r="2" spans="1:7" ht="15.75" thickBot="1">
      <c r="A2" s="1338" t="s">
        <v>1343</v>
      </c>
      <c r="B2" s="1339"/>
      <c r="C2" s="1374" t="s">
        <v>1486</v>
      </c>
      <c r="D2" s="1375"/>
      <c r="E2" s="1375"/>
      <c r="F2" s="1375"/>
      <c r="G2" s="1435"/>
    </row>
    <row r="3" spans="1:7" ht="15.75" customHeight="1" thickBot="1">
      <c r="A3" s="1338" t="s">
        <v>1345</v>
      </c>
      <c r="B3" s="1339"/>
      <c r="C3" s="1340" t="s">
        <v>24</v>
      </c>
      <c r="D3" s="1341"/>
      <c r="E3" s="1341"/>
      <c r="F3" s="1341"/>
      <c r="G3" s="1434"/>
    </row>
    <row r="4" spans="1:9" ht="15.75" thickBot="1">
      <c r="A4" s="1338" t="s">
        <v>1347</v>
      </c>
      <c r="B4" s="1339"/>
      <c r="C4" s="1340" t="s">
        <v>1398</v>
      </c>
      <c r="D4" s="1341"/>
      <c r="E4" s="1341"/>
      <c r="F4" s="1341"/>
      <c r="G4" s="1434"/>
      <c r="I4" s="508" t="s">
        <v>989</v>
      </c>
    </row>
    <row r="5" spans="1:7" ht="15.75" thickBot="1">
      <c r="A5" s="1377" t="s">
        <v>1349</v>
      </c>
      <c r="B5" s="1378"/>
      <c r="C5" s="1307" t="s">
        <v>1487</v>
      </c>
      <c r="D5" s="1379"/>
      <c r="E5" s="1379"/>
      <c r="F5" s="1379"/>
      <c r="G5" s="1380"/>
    </row>
    <row r="6" spans="1:8" ht="53.25" thickBot="1">
      <c r="A6" s="1354" t="s">
        <v>1488</v>
      </c>
      <c r="B6" s="1440"/>
      <c r="C6" s="1444" t="s">
        <v>1489</v>
      </c>
      <c r="D6" s="1445"/>
      <c r="E6" s="1444" t="s">
        <v>1490</v>
      </c>
      <c r="F6" s="1445"/>
      <c r="G6" s="286" t="s">
        <v>1491</v>
      </c>
      <c r="H6" s="890" t="s">
        <v>1299</v>
      </c>
    </row>
    <row r="7" spans="1:7" ht="16.5" thickBot="1">
      <c r="A7" s="1356"/>
      <c r="B7" s="1441"/>
      <c r="C7" s="1446" t="s">
        <v>1379</v>
      </c>
      <c r="D7" s="1440"/>
      <c r="E7" s="1446" t="s">
        <v>1492</v>
      </c>
      <c r="F7" s="1447"/>
      <c r="G7" s="340" t="s">
        <v>1493</v>
      </c>
    </row>
    <row r="8" spans="1:7" ht="27.75" thickBot="1">
      <c r="A8" s="1356"/>
      <c r="B8" s="1441"/>
      <c r="C8" s="1448"/>
      <c r="D8" s="1449"/>
      <c r="E8" s="1448" t="s">
        <v>1494</v>
      </c>
      <c r="F8" s="1449"/>
      <c r="G8" s="1047" t="s">
        <v>1495</v>
      </c>
    </row>
    <row r="9" spans="1:7" ht="15.75" thickBot="1">
      <c r="A9" s="1442"/>
      <c r="B9" s="1443"/>
      <c r="C9" s="1450" t="s">
        <v>25</v>
      </c>
      <c r="D9" s="1451"/>
      <c r="E9" s="1450" t="s">
        <v>23</v>
      </c>
      <c r="F9" s="1451"/>
      <c r="G9" s="341" t="s">
        <v>1496</v>
      </c>
    </row>
    <row r="10" spans="1:8" ht="41.25" thickBot="1" thickTop="1">
      <c r="A10" s="1452" t="s">
        <v>1497</v>
      </c>
      <c r="B10" s="342" t="s">
        <v>1498</v>
      </c>
      <c r="C10" s="343" t="s">
        <v>1499</v>
      </c>
      <c r="D10" s="330">
        <f>'3C4_3C5 INFO PROC'!B11</f>
        <v>204364082.52466</v>
      </c>
      <c r="E10" s="1455" t="s">
        <v>842</v>
      </c>
      <c r="F10" s="330">
        <f>'3C4 FACTORES DE EMISIÓN'!$B$3</f>
        <v>0.01</v>
      </c>
      <c r="G10" s="330">
        <f aca="true" t="shared" si="0" ref="G10:G17">D10*F10</f>
        <v>2043640.8252466</v>
      </c>
      <c r="H10" s="1462">
        <f>+(SUM(G10:G13)*'FACTORES DE CONVERSIÓN'!$C$26/'FACTORES DE CONVERSIÓN'!$C$28)*44/28</f>
        <v>9.37200442774424</v>
      </c>
    </row>
    <row r="11" spans="1:8" ht="64.5" thickBot="1">
      <c r="A11" s="1453"/>
      <c r="B11" s="342" t="s">
        <v>1500</v>
      </c>
      <c r="C11" s="343" t="s">
        <v>1501</v>
      </c>
      <c r="D11" s="329">
        <f>'3C4_3C5 INFO PROC'!F43</f>
        <v>81394641.2949805</v>
      </c>
      <c r="E11" s="1456"/>
      <c r="F11" s="330">
        <f>'3C4 FACTORES DE EMISIÓN'!$B$3</f>
        <v>0.01</v>
      </c>
      <c r="G11" s="329">
        <f t="shared" si="0"/>
        <v>813946.412949805</v>
      </c>
      <c r="H11" s="1463"/>
    </row>
    <row r="12" spans="1:8" ht="27.75" thickBot="1">
      <c r="A12" s="1453"/>
      <c r="B12" s="342" t="s">
        <v>1502</v>
      </c>
      <c r="C12" s="343" t="s">
        <v>1503</v>
      </c>
      <c r="D12" s="329">
        <f>SUM('3C4_3C5 INFO PROC'!P64,'3C4_3C5 INFO PROC'!P65:P80,'3C4_3C5 INFO PROC'!P82:P90,'3C4_3C5 INFO PROC'!P92:P94,'3C4_3C5 INFO PROC'!P96)</f>
        <v>310489975.2780172</v>
      </c>
      <c r="E12" s="1456"/>
      <c r="F12" s="330">
        <f>'3C4 FACTORES DE EMISIÓN'!$B$3</f>
        <v>0.01</v>
      </c>
      <c r="G12" s="329">
        <f t="shared" si="0"/>
        <v>3104899.7527801725</v>
      </c>
      <c r="H12" s="1463"/>
    </row>
    <row r="13" spans="1:8" ht="129.75" thickBot="1">
      <c r="A13" s="1454"/>
      <c r="B13" s="342" t="s">
        <v>1504</v>
      </c>
      <c r="C13" s="343" t="s">
        <v>1505</v>
      </c>
      <c r="D13" s="329">
        <f>'3C4_3C5 INFO PROC'!D165</f>
        <v>151582.66788489482</v>
      </c>
      <c r="E13" s="1457"/>
      <c r="F13" s="330">
        <f>'3C4 FACTORES DE EMISIÓN'!$B$3</f>
        <v>0.01</v>
      </c>
      <c r="G13" s="329">
        <f t="shared" si="0"/>
        <v>1515.8266788489482</v>
      </c>
      <c r="H13" s="1464"/>
    </row>
    <row r="14" spans="1:11" ht="39.75" customHeight="1" thickBot="1">
      <c r="A14" s="1458" t="s">
        <v>1509</v>
      </c>
      <c r="B14" s="342" t="s">
        <v>1498</v>
      </c>
      <c r="C14" s="343" t="s">
        <v>1506</v>
      </c>
      <c r="D14" s="329">
        <f>'3C4_3C5 INFO PROC'!D15</f>
        <v>82104360</v>
      </c>
      <c r="E14" s="1459" t="s">
        <v>844</v>
      </c>
      <c r="F14" s="344">
        <f>'3C4 FACTORES DE EMISIÓN'!$B$4</f>
        <v>0.003</v>
      </c>
      <c r="G14" s="329">
        <f t="shared" si="0"/>
        <v>246313.08000000002</v>
      </c>
      <c r="H14" s="1462">
        <f>+(SUM(G14:G17)*'FACTORES DE CONVERSIÓN'!$C$26/'FACTORES DE CONVERSIÓN'!$C$28)*44/28</f>
        <v>0.7518792828564053</v>
      </c>
      <c r="I14" s="151"/>
      <c r="J14" s="151"/>
      <c r="K14" s="151"/>
    </row>
    <row r="15" spans="1:8" ht="64.5" thickBot="1">
      <c r="A15" s="1453"/>
      <c r="B15" s="342" t="s">
        <v>1500</v>
      </c>
      <c r="C15" s="343" t="s">
        <v>843</v>
      </c>
      <c r="D15" s="329">
        <v>0</v>
      </c>
      <c r="E15" s="1456"/>
      <c r="F15" s="344">
        <f>'3C4 FACTORES DE EMISIÓN'!$B$4</f>
        <v>0.003</v>
      </c>
      <c r="G15" s="329">
        <f t="shared" si="0"/>
        <v>0</v>
      </c>
      <c r="H15" s="1463"/>
    </row>
    <row r="16" spans="1:8" ht="26.25" thickBot="1">
      <c r="A16" s="1453"/>
      <c r="B16" s="342" t="s">
        <v>1502</v>
      </c>
      <c r="C16" s="343" t="s">
        <v>1507</v>
      </c>
      <c r="D16" s="329">
        <f>'3C4_3C5 INFO PROC'!P63</f>
        <v>77385184.84832838</v>
      </c>
      <c r="E16" s="1456"/>
      <c r="F16" s="344">
        <f>'3C4 FACTORES DE EMISIÓN'!$B$4</f>
        <v>0.003</v>
      </c>
      <c r="G16" s="329">
        <f t="shared" si="0"/>
        <v>232155.55454498515</v>
      </c>
      <c r="H16" s="1463"/>
    </row>
    <row r="17" spans="1:8" ht="128.25" thickBot="1">
      <c r="A17" s="1454"/>
      <c r="B17" s="342" t="s">
        <v>1504</v>
      </c>
      <c r="C17" s="343" t="s">
        <v>1508</v>
      </c>
      <c r="D17" s="329">
        <v>0</v>
      </c>
      <c r="E17" s="1457"/>
      <c r="F17" s="344">
        <f>'3C4 FACTORES DE EMISIÓN'!$B$4</f>
        <v>0.003</v>
      </c>
      <c r="G17" s="329">
        <f t="shared" si="0"/>
        <v>0</v>
      </c>
      <c r="H17" s="1464"/>
    </row>
    <row r="18" spans="1:7" ht="15.75" thickBot="1">
      <c r="A18" s="1460" t="s">
        <v>4</v>
      </c>
      <c r="B18" s="1461"/>
      <c r="C18" s="345"/>
      <c r="D18" s="345"/>
      <c r="E18" s="346"/>
      <c r="F18" s="345"/>
      <c r="G18" s="347">
        <f>SUM(G10:G13,G14:G17)</f>
        <v>6442471.452200412</v>
      </c>
    </row>
    <row r="19" ht="15">
      <c r="A19" s="147" t="s">
        <v>569</v>
      </c>
    </row>
    <row r="20" ht="15.75" thickBot="1"/>
    <row r="21" spans="1:9" ht="15.75" thickBot="1">
      <c r="A21" s="1338" t="s">
        <v>0</v>
      </c>
      <c r="B21" s="1339"/>
      <c r="C21" s="1340" t="s">
        <v>574</v>
      </c>
      <c r="D21" s="1341"/>
      <c r="E21" s="1341"/>
      <c r="F21" s="1341"/>
      <c r="G21" s="1341"/>
      <c r="H21" s="1341"/>
      <c r="I21" s="1342"/>
    </row>
    <row r="22" spans="1:9" ht="15.75" thickBot="1">
      <c r="A22" s="1338" t="s">
        <v>1343</v>
      </c>
      <c r="B22" s="1339"/>
      <c r="C22" s="1340" t="s">
        <v>1486</v>
      </c>
      <c r="D22" s="1341"/>
      <c r="E22" s="1341"/>
      <c r="F22" s="1341"/>
      <c r="G22" s="1341"/>
      <c r="H22" s="1341"/>
      <c r="I22" s="1342"/>
    </row>
    <row r="23" spans="1:9" ht="15.75" customHeight="1" thickBot="1">
      <c r="A23" s="1338" t="s">
        <v>1345</v>
      </c>
      <c r="B23" s="1339"/>
      <c r="C23" s="1340" t="s">
        <v>24</v>
      </c>
      <c r="D23" s="1341"/>
      <c r="E23" s="1341"/>
      <c r="F23" s="1341"/>
      <c r="G23" s="1341"/>
      <c r="H23" s="1341"/>
      <c r="I23" s="1342"/>
    </row>
    <row r="24" spans="1:12" ht="15.75" thickBot="1">
      <c r="A24" s="1338" t="s">
        <v>1347</v>
      </c>
      <c r="B24" s="1339"/>
      <c r="C24" s="1340" t="s">
        <v>1439</v>
      </c>
      <c r="D24" s="1341"/>
      <c r="E24" s="1341"/>
      <c r="F24" s="1341"/>
      <c r="G24" s="1341"/>
      <c r="H24" s="1341"/>
      <c r="I24" s="1342"/>
      <c r="L24" s="508" t="s">
        <v>989</v>
      </c>
    </row>
    <row r="25" spans="1:9" ht="15.75" thickBot="1">
      <c r="A25" s="1377" t="s">
        <v>1349</v>
      </c>
      <c r="B25" s="1378"/>
      <c r="C25" s="1307" t="s">
        <v>1487</v>
      </c>
      <c r="D25" s="1379"/>
      <c r="E25" s="1379"/>
      <c r="F25" s="1379"/>
      <c r="G25" s="1379"/>
      <c r="H25" s="1379"/>
      <c r="I25" s="1308"/>
    </row>
    <row r="26" spans="1:10" ht="117" thickBot="1">
      <c r="A26" s="1354" t="s">
        <v>1510</v>
      </c>
      <c r="B26" s="1355"/>
      <c r="C26" s="286" t="s">
        <v>1511</v>
      </c>
      <c r="D26" s="286" t="s">
        <v>1512</v>
      </c>
      <c r="E26" s="286" t="s">
        <v>1513</v>
      </c>
      <c r="F26" s="286" t="s">
        <v>1514</v>
      </c>
      <c r="G26" s="286" t="s">
        <v>1515</v>
      </c>
      <c r="H26" s="286" t="s">
        <v>1516</v>
      </c>
      <c r="I26" s="286" t="s">
        <v>1517</v>
      </c>
      <c r="J26" s="320" t="s">
        <v>1042</v>
      </c>
    </row>
    <row r="27" spans="1:10" ht="15" customHeight="1">
      <c r="A27" s="1356"/>
      <c r="B27" s="1357"/>
      <c r="C27" s="1323" t="s">
        <v>13</v>
      </c>
      <c r="D27" s="294" t="s">
        <v>845</v>
      </c>
      <c r="E27" s="1323" t="s">
        <v>1493</v>
      </c>
      <c r="F27" s="1323" t="s">
        <v>1379</v>
      </c>
      <c r="G27" s="294" t="s">
        <v>817</v>
      </c>
      <c r="H27" s="1323" t="s">
        <v>1518</v>
      </c>
      <c r="I27" s="294" t="s">
        <v>845</v>
      </c>
      <c r="J27" s="1465" t="s">
        <v>840</v>
      </c>
    </row>
    <row r="28" spans="1:10" ht="16.5" thickBot="1">
      <c r="A28" s="1356"/>
      <c r="B28" s="1357"/>
      <c r="C28" s="1324"/>
      <c r="D28" s="287" t="s">
        <v>1519</v>
      </c>
      <c r="E28" s="1324"/>
      <c r="F28" s="1324"/>
      <c r="G28" s="287" t="s">
        <v>1520</v>
      </c>
      <c r="H28" s="1324"/>
      <c r="I28" s="287" t="s">
        <v>1383</v>
      </c>
      <c r="J28" s="1466"/>
    </row>
    <row r="29" spans="1:10" ht="43.5" thickBot="1">
      <c r="A29" s="1356"/>
      <c r="B29" s="1357"/>
      <c r="C29" s="287"/>
      <c r="D29" s="287" t="s">
        <v>1494</v>
      </c>
      <c r="E29" s="287" t="s">
        <v>846</v>
      </c>
      <c r="F29" s="287"/>
      <c r="G29" s="287" t="s">
        <v>1494</v>
      </c>
      <c r="H29" s="287" t="s">
        <v>847</v>
      </c>
      <c r="I29" s="287" t="s">
        <v>1521</v>
      </c>
      <c r="J29" s="1466"/>
    </row>
    <row r="30" spans="1:10" ht="15.75" thickBot="1">
      <c r="A30" s="1442"/>
      <c r="B30" s="1366"/>
      <c r="C30" s="288" t="s">
        <v>848</v>
      </c>
      <c r="D30" s="288" t="s">
        <v>849</v>
      </c>
      <c r="E30" s="341" t="s">
        <v>850</v>
      </c>
      <c r="F30" s="288" t="s">
        <v>851</v>
      </c>
      <c r="G30" s="288" t="s">
        <v>852</v>
      </c>
      <c r="H30" s="288" t="s">
        <v>853</v>
      </c>
      <c r="I30" s="288" t="s">
        <v>1522</v>
      </c>
      <c r="J30" s="1467"/>
    </row>
    <row r="31" spans="1:10" ht="16.5" customHeight="1" thickBot="1" thickTop="1">
      <c r="A31" s="1455" t="s">
        <v>1523</v>
      </c>
      <c r="B31" s="1047" t="s">
        <v>26</v>
      </c>
      <c r="C31" s="329">
        <f>'3C4_3C5 INFO PROC'!D173</f>
        <v>0</v>
      </c>
      <c r="D31" s="337">
        <f>'3C4 FACTORES DE EMISIÓN'!B5</f>
        <v>8</v>
      </c>
      <c r="E31" s="290">
        <f>C31*D31</f>
        <v>0</v>
      </c>
      <c r="F31" s="331"/>
      <c r="G31" s="331"/>
      <c r="H31" s="331"/>
      <c r="I31" s="331"/>
      <c r="J31" s="331"/>
    </row>
    <row r="32" spans="1:10" ht="15.75" thickBot="1">
      <c r="A32" s="1456"/>
      <c r="B32" s="1047" t="s">
        <v>27</v>
      </c>
      <c r="C32" s="329">
        <f>'3C4_3C5 INFO PROC'!D174</f>
        <v>0</v>
      </c>
      <c r="D32" s="337">
        <f>'3C4 FACTORES DE EMISIÓN'!B6</f>
        <v>16</v>
      </c>
      <c r="E32" s="290">
        <f>C32*D32</f>
        <v>0</v>
      </c>
      <c r="F32" s="331"/>
      <c r="G32" s="331"/>
      <c r="H32" s="331"/>
      <c r="I32" s="331"/>
      <c r="J32" s="331"/>
    </row>
    <row r="33" spans="1:10" ht="15.75" thickBot="1">
      <c r="A33" s="1456"/>
      <c r="B33" s="1047" t="s">
        <v>28</v>
      </c>
      <c r="C33" s="329">
        <f>'3C4_3C5 INFO PROC'!D175</f>
        <v>0</v>
      </c>
      <c r="D33" s="337">
        <f>'3C4 FACTORES DE EMISIÓN'!B7</f>
        <v>0.6</v>
      </c>
      <c r="E33" s="290">
        <f>C33*D33</f>
        <v>0</v>
      </c>
      <c r="F33" s="331"/>
      <c r="G33" s="331"/>
      <c r="H33" s="331"/>
      <c r="I33" s="331"/>
      <c r="J33" s="331"/>
    </row>
    <row r="34" spans="1:10" ht="15.75" thickBot="1">
      <c r="A34" s="1456"/>
      <c r="B34" s="1047" t="s">
        <v>29</v>
      </c>
      <c r="C34" s="329">
        <f>'3C4_3C5 INFO PROC'!D176</f>
        <v>0</v>
      </c>
      <c r="D34" s="337">
        <f>'3C4 FACTORES DE EMISIÓN'!B8</f>
        <v>0.1</v>
      </c>
      <c r="E34" s="290">
        <f>C34*D34</f>
        <v>0</v>
      </c>
      <c r="F34" s="331"/>
      <c r="G34" s="331"/>
      <c r="H34" s="331"/>
      <c r="I34" s="331"/>
      <c r="J34" s="331"/>
    </row>
    <row r="35" spans="1:10" ht="15.75" thickBot="1">
      <c r="A35" s="1457"/>
      <c r="B35" s="1047" t="s">
        <v>30</v>
      </c>
      <c r="C35" s="329">
        <f>'3C4_3C5 INFO PROC'!D177</f>
        <v>0</v>
      </c>
      <c r="D35" s="337">
        <f>'3C4 FACTORES DE EMISIÓN'!B9</f>
        <v>8</v>
      </c>
      <c r="E35" s="290">
        <f>C35*D35</f>
        <v>0</v>
      </c>
      <c r="F35" s="331"/>
      <c r="G35" s="331"/>
      <c r="H35" s="331"/>
      <c r="I35" s="331"/>
      <c r="J35" s="331"/>
    </row>
    <row r="36" spans="1:10" ht="36.75" customHeight="1" thickBot="1">
      <c r="A36" s="1459" t="s">
        <v>1524</v>
      </c>
      <c r="B36" s="1047" t="s">
        <v>31</v>
      </c>
      <c r="C36" s="331"/>
      <c r="D36" s="331"/>
      <c r="E36" s="331"/>
      <c r="F36" s="348">
        <f>'3C4_3C5 INFO PROC'!E183+'3C4_3C5 INFO PROC'!E184+'3C4_3C5 INFO PROC'!C192+'3C4_3C5 INFO PROC'!E189</f>
        <v>244506396.12091967</v>
      </c>
      <c r="G36" s="337">
        <f>'3C4 FACTORES DE EMISIÓN'!B10</f>
        <v>0.02</v>
      </c>
      <c r="H36" s="290">
        <f>F36*G36</f>
        <v>4890127.922418393</v>
      </c>
      <c r="I36" s="331"/>
      <c r="J36" s="331">
        <f>+(H36*'FACTORES DE CONVERSIÓN'!$C$26/'FACTORES DE CONVERSIÓN'!$C$28)*44/28</f>
        <v>7.684486735228903</v>
      </c>
    </row>
    <row r="37" spans="1:12" ht="36.75" customHeight="1" thickBot="1">
      <c r="A37" s="1457"/>
      <c r="B37" s="1047" t="s">
        <v>32</v>
      </c>
      <c r="C37" s="331"/>
      <c r="D37" s="331"/>
      <c r="E37" s="331"/>
      <c r="F37" s="337">
        <f>'3C4_3C5 INFO PROC'!E194-'3C4 EMISIONES'!F36</f>
        <v>449409161.91523993</v>
      </c>
      <c r="G37" s="337">
        <f>'3C4 FACTORES DE EMISIÓN'!B11</f>
        <v>0.01</v>
      </c>
      <c r="H37" s="291">
        <f>F37*G37</f>
        <v>4494091.6191524</v>
      </c>
      <c r="I37" s="331"/>
      <c r="J37" s="331">
        <f>+(H37*'FACTORES DE CONVERSIÓN'!$C$26/'FACTORES DE CONVERSIÓN'!$C$28)*44/28</f>
        <v>7.062143972953771</v>
      </c>
      <c r="L37" s="111"/>
    </row>
    <row r="38" spans="1:10" ht="15.75" thickBot="1">
      <c r="A38" s="1334" t="s">
        <v>4</v>
      </c>
      <c r="B38" s="1468"/>
      <c r="C38" s="331"/>
      <c r="D38" s="331"/>
      <c r="E38" s="349">
        <f>SUM(E31:E35)</f>
        <v>0</v>
      </c>
      <c r="F38" s="331"/>
      <c r="G38" s="331"/>
      <c r="H38" s="349">
        <f>SUM(H36:H37)</f>
        <v>9384219.541570794</v>
      </c>
      <c r="I38" s="284">
        <f>G18+E38+H38</f>
        <v>15826690.993771207</v>
      </c>
      <c r="J38" s="347">
        <f>+(I38*'FACTORES DE CONVERSIÓN'!$C$26/'FACTORES DE CONVERSIÓN'!$C$28)*44/28</f>
        <v>24.870514418783323</v>
      </c>
    </row>
    <row r="39" spans="1:9" ht="23.25" customHeight="1">
      <c r="A39" s="1469" t="s">
        <v>1525</v>
      </c>
      <c r="B39" s="1470"/>
      <c r="C39" s="1470"/>
      <c r="D39" s="1470"/>
      <c r="E39" s="1470"/>
      <c r="F39" s="1470"/>
      <c r="G39" s="1470"/>
      <c r="H39" s="1470"/>
      <c r="I39" s="1471"/>
    </row>
    <row r="40" spans="1:9" ht="15.75" thickBot="1">
      <c r="A40" s="1472" t="s">
        <v>1526</v>
      </c>
      <c r="B40" s="1473"/>
      <c r="C40" s="1473"/>
      <c r="D40" s="1473"/>
      <c r="E40" s="1473"/>
      <c r="F40" s="1473"/>
      <c r="G40" s="1473"/>
      <c r="H40" s="1473"/>
      <c r="I40" s="1474"/>
    </row>
  </sheetData>
  <mergeCells count="47">
    <mergeCell ref="J27:J30"/>
    <mergeCell ref="A36:A37"/>
    <mergeCell ref="A38:B38"/>
    <mergeCell ref="A39:I39"/>
    <mergeCell ref="A40:I40"/>
    <mergeCell ref="A26:B30"/>
    <mergeCell ref="C27:C28"/>
    <mergeCell ref="E27:E28"/>
    <mergeCell ref="F27:F28"/>
    <mergeCell ref="H27:H28"/>
    <mergeCell ref="A31:A35"/>
    <mergeCell ref="A23:B23"/>
    <mergeCell ref="C23:I23"/>
    <mergeCell ref="A24:B24"/>
    <mergeCell ref="C24:I24"/>
    <mergeCell ref="A25:B25"/>
    <mergeCell ref="C25:I25"/>
    <mergeCell ref="A22:B22"/>
    <mergeCell ref="C22:I22"/>
    <mergeCell ref="C8:D8"/>
    <mergeCell ref="E8:F8"/>
    <mergeCell ref="C9:D9"/>
    <mergeCell ref="E9:F9"/>
    <mergeCell ref="A10:A13"/>
    <mergeCell ref="E10:E13"/>
    <mergeCell ref="A14:A17"/>
    <mergeCell ref="E14:E17"/>
    <mergeCell ref="A18:B18"/>
    <mergeCell ref="A21:B21"/>
    <mergeCell ref="C21:I21"/>
    <mergeCell ref="H10:H13"/>
    <mergeCell ref="H14:H17"/>
    <mergeCell ref="A4:B4"/>
    <mergeCell ref="C4:G4"/>
    <mergeCell ref="A5:B5"/>
    <mergeCell ref="C5:G5"/>
    <mergeCell ref="A6:B9"/>
    <mergeCell ref="C6:D6"/>
    <mergeCell ref="E6:F6"/>
    <mergeCell ref="C7:D7"/>
    <mergeCell ref="E7:F7"/>
    <mergeCell ref="A1:B1"/>
    <mergeCell ref="C1:G1"/>
    <mergeCell ref="A2:B2"/>
    <mergeCell ref="C2:G2"/>
    <mergeCell ref="A3:B3"/>
    <mergeCell ref="C3:G3"/>
  </mergeCells>
  <printOptions/>
  <pageMargins left="0.7" right="0.7" top="0.75" bottom="0.75" header="0.3" footer="0.3"/>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EC3E6"/>
  </sheetPr>
  <dimension ref="A1:Q182"/>
  <sheetViews>
    <sheetView workbookViewId="0" topLeftCell="A1">
      <selection activeCell="H13" sqref="H13"/>
    </sheetView>
  </sheetViews>
  <sheetFormatPr defaultColWidth="10.8515625" defaultRowHeight="15"/>
  <cols>
    <col min="1" max="1" width="21.140625" style="103" customWidth="1"/>
    <col min="2" max="2" width="13.7109375" style="103" bestFit="1" customWidth="1"/>
    <col min="3" max="3" width="11.7109375" style="103" bestFit="1" customWidth="1"/>
    <col min="4" max="4" width="13.140625" style="103" bestFit="1" customWidth="1"/>
    <col min="5" max="5" width="11.7109375" style="103" bestFit="1" customWidth="1"/>
    <col min="6" max="6" width="15.140625" style="103" bestFit="1" customWidth="1"/>
    <col min="7" max="8" width="11.7109375" style="103" bestFit="1" customWidth="1"/>
    <col min="9" max="10" width="10.8515625" style="103" customWidth="1"/>
    <col min="11" max="11" width="12.7109375" style="103" bestFit="1" customWidth="1"/>
    <col min="12" max="42" width="10.8515625" style="103" customWidth="1"/>
  </cols>
  <sheetData>
    <row r="1" spans="1:15" ht="15">
      <c r="A1" s="102" t="s">
        <v>79</v>
      </c>
      <c r="B1" s="1162">
        <v>1</v>
      </c>
      <c r="C1" s="1162"/>
      <c r="D1" s="1162"/>
      <c r="E1" s="1162"/>
      <c r="F1" s="1162"/>
      <c r="G1" s="1162"/>
      <c r="H1" s="1162"/>
      <c r="J1" s="6"/>
      <c r="K1" s="507" t="s">
        <v>989</v>
      </c>
      <c r="L1" s="6"/>
      <c r="M1" s="6"/>
      <c r="N1" s="6"/>
      <c r="O1" s="6"/>
    </row>
    <row r="2" spans="1:15" ht="12.75">
      <c r="A2" s="104" t="s">
        <v>80</v>
      </c>
      <c r="B2" s="1163" t="s">
        <v>490</v>
      </c>
      <c r="C2" s="1163"/>
      <c r="D2" s="1163"/>
      <c r="E2" s="1163"/>
      <c r="F2" s="1163"/>
      <c r="G2" s="1163"/>
      <c r="H2" s="1163"/>
      <c r="J2" s="6"/>
      <c r="K2" s="6"/>
      <c r="L2" s="6"/>
      <c r="M2" s="6"/>
      <c r="N2" s="6"/>
      <c r="O2" s="6"/>
    </row>
    <row r="3" spans="1:15" ht="33.75" customHeight="1">
      <c r="A3" s="104" t="s">
        <v>81</v>
      </c>
      <c r="B3" s="1161" t="s">
        <v>145</v>
      </c>
      <c r="C3" s="1161"/>
      <c r="D3" s="1161"/>
      <c r="E3" s="1161"/>
      <c r="F3" s="1161"/>
      <c r="G3" s="1161"/>
      <c r="H3" s="1161"/>
      <c r="J3" s="6"/>
      <c r="K3" s="6"/>
      <c r="L3" s="6"/>
      <c r="M3" s="6"/>
      <c r="N3" s="6"/>
      <c r="O3" s="6"/>
    </row>
    <row r="4" spans="1:15" ht="15">
      <c r="A4" s="104" t="s">
        <v>82</v>
      </c>
      <c r="B4" s="1172" t="s">
        <v>144</v>
      </c>
      <c r="C4" s="1162"/>
      <c r="D4" s="1162"/>
      <c r="E4" s="1162"/>
      <c r="F4" s="1162"/>
      <c r="G4" s="1162"/>
      <c r="H4" s="1162"/>
      <c r="J4" s="6"/>
      <c r="K4" s="6"/>
      <c r="L4" s="6"/>
      <c r="M4" s="6"/>
      <c r="N4" s="6"/>
      <c r="O4" s="6"/>
    </row>
    <row r="5" spans="1:8" ht="15">
      <c r="A5" s="104" t="s">
        <v>83</v>
      </c>
      <c r="B5" s="1168">
        <v>44002</v>
      </c>
      <c r="C5" s="1162"/>
      <c r="D5" s="1162"/>
      <c r="E5" s="1162"/>
      <c r="F5" s="1162"/>
      <c r="G5" s="1162"/>
      <c r="H5" s="1162"/>
    </row>
    <row r="6" spans="1:8" ht="41.25" customHeight="1">
      <c r="A6" s="104" t="s">
        <v>84</v>
      </c>
      <c r="B6" s="1161" t="s">
        <v>1048</v>
      </c>
      <c r="C6" s="1161"/>
      <c r="D6" s="1161"/>
      <c r="E6" s="1161"/>
      <c r="F6" s="1161"/>
      <c r="G6" s="1161"/>
      <c r="H6" s="1161"/>
    </row>
    <row r="7" spans="1:8" ht="15">
      <c r="A7" s="105" t="s">
        <v>41</v>
      </c>
      <c r="B7" s="106" t="s">
        <v>42</v>
      </c>
      <c r="C7" s="105" t="s">
        <v>43</v>
      </c>
      <c r="D7" s="105" t="s">
        <v>44</v>
      </c>
      <c r="E7" s="105" t="s">
        <v>45</v>
      </c>
      <c r="F7" s="105" t="s">
        <v>46</v>
      </c>
      <c r="G7" s="105" t="s">
        <v>47</v>
      </c>
      <c r="H7" s="105" t="s">
        <v>48</v>
      </c>
    </row>
    <row r="8" spans="1:8" ht="15">
      <c r="A8" s="105" t="s">
        <v>76</v>
      </c>
      <c r="B8" s="107">
        <f>SUM(B9:B32)</f>
        <v>158263248</v>
      </c>
      <c r="C8" s="107">
        <f aca="true" t="shared" si="0" ref="C8:H8">SUM(C9:C32)</f>
        <v>4319229</v>
      </c>
      <c r="D8" s="107">
        <f t="shared" si="0"/>
        <v>1105017</v>
      </c>
      <c r="E8" s="107">
        <f t="shared" si="0"/>
        <v>1879713</v>
      </c>
      <c r="F8" s="107">
        <f t="shared" si="0"/>
        <v>11450659</v>
      </c>
      <c r="G8" s="107">
        <f t="shared" si="0"/>
        <v>3144911</v>
      </c>
      <c r="H8" s="107">
        <f t="shared" si="0"/>
        <v>5535455</v>
      </c>
    </row>
    <row r="9" spans="1:17" ht="15">
      <c r="A9" s="108" t="s">
        <v>85</v>
      </c>
      <c r="B9" s="109">
        <v>1471619</v>
      </c>
      <c r="C9" s="110">
        <v>0</v>
      </c>
      <c r="D9" s="110">
        <v>0</v>
      </c>
      <c r="E9" s="109">
        <v>12572</v>
      </c>
      <c r="F9" s="109">
        <v>29054</v>
      </c>
      <c r="G9" s="109">
        <v>84502</v>
      </c>
      <c r="H9" s="109">
        <v>246360</v>
      </c>
      <c r="K9" s="111"/>
      <c r="L9" s="111"/>
      <c r="M9" s="111"/>
      <c r="N9" s="111"/>
      <c r="O9" s="111"/>
      <c r="P9" s="111"/>
      <c r="Q9" s="111"/>
    </row>
    <row r="10" spans="1:17" ht="15">
      <c r="A10" s="108" t="s">
        <v>86</v>
      </c>
      <c r="B10" s="109">
        <v>2630235</v>
      </c>
      <c r="C10" s="109">
        <v>10201</v>
      </c>
      <c r="D10" s="110">
        <v>0</v>
      </c>
      <c r="E10" s="109">
        <v>177602</v>
      </c>
      <c r="F10" s="109">
        <v>672817</v>
      </c>
      <c r="G10" s="109">
        <v>174016</v>
      </c>
      <c r="H10" s="109">
        <v>309475</v>
      </c>
      <c r="K10" s="111"/>
      <c r="L10" s="111"/>
      <c r="M10" s="111"/>
      <c r="N10" s="111"/>
      <c r="O10" s="111"/>
      <c r="P10" s="111"/>
      <c r="Q10" s="111"/>
    </row>
    <row r="11" spans="1:17" ht="15">
      <c r="A11" s="108" t="s">
        <v>87</v>
      </c>
      <c r="B11" s="109">
        <v>311441</v>
      </c>
      <c r="C11" s="109">
        <v>216265</v>
      </c>
      <c r="D11" s="109">
        <v>73479</v>
      </c>
      <c r="E11" s="109">
        <v>111584</v>
      </c>
      <c r="F11" s="109">
        <v>461957</v>
      </c>
      <c r="G11" s="109">
        <v>128426</v>
      </c>
      <c r="H11" s="109">
        <v>295400</v>
      </c>
      <c r="K11" s="111"/>
      <c r="L11" s="111"/>
      <c r="M11" s="111"/>
      <c r="N11" s="111"/>
      <c r="O11" s="111"/>
      <c r="P11" s="111"/>
      <c r="Q11" s="111"/>
    </row>
    <row r="12" spans="1:17" ht="15">
      <c r="A12" s="108" t="s">
        <v>88</v>
      </c>
      <c r="B12" s="109">
        <v>18854594</v>
      </c>
      <c r="C12" s="109">
        <v>430271</v>
      </c>
      <c r="D12" s="109">
        <v>91070</v>
      </c>
      <c r="E12" s="109">
        <v>19062</v>
      </c>
      <c r="F12" s="109">
        <v>209159</v>
      </c>
      <c r="G12" s="109">
        <v>91511</v>
      </c>
      <c r="H12" s="109">
        <v>222440</v>
      </c>
      <c r="K12" s="111"/>
      <c r="L12" s="111"/>
      <c r="M12" s="111"/>
      <c r="N12" s="111"/>
      <c r="O12" s="111"/>
      <c r="P12" s="111"/>
      <c r="Q12" s="111"/>
    </row>
    <row r="13" spans="1:17" ht="15">
      <c r="A13" s="108" t="s">
        <v>89</v>
      </c>
      <c r="B13" s="109">
        <v>847000</v>
      </c>
      <c r="C13" s="109">
        <v>255377</v>
      </c>
      <c r="D13" s="109">
        <v>95020</v>
      </c>
      <c r="E13" s="109">
        <v>208978</v>
      </c>
      <c r="F13" s="109">
        <v>798698</v>
      </c>
      <c r="G13" s="109">
        <v>91554</v>
      </c>
      <c r="H13" s="109">
        <v>430076</v>
      </c>
      <c r="K13" s="111"/>
      <c r="L13" s="111"/>
      <c r="M13" s="111"/>
      <c r="N13" s="111"/>
      <c r="O13" s="111"/>
      <c r="P13" s="111"/>
      <c r="Q13" s="111"/>
    </row>
    <row r="14" spans="1:17" ht="15">
      <c r="A14" s="108" t="s">
        <v>90</v>
      </c>
      <c r="B14" s="109">
        <v>899857</v>
      </c>
      <c r="C14" s="109">
        <v>1150</v>
      </c>
      <c r="D14" s="110">
        <v>0</v>
      </c>
      <c r="E14" s="109">
        <v>96193</v>
      </c>
      <c r="F14" s="109">
        <v>465641</v>
      </c>
      <c r="G14" s="109">
        <v>287457</v>
      </c>
      <c r="H14" s="109">
        <v>657561</v>
      </c>
      <c r="K14" s="111"/>
      <c r="L14" s="111"/>
      <c r="M14" s="111"/>
      <c r="N14" s="111"/>
      <c r="O14" s="111"/>
      <c r="P14" s="111"/>
      <c r="Q14" s="111"/>
    </row>
    <row r="15" spans="1:17" ht="15">
      <c r="A15" s="108" t="s">
        <v>91</v>
      </c>
      <c r="B15" s="109">
        <v>1203880</v>
      </c>
      <c r="C15" s="109">
        <v>610184</v>
      </c>
      <c r="D15" s="109">
        <v>139859</v>
      </c>
      <c r="E15" s="109">
        <v>37608</v>
      </c>
      <c r="F15" s="109">
        <v>1419506</v>
      </c>
      <c r="G15" s="109">
        <v>160877</v>
      </c>
      <c r="H15" s="109">
        <v>417960</v>
      </c>
      <c r="K15" s="111"/>
      <c r="L15" s="111"/>
      <c r="M15" s="111"/>
      <c r="N15" s="111"/>
      <c r="O15" s="111"/>
      <c r="P15" s="111"/>
      <c r="Q15" s="111"/>
    </row>
    <row r="16" spans="1:17" ht="15">
      <c r="A16" s="108" t="s">
        <v>92</v>
      </c>
      <c r="B16" s="109">
        <v>384414</v>
      </c>
      <c r="C16" s="109">
        <v>273249</v>
      </c>
      <c r="D16" s="109">
        <v>131758</v>
      </c>
      <c r="E16" s="109">
        <v>180188</v>
      </c>
      <c r="F16" s="109">
        <v>704935</v>
      </c>
      <c r="G16" s="109">
        <v>136938</v>
      </c>
      <c r="H16" s="109">
        <v>175772</v>
      </c>
      <c r="K16" s="111"/>
      <c r="L16" s="111"/>
      <c r="M16" s="111"/>
      <c r="N16" s="111"/>
      <c r="O16" s="111"/>
      <c r="P16" s="111"/>
      <c r="Q16" s="111"/>
    </row>
    <row r="17" spans="1:17" ht="15">
      <c r="A17" s="108" t="s">
        <v>93</v>
      </c>
      <c r="B17" s="109">
        <v>1756890</v>
      </c>
      <c r="C17" s="109">
        <v>6967</v>
      </c>
      <c r="D17" s="110">
        <v>3450</v>
      </c>
      <c r="E17" s="109">
        <v>102064</v>
      </c>
      <c r="F17" s="109">
        <v>634318</v>
      </c>
      <c r="G17" s="109">
        <v>403917</v>
      </c>
      <c r="H17" s="109">
        <v>290400</v>
      </c>
      <c r="K17" s="111"/>
      <c r="L17" s="111"/>
      <c r="M17" s="111"/>
      <c r="N17" s="111"/>
      <c r="O17" s="111"/>
      <c r="P17" s="111"/>
      <c r="Q17" s="111"/>
    </row>
    <row r="18" spans="1:17" ht="15">
      <c r="A18" s="108" t="s">
        <v>94</v>
      </c>
      <c r="B18" s="109">
        <v>13527774</v>
      </c>
      <c r="C18" s="110">
        <v>0</v>
      </c>
      <c r="D18" s="110">
        <v>0</v>
      </c>
      <c r="E18" s="109">
        <v>78936</v>
      </c>
      <c r="F18" s="109">
        <v>28131</v>
      </c>
      <c r="G18" s="109">
        <v>51510</v>
      </c>
      <c r="H18" s="109">
        <v>47321</v>
      </c>
      <c r="K18" s="111"/>
      <c r="L18" s="111"/>
      <c r="M18" s="111"/>
      <c r="N18" s="111"/>
      <c r="O18" s="111"/>
      <c r="P18" s="111"/>
      <c r="Q18" s="111"/>
    </row>
    <row r="19" spans="1:17" ht="15">
      <c r="A19" s="108" t="s">
        <v>95</v>
      </c>
      <c r="B19" s="109">
        <v>3562957</v>
      </c>
      <c r="C19" s="109">
        <v>82535</v>
      </c>
      <c r="D19" s="109">
        <v>52868</v>
      </c>
      <c r="E19" s="109">
        <v>10187</v>
      </c>
      <c r="F19" s="109">
        <v>1234318</v>
      </c>
      <c r="G19" s="109">
        <v>154609</v>
      </c>
      <c r="H19" s="109">
        <v>296450</v>
      </c>
      <c r="K19" s="111"/>
      <c r="L19" s="111"/>
      <c r="M19" s="111"/>
      <c r="N19" s="111"/>
      <c r="O19" s="111"/>
      <c r="P19" s="111"/>
      <c r="Q19" s="111"/>
    </row>
    <row r="20" spans="1:17" ht="15">
      <c r="A20" s="108" t="s">
        <v>96</v>
      </c>
      <c r="B20" s="109">
        <v>26281531</v>
      </c>
      <c r="C20" s="109">
        <v>7999</v>
      </c>
      <c r="D20" s="110">
        <v>0</v>
      </c>
      <c r="E20" s="109">
        <v>108605</v>
      </c>
      <c r="F20" s="109">
        <v>357814</v>
      </c>
      <c r="G20" s="109">
        <v>156911</v>
      </c>
      <c r="H20" s="109">
        <v>255857</v>
      </c>
      <c r="K20" s="111"/>
      <c r="L20" s="111"/>
      <c r="M20" s="111"/>
      <c r="N20" s="111"/>
      <c r="O20" s="111"/>
      <c r="P20" s="111"/>
      <c r="Q20" s="111"/>
    </row>
    <row r="21" spans="1:17" ht="15">
      <c r="A21" s="108" t="s">
        <v>97</v>
      </c>
      <c r="B21" s="109">
        <v>1865152</v>
      </c>
      <c r="C21" s="110">
        <v>0</v>
      </c>
      <c r="D21" s="110">
        <v>0</v>
      </c>
      <c r="E21" s="109">
        <v>83968</v>
      </c>
      <c r="F21" s="109">
        <v>82685</v>
      </c>
      <c r="G21" s="109">
        <v>88160</v>
      </c>
      <c r="H21" s="109">
        <v>86344</v>
      </c>
      <c r="K21" s="111"/>
      <c r="L21" s="111"/>
      <c r="M21" s="111"/>
      <c r="N21" s="111"/>
      <c r="O21" s="111"/>
      <c r="P21" s="111"/>
      <c r="Q21" s="111"/>
    </row>
    <row r="22" spans="1:17" ht="15">
      <c r="A22" s="108" t="s">
        <v>98</v>
      </c>
      <c r="B22" s="109">
        <v>60602270</v>
      </c>
      <c r="C22" s="109">
        <v>40511</v>
      </c>
      <c r="D22" s="109">
        <v>20152</v>
      </c>
      <c r="E22" s="109">
        <v>175075</v>
      </c>
      <c r="F22" s="109">
        <v>319535</v>
      </c>
      <c r="G22" s="109">
        <v>450072</v>
      </c>
      <c r="H22" s="109">
        <v>257939</v>
      </c>
      <c r="K22" s="111"/>
      <c r="L22" s="111"/>
      <c r="M22" s="111"/>
      <c r="N22" s="111"/>
      <c r="O22" s="111"/>
      <c r="P22" s="111"/>
      <c r="Q22" s="111"/>
    </row>
    <row r="23" spans="1:17" ht="15">
      <c r="A23" s="112" t="s">
        <v>99</v>
      </c>
      <c r="B23" s="109">
        <v>3985887</v>
      </c>
      <c r="C23" s="110">
        <v>0</v>
      </c>
      <c r="D23" s="110">
        <v>0</v>
      </c>
      <c r="E23" s="110">
        <v>350</v>
      </c>
      <c r="F23" s="109">
        <v>12191</v>
      </c>
      <c r="G23" s="109">
        <v>83160</v>
      </c>
      <c r="H23" s="109">
        <v>46053</v>
      </c>
      <c r="K23" s="111"/>
      <c r="L23" s="111"/>
      <c r="M23" s="111"/>
      <c r="N23" s="111"/>
      <c r="O23" s="111"/>
      <c r="P23" s="111"/>
      <c r="Q23" s="111"/>
    </row>
    <row r="24" spans="1:17" ht="15">
      <c r="A24" s="108" t="s">
        <v>100</v>
      </c>
      <c r="B24" s="109">
        <v>485981</v>
      </c>
      <c r="C24" s="110">
        <v>0</v>
      </c>
      <c r="D24" s="110">
        <v>0</v>
      </c>
      <c r="E24" s="110">
        <v>0</v>
      </c>
      <c r="F24" s="109">
        <v>9104</v>
      </c>
      <c r="G24" s="109">
        <v>13100</v>
      </c>
      <c r="H24" s="109">
        <v>57732</v>
      </c>
      <c r="K24" s="111"/>
      <c r="L24" s="111"/>
      <c r="M24" s="111"/>
      <c r="N24" s="111"/>
      <c r="O24" s="111"/>
      <c r="P24" s="111"/>
      <c r="Q24" s="111"/>
    </row>
    <row r="25" spans="1:17" ht="15">
      <c r="A25" s="108" t="s">
        <v>101</v>
      </c>
      <c r="B25" s="109">
        <v>54992</v>
      </c>
      <c r="C25" s="109">
        <v>147754</v>
      </c>
      <c r="D25" s="109">
        <v>39589</v>
      </c>
      <c r="E25" s="109">
        <v>8511</v>
      </c>
      <c r="F25" s="109">
        <v>47249</v>
      </c>
      <c r="G25" s="109">
        <v>12837</v>
      </c>
      <c r="H25" s="109">
        <v>23993</v>
      </c>
      <c r="K25" s="111"/>
      <c r="L25" s="111"/>
      <c r="M25" s="111"/>
      <c r="N25" s="111"/>
      <c r="O25" s="111"/>
      <c r="P25" s="111"/>
      <c r="Q25" s="111"/>
    </row>
    <row r="26" spans="1:17" ht="15">
      <c r="A26" s="108" t="s">
        <v>102</v>
      </c>
      <c r="B26" s="109">
        <v>138982</v>
      </c>
      <c r="C26" s="109">
        <v>125956</v>
      </c>
      <c r="D26" s="109">
        <v>33250</v>
      </c>
      <c r="E26" s="109">
        <v>6810</v>
      </c>
      <c r="F26" s="109">
        <v>682688</v>
      </c>
      <c r="G26" s="109">
        <v>51355</v>
      </c>
      <c r="H26" s="109">
        <v>118002</v>
      </c>
      <c r="K26" s="111"/>
      <c r="L26" s="111"/>
      <c r="M26" s="111"/>
      <c r="N26" s="111"/>
      <c r="O26" s="111"/>
      <c r="P26" s="111"/>
      <c r="Q26" s="111"/>
    </row>
    <row r="27" spans="1:17" ht="15">
      <c r="A27" s="108" t="s">
        <v>103</v>
      </c>
      <c r="B27" s="109">
        <v>6049852</v>
      </c>
      <c r="C27" s="110">
        <v>82</v>
      </c>
      <c r="D27" s="110">
        <v>0</v>
      </c>
      <c r="E27" s="109">
        <v>382545</v>
      </c>
      <c r="F27" s="109">
        <v>302540</v>
      </c>
      <c r="G27" s="109">
        <v>159009</v>
      </c>
      <c r="H27" s="109">
        <v>290882</v>
      </c>
      <c r="K27" s="111"/>
      <c r="L27" s="111"/>
      <c r="M27" s="111"/>
      <c r="N27" s="111"/>
      <c r="O27" s="111"/>
      <c r="P27" s="111"/>
      <c r="Q27" s="111"/>
    </row>
    <row r="28" spans="1:17" ht="15">
      <c r="A28" s="108" t="s">
        <v>104</v>
      </c>
      <c r="B28" s="109">
        <v>1726550</v>
      </c>
      <c r="C28" s="109">
        <v>2032490</v>
      </c>
      <c r="D28" s="109">
        <v>394780</v>
      </c>
      <c r="E28" s="110">
        <v>0</v>
      </c>
      <c r="F28" s="109">
        <v>2919060</v>
      </c>
      <c r="G28" s="109">
        <v>112310</v>
      </c>
      <c r="H28" s="109">
        <v>726080</v>
      </c>
      <c r="K28" s="111"/>
      <c r="L28" s="111"/>
      <c r="M28" s="111"/>
      <c r="N28" s="111"/>
      <c r="O28" s="111"/>
      <c r="P28" s="111"/>
      <c r="Q28" s="111"/>
    </row>
    <row r="29" spans="1:17" ht="15">
      <c r="A29" s="112" t="s">
        <v>105</v>
      </c>
      <c r="B29" s="109">
        <v>4366029</v>
      </c>
      <c r="C29" s="110">
        <v>0</v>
      </c>
      <c r="D29" s="110">
        <v>0</v>
      </c>
      <c r="E29" s="110">
        <v>0</v>
      </c>
      <c r="F29" s="109">
        <v>5422</v>
      </c>
      <c r="G29" s="109">
        <v>141355</v>
      </c>
      <c r="H29" s="109">
        <v>193965</v>
      </c>
      <c r="K29" s="111"/>
      <c r="L29" s="111"/>
      <c r="M29" s="111"/>
      <c r="N29" s="111"/>
      <c r="O29" s="111"/>
      <c r="P29" s="111"/>
      <c r="Q29" s="111"/>
    </row>
    <row r="30" spans="1:17" ht="15">
      <c r="A30" s="108" t="s">
        <v>106</v>
      </c>
      <c r="B30" s="109">
        <v>1150833</v>
      </c>
      <c r="C30" s="109">
        <v>78238</v>
      </c>
      <c r="D30" s="109">
        <v>29742</v>
      </c>
      <c r="E30" s="109">
        <v>18227</v>
      </c>
      <c r="F30" s="109">
        <v>37901</v>
      </c>
      <c r="G30" s="109">
        <v>34312</v>
      </c>
      <c r="H30" s="109">
        <v>20570</v>
      </c>
      <c r="K30" s="111"/>
      <c r="L30" s="111"/>
      <c r="M30" s="111"/>
      <c r="N30" s="111"/>
      <c r="O30" s="111"/>
      <c r="P30" s="111"/>
      <c r="Q30" s="111"/>
    </row>
    <row r="31" spans="1:17" ht="15">
      <c r="A31" s="108" t="s">
        <v>107</v>
      </c>
      <c r="B31" s="109">
        <v>159830</v>
      </c>
      <c r="C31" s="110">
        <v>0</v>
      </c>
      <c r="D31" s="110">
        <v>0</v>
      </c>
      <c r="E31" s="109">
        <v>60648</v>
      </c>
      <c r="F31" s="109">
        <v>6290</v>
      </c>
      <c r="G31" s="109">
        <v>29748</v>
      </c>
      <c r="H31" s="109">
        <v>22427</v>
      </c>
      <c r="K31" s="111"/>
      <c r="L31" s="111"/>
      <c r="M31" s="111"/>
      <c r="N31" s="111"/>
      <c r="O31" s="111"/>
      <c r="P31" s="111"/>
      <c r="Q31" s="111"/>
    </row>
    <row r="32" spans="1:17" ht="15">
      <c r="A32" s="108" t="s">
        <v>108</v>
      </c>
      <c r="B32" s="109">
        <v>5944698</v>
      </c>
      <c r="C32" s="110">
        <v>0</v>
      </c>
      <c r="D32" s="110">
        <v>0</v>
      </c>
      <c r="E32" s="110">
        <v>0</v>
      </c>
      <c r="F32" s="109">
        <v>9646</v>
      </c>
      <c r="G32" s="109">
        <v>47265</v>
      </c>
      <c r="H32" s="109">
        <v>46396</v>
      </c>
      <c r="K32" s="111"/>
      <c r="L32" s="111"/>
      <c r="M32" s="111"/>
      <c r="N32" s="111"/>
      <c r="O32" s="111"/>
      <c r="P32" s="111"/>
      <c r="Q32" s="111"/>
    </row>
    <row r="34" spans="1:15" ht="15">
      <c r="A34" s="102" t="s">
        <v>79</v>
      </c>
      <c r="B34" s="1162">
        <v>2</v>
      </c>
      <c r="C34" s="1162"/>
      <c r="D34" s="1162"/>
      <c r="E34" s="1162"/>
      <c r="F34" s="1162"/>
      <c r="G34" s="1162"/>
      <c r="H34" s="1162"/>
      <c r="J34" s="6"/>
      <c r="K34" s="507" t="s">
        <v>989</v>
      </c>
      <c r="L34" s="6"/>
      <c r="M34" s="6"/>
      <c r="N34" s="6"/>
      <c r="O34" s="6"/>
    </row>
    <row r="35" spans="1:15" ht="12.75">
      <c r="A35" s="104" t="s">
        <v>80</v>
      </c>
      <c r="B35" s="1162" t="s">
        <v>905</v>
      </c>
      <c r="C35" s="1162"/>
      <c r="D35" s="1162"/>
      <c r="E35" s="1162"/>
      <c r="F35" s="1162"/>
      <c r="G35" s="1162"/>
      <c r="H35" s="1162"/>
      <c r="J35" s="6"/>
      <c r="K35" s="6"/>
      <c r="L35" s="6"/>
      <c r="M35" s="6"/>
      <c r="N35" s="6"/>
      <c r="O35" s="6"/>
    </row>
    <row r="36" spans="1:15" ht="48" customHeight="1">
      <c r="A36" s="104" t="s">
        <v>81</v>
      </c>
      <c r="B36" s="1161" t="s">
        <v>146</v>
      </c>
      <c r="C36" s="1162"/>
      <c r="D36" s="1162"/>
      <c r="E36" s="1162"/>
      <c r="F36" s="1162"/>
      <c r="G36" s="1162"/>
      <c r="H36" s="1162"/>
      <c r="J36" s="6"/>
      <c r="K36" s="6"/>
      <c r="L36" s="6"/>
      <c r="M36" s="6"/>
      <c r="N36" s="6"/>
      <c r="O36" s="6"/>
    </row>
    <row r="37" spans="1:15" ht="15">
      <c r="A37" s="104" t="s">
        <v>82</v>
      </c>
      <c r="B37" s="1162"/>
      <c r="C37" s="1162"/>
      <c r="D37" s="1162"/>
      <c r="E37" s="1162"/>
      <c r="F37" s="1162"/>
      <c r="G37" s="1162"/>
      <c r="H37" s="1162"/>
      <c r="J37" s="6"/>
      <c r="K37" s="6"/>
      <c r="L37" s="6"/>
      <c r="M37" s="6"/>
      <c r="N37" s="6"/>
      <c r="O37" s="6"/>
    </row>
    <row r="38" spans="1:8" ht="15">
      <c r="A38" s="104" t="s">
        <v>83</v>
      </c>
      <c r="B38" s="1162"/>
      <c r="C38" s="1162"/>
      <c r="D38" s="1162"/>
      <c r="E38" s="1162"/>
      <c r="F38" s="1162"/>
      <c r="G38" s="1162"/>
      <c r="H38" s="1162"/>
    </row>
    <row r="39" spans="1:8" ht="15">
      <c r="A39" s="104" t="s">
        <v>84</v>
      </c>
      <c r="B39" s="1162" t="s">
        <v>147</v>
      </c>
      <c r="C39" s="1162"/>
      <c r="D39" s="1162"/>
      <c r="E39" s="1162"/>
      <c r="F39" s="1162"/>
      <c r="G39" s="1162"/>
      <c r="H39" s="1162"/>
    </row>
    <row r="40" spans="1:9" ht="15">
      <c r="A40" s="105" t="s">
        <v>41</v>
      </c>
      <c r="B40" s="105" t="s">
        <v>72</v>
      </c>
      <c r="C40" s="105" t="s">
        <v>73</v>
      </c>
      <c r="D40" s="105" t="s">
        <v>74</v>
      </c>
      <c r="E40" s="113"/>
      <c r="F40" s="113"/>
      <c r="G40" s="114"/>
      <c r="H40" s="114"/>
      <c r="I40" s="114"/>
    </row>
    <row r="41" spans="1:9" ht="15">
      <c r="A41" s="105" t="s">
        <v>76</v>
      </c>
      <c r="B41" s="107">
        <f>SUM(B42:B65)</f>
        <v>526290.5573110435</v>
      </c>
      <c r="C41" s="107">
        <f>SUM(C42:C65)</f>
        <v>590007.7086570447</v>
      </c>
      <c r="D41" s="107">
        <f>SUM(D42:D65)</f>
        <v>14537707.082720434</v>
      </c>
      <c r="E41" s="113"/>
      <c r="F41" s="113"/>
      <c r="G41" s="115"/>
      <c r="H41" s="116"/>
      <c r="I41" s="113"/>
    </row>
    <row r="42" spans="1:9" ht="15">
      <c r="A42" s="108" t="s">
        <v>85</v>
      </c>
      <c r="B42" s="117">
        <v>27291.8051828901</v>
      </c>
      <c r="C42" s="117">
        <v>12505.2608769127</v>
      </c>
      <c r="D42" s="117">
        <v>359134.696555643</v>
      </c>
      <c r="E42" s="113"/>
      <c r="F42" s="113"/>
      <c r="G42" s="115"/>
      <c r="H42" s="113"/>
      <c r="I42" s="113"/>
    </row>
    <row r="43" spans="1:9" ht="15">
      <c r="A43" s="108" t="s">
        <v>86</v>
      </c>
      <c r="B43" s="117">
        <v>39392.5068150095</v>
      </c>
      <c r="C43" s="117">
        <v>80381.1944326083</v>
      </c>
      <c r="D43" s="117">
        <v>1923372.49528808</v>
      </c>
      <c r="E43" s="113"/>
      <c r="F43" s="113"/>
      <c r="G43" s="115"/>
      <c r="H43" s="113"/>
      <c r="I43" s="113"/>
    </row>
    <row r="44" spans="1:9" ht="15">
      <c r="A44" s="108" t="s">
        <v>87</v>
      </c>
      <c r="B44" s="117">
        <v>82161.5741304738</v>
      </c>
      <c r="C44" s="117">
        <v>10629.8721710901</v>
      </c>
      <c r="D44" s="117">
        <v>1204315.15878705</v>
      </c>
      <c r="E44" s="113"/>
      <c r="F44" s="113"/>
      <c r="G44" s="113"/>
      <c r="H44" s="114"/>
      <c r="I44" s="114"/>
    </row>
    <row r="45" spans="1:9" ht="15">
      <c r="A45" s="108" t="s">
        <v>88</v>
      </c>
      <c r="B45" s="117">
        <v>7725.21118704614</v>
      </c>
      <c r="C45" s="117">
        <v>17834.9052283941</v>
      </c>
      <c r="D45" s="117">
        <v>495062.474751151</v>
      </c>
      <c r="E45" s="113"/>
      <c r="F45" s="113"/>
      <c r="G45" s="113"/>
      <c r="H45" s="114"/>
      <c r="I45" s="114"/>
    </row>
    <row r="46" spans="1:9" ht="15">
      <c r="A46" s="108" t="s">
        <v>89</v>
      </c>
      <c r="B46" s="117">
        <v>33843.8962767069</v>
      </c>
      <c r="C46" s="117">
        <v>36128.5077219631</v>
      </c>
      <c r="D46" s="117">
        <v>603395.413257091</v>
      </c>
      <c r="E46" s="113"/>
      <c r="F46" s="113"/>
      <c r="G46" s="113"/>
      <c r="H46" s="114"/>
      <c r="I46" s="114"/>
    </row>
    <row r="47" spans="1:9" ht="15">
      <c r="A47" s="108" t="s">
        <v>90</v>
      </c>
      <c r="B47" s="117">
        <v>49645.8663327273</v>
      </c>
      <c r="C47" s="117">
        <v>81874.132611628</v>
      </c>
      <c r="D47" s="117">
        <v>2820931.80536114</v>
      </c>
      <c r="E47" s="113"/>
      <c r="F47" s="113"/>
      <c r="G47" s="113"/>
      <c r="H47" s="114"/>
      <c r="I47" s="114"/>
    </row>
    <row r="48" spans="1:9" ht="15">
      <c r="A48" s="108" t="s">
        <v>91</v>
      </c>
      <c r="B48" s="117">
        <v>64631.1749964218</v>
      </c>
      <c r="C48" s="117">
        <v>40806.3524343615</v>
      </c>
      <c r="D48" s="117">
        <v>1998294.24572334</v>
      </c>
      <c r="E48" s="113"/>
      <c r="F48" s="113"/>
      <c r="G48" s="113"/>
      <c r="H48" s="114"/>
      <c r="I48" s="114"/>
    </row>
    <row r="49" spans="1:9" ht="15">
      <c r="A49" s="108" t="s">
        <v>92</v>
      </c>
      <c r="B49" s="117">
        <v>21285.4872187218</v>
      </c>
      <c r="C49" s="117">
        <v>19801.9489079818</v>
      </c>
      <c r="D49" s="117">
        <v>369628.402261882</v>
      </c>
      <c r="E49" s="113"/>
      <c r="F49" s="113"/>
      <c r="G49" s="113"/>
      <c r="H49" s="114"/>
      <c r="I49" s="114"/>
    </row>
    <row r="50" spans="1:9" ht="15">
      <c r="A50" s="108" t="s">
        <v>93</v>
      </c>
      <c r="B50" s="117">
        <v>39975.2989071898</v>
      </c>
      <c r="C50" s="117">
        <v>35256.3125261291</v>
      </c>
      <c r="D50" s="117">
        <v>715436.256422555</v>
      </c>
      <c r="E50" s="113"/>
      <c r="F50" s="113"/>
      <c r="G50" s="113"/>
      <c r="H50" s="114"/>
      <c r="I50" s="114"/>
    </row>
    <row r="51" spans="1:9" ht="15">
      <c r="A51" s="108" t="s">
        <v>94</v>
      </c>
      <c r="B51" s="117">
        <v>2797.64452073827</v>
      </c>
      <c r="C51" s="117">
        <v>3424.04913614219</v>
      </c>
      <c r="D51" s="117">
        <v>58955.0633909412</v>
      </c>
      <c r="E51" s="113"/>
      <c r="F51" s="113"/>
      <c r="G51" s="113"/>
      <c r="H51" s="114"/>
      <c r="I51" s="114"/>
    </row>
    <row r="52" spans="1:9" ht="15">
      <c r="A52" s="108" t="s">
        <v>95</v>
      </c>
      <c r="B52" s="117">
        <v>10521.2279782036</v>
      </c>
      <c r="C52" s="117">
        <v>29382.7778525028</v>
      </c>
      <c r="D52" s="117">
        <v>1028145.44024706</v>
      </c>
      <c r="E52" s="113"/>
      <c r="F52" s="113"/>
      <c r="G52" s="113"/>
      <c r="H52" s="114"/>
      <c r="I52" s="114"/>
    </row>
    <row r="53" spans="1:9" ht="15">
      <c r="A53" s="108" t="s">
        <v>96</v>
      </c>
      <c r="B53" s="117">
        <v>40434.5145349209</v>
      </c>
      <c r="C53" s="117">
        <v>52367.0920036767</v>
      </c>
      <c r="D53" s="117">
        <v>784358.511886237</v>
      </c>
      <c r="E53" s="113"/>
      <c r="F53" s="113"/>
      <c r="G53" s="113"/>
      <c r="H53" s="114"/>
      <c r="I53" s="114"/>
    </row>
    <row r="54" spans="1:9" ht="15">
      <c r="A54" s="108" t="s">
        <v>97</v>
      </c>
      <c r="B54" s="117">
        <v>6894.06955165671</v>
      </c>
      <c r="C54" s="117">
        <v>12246.0466482676</v>
      </c>
      <c r="D54" s="117">
        <v>274260.027288669</v>
      </c>
      <c r="E54" s="113"/>
      <c r="F54" s="113"/>
      <c r="G54" s="113"/>
      <c r="H54" s="114"/>
      <c r="I54" s="114"/>
    </row>
    <row r="55" spans="1:9" ht="15">
      <c r="A55" s="108" t="s">
        <v>98</v>
      </c>
      <c r="B55" s="117">
        <v>12397.3182038256</v>
      </c>
      <c r="C55" s="117">
        <v>24667.3729118253</v>
      </c>
      <c r="D55" s="117">
        <v>881708.409205168</v>
      </c>
      <c r="E55" s="113"/>
      <c r="F55" s="113"/>
      <c r="G55" s="113"/>
      <c r="H55" s="114"/>
      <c r="I55" s="114"/>
    </row>
    <row r="56" spans="1:9" ht="15">
      <c r="A56" s="112" t="s">
        <v>99</v>
      </c>
      <c r="B56" s="117">
        <v>3809.6415524792</v>
      </c>
      <c r="C56" s="117">
        <v>473.114039625132</v>
      </c>
      <c r="D56" s="117">
        <v>17602.942073804</v>
      </c>
      <c r="E56" s="113"/>
      <c r="F56" s="113"/>
      <c r="G56" s="113"/>
      <c r="H56" s="114"/>
      <c r="I56" s="114"/>
    </row>
    <row r="57" spans="1:9" ht="15">
      <c r="A57" s="108" t="s">
        <v>100</v>
      </c>
      <c r="B57" s="117">
        <v>476.537404431081</v>
      </c>
      <c r="C57" s="117">
        <v>22.5937956477626</v>
      </c>
      <c r="D57" s="117">
        <v>2734.82396094338</v>
      </c>
      <c r="E57" s="113"/>
      <c r="F57" s="113"/>
      <c r="G57" s="113"/>
      <c r="H57" s="114"/>
      <c r="I57" s="114"/>
    </row>
    <row r="58" spans="1:9" ht="15">
      <c r="A58" s="108" t="s">
        <v>101</v>
      </c>
      <c r="B58" s="117">
        <v>665.276403728355</v>
      </c>
      <c r="C58" s="117">
        <v>5796.44169775901</v>
      </c>
      <c r="D58" s="117">
        <v>159933.428748195</v>
      </c>
      <c r="E58" s="113"/>
      <c r="F58" s="113"/>
      <c r="G58" s="113"/>
      <c r="H58" s="114"/>
      <c r="I58" s="114"/>
    </row>
    <row r="59" spans="1:9" ht="15">
      <c r="A59" s="108" t="s">
        <v>102</v>
      </c>
      <c r="B59" s="117">
        <v>10030.314105245</v>
      </c>
      <c r="C59" s="117">
        <v>8977.69665350197</v>
      </c>
      <c r="D59" s="117">
        <v>96243.5501649099</v>
      </c>
      <c r="E59" s="113"/>
      <c r="F59" s="113"/>
      <c r="G59" s="113"/>
      <c r="H59" s="114"/>
      <c r="I59" s="114"/>
    </row>
    <row r="60" spans="1:9" ht="15">
      <c r="A60" s="108" t="s">
        <v>103</v>
      </c>
      <c r="B60" s="117">
        <v>32523.6619960125</v>
      </c>
      <c r="C60" s="117">
        <v>43551.5887523214</v>
      </c>
      <c r="D60" s="117">
        <v>114556.823192564</v>
      </c>
      <c r="E60" s="113"/>
      <c r="F60" s="113"/>
      <c r="G60" s="113"/>
      <c r="H60" s="114"/>
      <c r="I60" s="114"/>
    </row>
    <row r="61" spans="1:9" ht="15">
      <c r="A61" s="108" t="s">
        <v>104</v>
      </c>
      <c r="B61" s="117">
        <v>9935.45312678</v>
      </c>
      <c r="C61" s="117">
        <v>58066.4047730159</v>
      </c>
      <c r="D61" s="117">
        <v>116704.462134583</v>
      </c>
      <c r="E61" s="113"/>
      <c r="F61" s="113"/>
      <c r="G61" s="113"/>
      <c r="H61" s="114"/>
      <c r="I61" s="114"/>
    </row>
    <row r="62" spans="1:9" ht="15">
      <c r="A62" s="112" t="s">
        <v>105</v>
      </c>
      <c r="B62" s="117">
        <v>24626.0414073493</v>
      </c>
      <c r="C62" s="117">
        <v>11662.7836692357</v>
      </c>
      <c r="D62" s="117">
        <v>377864.997146712</v>
      </c>
      <c r="E62" s="113"/>
      <c r="F62" s="113"/>
      <c r="G62" s="113"/>
      <c r="H62" s="114"/>
      <c r="I62" s="114"/>
    </row>
    <row r="63" spans="1:9" ht="15">
      <c r="A63" s="108" t="s">
        <v>106</v>
      </c>
      <c r="B63" s="117">
        <v>682.893921675903</v>
      </c>
      <c r="C63" s="117">
        <v>1448.6128993615</v>
      </c>
      <c r="D63" s="117">
        <v>119692.175761668</v>
      </c>
      <c r="E63" s="113"/>
      <c r="F63" s="113"/>
      <c r="G63" s="113"/>
      <c r="H63" s="114"/>
      <c r="I63" s="114"/>
    </row>
    <row r="64" spans="1:9" ht="15">
      <c r="A64" s="108" t="s">
        <v>107</v>
      </c>
      <c r="B64" s="117">
        <v>2337.35463511981</v>
      </c>
      <c r="C64" s="117">
        <v>2515.27705299681</v>
      </c>
      <c r="D64" s="117">
        <v>2519.86827253556</v>
      </c>
      <c r="E64" s="113"/>
      <c r="F64" s="113"/>
      <c r="G64" s="113"/>
      <c r="H64" s="114"/>
      <c r="I64" s="114"/>
    </row>
    <row r="65" spans="1:9" ht="15">
      <c r="A65" s="108" t="s">
        <v>108</v>
      </c>
      <c r="B65" s="117">
        <v>2205.78692169011</v>
      </c>
      <c r="C65" s="117">
        <v>187.369860096304</v>
      </c>
      <c r="D65" s="117">
        <v>12855.6108385092</v>
      </c>
      <c r="E65" s="113"/>
      <c r="F65" s="113"/>
      <c r="G65" s="113"/>
      <c r="H65" s="114"/>
      <c r="I65" s="114"/>
    </row>
    <row r="66" spans="1:9" ht="15">
      <c r="A66" s="118"/>
      <c r="B66" s="114"/>
      <c r="C66" s="115"/>
      <c r="D66" s="115"/>
      <c r="E66" s="113"/>
      <c r="F66" s="113"/>
      <c r="G66" s="113"/>
      <c r="H66" s="114"/>
      <c r="I66" s="114"/>
    </row>
    <row r="67" spans="1:15" ht="15">
      <c r="A67" s="102" t="s">
        <v>79</v>
      </c>
      <c r="B67" s="1162">
        <v>3</v>
      </c>
      <c r="C67" s="1162"/>
      <c r="D67" s="1162"/>
      <c r="E67" s="1162"/>
      <c r="F67" s="1162"/>
      <c r="G67" s="1162"/>
      <c r="H67" s="1162"/>
      <c r="J67" s="6"/>
      <c r="K67" s="507" t="s">
        <v>989</v>
      </c>
      <c r="L67" s="6"/>
      <c r="M67" s="6"/>
      <c r="N67" s="6"/>
      <c r="O67" s="6"/>
    </row>
    <row r="68" spans="1:15" ht="15" customHeight="1">
      <c r="A68" s="104" t="s">
        <v>80</v>
      </c>
      <c r="B68" s="1169" t="s">
        <v>491</v>
      </c>
      <c r="C68" s="1170"/>
      <c r="D68" s="1170"/>
      <c r="E68" s="1170"/>
      <c r="F68" s="1170"/>
      <c r="G68" s="1170"/>
      <c r="H68" s="1171"/>
      <c r="J68" s="6"/>
      <c r="K68" s="6"/>
      <c r="L68" s="6"/>
      <c r="M68" s="6"/>
      <c r="N68" s="6"/>
      <c r="O68" s="6"/>
    </row>
    <row r="69" spans="1:15" ht="12.75">
      <c r="A69" s="104" t="s">
        <v>81</v>
      </c>
      <c r="B69" s="1161" t="s">
        <v>145</v>
      </c>
      <c r="C69" s="1161"/>
      <c r="D69" s="1161"/>
      <c r="E69" s="1161"/>
      <c r="F69" s="1161"/>
      <c r="G69" s="1161"/>
      <c r="H69" s="1161"/>
      <c r="J69" s="6"/>
      <c r="K69" s="6"/>
      <c r="L69" s="6"/>
      <c r="M69" s="6"/>
      <c r="N69" s="6"/>
      <c r="O69" s="6"/>
    </row>
    <row r="70" spans="1:15" ht="12.75">
      <c r="A70" s="104" t="s">
        <v>82</v>
      </c>
      <c r="B70" s="1172" t="s">
        <v>144</v>
      </c>
      <c r="C70" s="1162"/>
      <c r="D70" s="1162"/>
      <c r="E70" s="1162"/>
      <c r="F70" s="1162"/>
      <c r="G70" s="1162"/>
      <c r="H70" s="1162"/>
      <c r="J70" s="6"/>
      <c r="K70" s="6"/>
      <c r="L70" s="6"/>
      <c r="M70" s="6"/>
      <c r="N70" s="6"/>
      <c r="O70" s="6"/>
    </row>
    <row r="71" spans="1:8" ht="12.75">
      <c r="A71" s="104" t="s">
        <v>83</v>
      </c>
      <c r="B71" s="1168">
        <v>44002</v>
      </c>
      <c r="C71" s="1162"/>
      <c r="D71" s="1162"/>
      <c r="E71" s="1162"/>
      <c r="F71" s="1162"/>
      <c r="G71" s="1162"/>
      <c r="H71" s="1162"/>
    </row>
    <row r="72" spans="1:8" ht="43.5" customHeight="1">
      <c r="A72" s="104" t="s">
        <v>84</v>
      </c>
      <c r="B72" s="1161" t="s">
        <v>1048</v>
      </c>
      <c r="C72" s="1161"/>
      <c r="D72" s="1161"/>
      <c r="E72" s="1161"/>
      <c r="F72" s="1161"/>
      <c r="G72" s="1161"/>
      <c r="H72" s="1161"/>
    </row>
    <row r="73" spans="1:9" ht="26.25">
      <c r="A73" s="105" t="s">
        <v>41</v>
      </c>
      <c r="B73" s="105" t="s">
        <v>75</v>
      </c>
      <c r="C73" s="113"/>
      <c r="D73" s="113"/>
      <c r="E73" s="113"/>
      <c r="F73" s="113"/>
      <c r="G73" s="113"/>
      <c r="H73" s="113"/>
      <c r="I73" s="114"/>
    </row>
    <row r="74" spans="1:9" ht="15">
      <c r="A74" s="105" t="s">
        <v>76</v>
      </c>
      <c r="B74" s="482">
        <f>SUM(B75:B98)</f>
        <v>895718</v>
      </c>
      <c r="C74" s="113"/>
      <c r="D74" s="113"/>
      <c r="E74" s="113"/>
      <c r="F74" s="113"/>
      <c r="G74" s="113"/>
      <c r="H74" s="113"/>
      <c r="I74" s="114"/>
    </row>
    <row r="75" spans="1:9" ht="15">
      <c r="A75" s="108" t="s">
        <v>85</v>
      </c>
      <c r="B75" s="109">
        <v>71212</v>
      </c>
      <c r="F75" s="113"/>
      <c r="G75" s="113"/>
      <c r="H75" s="113"/>
      <c r="I75" s="114"/>
    </row>
    <row r="76" spans="1:9" ht="15">
      <c r="A76" s="108" t="s">
        <v>86</v>
      </c>
      <c r="B76" s="109">
        <v>13073</v>
      </c>
      <c r="C76" s="113"/>
      <c r="D76" s="119"/>
      <c r="F76" s="113"/>
      <c r="G76" s="113"/>
      <c r="H76" s="113"/>
      <c r="I76" s="114"/>
    </row>
    <row r="77" spans="1:9" ht="15">
      <c r="A77" s="108" t="s">
        <v>87</v>
      </c>
      <c r="B77" s="109">
        <v>32542</v>
      </c>
      <c r="C77" s="113"/>
      <c r="D77" s="119"/>
      <c r="F77" s="113"/>
      <c r="G77" s="113"/>
      <c r="H77" s="113"/>
      <c r="I77" s="114"/>
    </row>
    <row r="78" spans="1:9" ht="15">
      <c r="A78" s="108" t="s">
        <v>88</v>
      </c>
      <c r="B78" s="109">
        <v>74287</v>
      </c>
      <c r="C78" s="113"/>
      <c r="D78" s="119"/>
      <c r="F78" s="113"/>
      <c r="G78" s="113"/>
      <c r="H78" s="113"/>
      <c r="I78" s="114"/>
    </row>
    <row r="79" spans="1:9" ht="15">
      <c r="A79" s="108" t="s">
        <v>89</v>
      </c>
      <c r="B79" s="109">
        <v>30053</v>
      </c>
      <c r="C79" s="113"/>
      <c r="D79" s="119"/>
      <c r="F79" s="113"/>
      <c r="G79" s="113"/>
      <c r="H79" s="113"/>
      <c r="I79" s="114"/>
    </row>
    <row r="80" spans="1:9" ht="15">
      <c r="A80" s="108" t="s">
        <v>90</v>
      </c>
      <c r="B80" s="109">
        <v>159826</v>
      </c>
      <c r="C80" s="113"/>
      <c r="D80" s="119"/>
      <c r="F80" s="113"/>
      <c r="G80" s="113"/>
      <c r="H80" s="113"/>
      <c r="I80" s="114"/>
    </row>
    <row r="81" spans="1:9" ht="15">
      <c r="A81" s="108" t="s">
        <v>91</v>
      </c>
      <c r="B81" s="109">
        <v>80923</v>
      </c>
      <c r="C81" s="113"/>
      <c r="D81" s="119"/>
      <c r="F81" s="113"/>
      <c r="G81" s="113"/>
      <c r="H81" s="113"/>
      <c r="I81" s="114"/>
    </row>
    <row r="82" spans="1:9" ht="15">
      <c r="A82" s="108" t="s">
        <v>92</v>
      </c>
      <c r="B82" s="109">
        <v>16134</v>
      </c>
      <c r="C82" s="113"/>
      <c r="D82" s="119"/>
      <c r="F82" s="113"/>
      <c r="G82" s="113"/>
      <c r="H82" s="113"/>
      <c r="I82" s="114"/>
    </row>
    <row r="83" spans="1:9" ht="15">
      <c r="A83" s="108" t="s">
        <v>93</v>
      </c>
      <c r="B83" s="109">
        <v>31905</v>
      </c>
      <c r="C83" s="113"/>
      <c r="D83" s="119"/>
      <c r="F83" s="113"/>
      <c r="G83" s="113"/>
      <c r="H83" s="113"/>
      <c r="I83" s="114"/>
    </row>
    <row r="84" spans="1:9" ht="15">
      <c r="A84" s="108" t="s">
        <v>94</v>
      </c>
      <c r="B84" s="109">
        <v>10349</v>
      </c>
      <c r="C84" s="113"/>
      <c r="D84" s="119"/>
      <c r="F84" s="113"/>
      <c r="G84" s="113"/>
      <c r="H84" s="113"/>
      <c r="I84" s="114"/>
    </row>
    <row r="85" spans="1:9" ht="15">
      <c r="A85" s="108" t="s">
        <v>95</v>
      </c>
      <c r="B85" s="109">
        <v>36691</v>
      </c>
      <c r="C85" s="113"/>
      <c r="D85" s="119"/>
      <c r="F85" s="113"/>
      <c r="G85" s="113"/>
      <c r="H85" s="113"/>
      <c r="I85" s="114"/>
    </row>
    <row r="86" spans="1:9" ht="15">
      <c r="A86" s="108" t="s">
        <v>96</v>
      </c>
      <c r="B86" s="109">
        <v>43042</v>
      </c>
      <c r="C86" s="113"/>
      <c r="D86" s="119"/>
      <c r="F86" s="113"/>
      <c r="G86" s="113"/>
      <c r="H86" s="113"/>
      <c r="I86" s="114"/>
    </row>
    <row r="87" spans="1:9" ht="15">
      <c r="A87" s="108" t="s">
        <v>97</v>
      </c>
      <c r="B87" s="109">
        <v>20306</v>
      </c>
      <c r="C87" s="113"/>
      <c r="D87" s="119"/>
      <c r="F87" s="113"/>
      <c r="G87" s="113"/>
      <c r="H87" s="113"/>
      <c r="I87" s="114"/>
    </row>
    <row r="88" spans="1:9" ht="15">
      <c r="A88" s="108" t="s">
        <v>98</v>
      </c>
      <c r="B88" s="109">
        <v>77763</v>
      </c>
      <c r="C88" s="113"/>
      <c r="D88" s="119"/>
      <c r="F88" s="113"/>
      <c r="G88" s="113"/>
      <c r="H88" s="113"/>
      <c r="I88" s="114"/>
    </row>
    <row r="89" spans="1:9" ht="15">
      <c r="A89" s="112" t="s">
        <v>99</v>
      </c>
      <c r="B89" s="109">
        <v>1254</v>
      </c>
      <c r="C89" s="113"/>
      <c r="D89" s="119"/>
      <c r="F89" s="113"/>
      <c r="G89" s="113"/>
      <c r="H89" s="113"/>
      <c r="I89" s="114"/>
    </row>
    <row r="90" spans="1:9" ht="15">
      <c r="A90" s="108" t="s">
        <v>100</v>
      </c>
      <c r="B90" s="109">
        <v>1610</v>
      </c>
      <c r="C90" s="113"/>
      <c r="D90" s="119"/>
      <c r="F90" s="113"/>
      <c r="G90" s="113"/>
      <c r="H90" s="113"/>
      <c r="I90" s="114"/>
    </row>
    <row r="91" spans="1:9" ht="15">
      <c r="A91" s="108" t="s">
        <v>101</v>
      </c>
      <c r="B91" s="109">
        <v>5302</v>
      </c>
      <c r="C91" s="113"/>
      <c r="D91" s="119"/>
      <c r="F91" s="113"/>
      <c r="G91" s="113"/>
      <c r="H91" s="113"/>
      <c r="I91" s="114"/>
    </row>
    <row r="92" spans="1:9" ht="15">
      <c r="A92" s="108" t="s">
        <v>102</v>
      </c>
      <c r="B92" s="109">
        <v>26348</v>
      </c>
      <c r="C92" s="113"/>
      <c r="D92" s="119"/>
      <c r="F92" s="113"/>
      <c r="G92" s="113"/>
      <c r="H92" s="113"/>
      <c r="I92" s="114"/>
    </row>
    <row r="93" spans="1:9" ht="15">
      <c r="A93" s="108" t="s">
        <v>103</v>
      </c>
      <c r="B93" s="109">
        <v>30915</v>
      </c>
      <c r="C93" s="113"/>
      <c r="D93" s="119"/>
      <c r="F93" s="113"/>
      <c r="G93" s="113"/>
      <c r="H93" s="113"/>
      <c r="I93" s="114"/>
    </row>
    <row r="94" spans="1:9" ht="15">
      <c r="A94" s="108" t="s">
        <v>104</v>
      </c>
      <c r="B94" s="109">
        <v>102805</v>
      </c>
      <c r="C94" s="113"/>
      <c r="D94" s="119"/>
      <c r="F94" s="113"/>
      <c r="G94" s="113"/>
      <c r="H94" s="113"/>
      <c r="I94" s="114"/>
    </row>
    <row r="95" spans="1:9" ht="15">
      <c r="A95" s="112" t="s">
        <v>105</v>
      </c>
      <c r="B95" s="109">
        <v>18813</v>
      </c>
      <c r="C95" s="113"/>
      <c r="D95" s="119"/>
      <c r="F95" s="113"/>
      <c r="G95" s="113"/>
      <c r="H95" s="113"/>
      <c r="I95" s="114"/>
    </row>
    <row r="96" spans="1:9" ht="15">
      <c r="A96" s="108" t="s">
        <v>106</v>
      </c>
      <c r="B96" s="109">
        <v>5702</v>
      </c>
      <c r="C96" s="113"/>
      <c r="D96" s="119"/>
      <c r="F96" s="113"/>
      <c r="G96" s="113"/>
      <c r="H96" s="113"/>
      <c r="I96" s="114"/>
    </row>
    <row r="97" spans="1:9" ht="15">
      <c r="A97" s="108" t="s">
        <v>107</v>
      </c>
      <c r="B97" s="109">
        <v>422</v>
      </c>
      <c r="C97" s="113"/>
      <c r="D97" s="119"/>
      <c r="F97" s="113"/>
      <c r="G97" s="113"/>
      <c r="H97" s="113"/>
      <c r="I97" s="114"/>
    </row>
    <row r="98" spans="1:9" ht="15">
      <c r="A98" s="108" t="s">
        <v>108</v>
      </c>
      <c r="B98" s="109">
        <v>4441</v>
      </c>
      <c r="C98" s="113"/>
      <c r="D98" s="119"/>
      <c r="F98" s="113"/>
      <c r="G98" s="113"/>
      <c r="H98" s="113"/>
      <c r="I98" s="114"/>
    </row>
    <row r="99" spans="1:9" ht="15">
      <c r="A99" s="113"/>
      <c r="B99" s="120"/>
      <c r="C99" s="113"/>
      <c r="D99" s="113"/>
      <c r="E99" s="113"/>
      <c r="F99" s="113"/>
      <c r="G99" s="113"/>
      <c r="H99" s="113"/>
      <c r="I99" s="114"/>
    </row>
    <row r="100" spans="1:15" ht="15">
      <c r="A100" s="102" t="s">
        <v>79</v>
      </c>
      <c r="B100" s="1162">
        <v>4</v>
      </c>
      <c r="C100" s="1162"/>
      <c r="D100" s="1162"/>
      <c r="E100" s="1162"/>
      <c r="F100" s="1162"/>
      <c r="G100" s="1162"/>
      <c r="H100" s="1162"/>
      <c r="J100" s="6"/>
      <c r="K100" s="507" t="s">
        <v>989</v>
      </c>
      <c r="L100" s="6"/>
      <c r="M100" s="6"/>
      <c r="N100" s="6"/>
      <c r="O100" s="6"/>
    </row>
    <row r="101" spans="1:15" ht="12.75">
      <c r="A101" s="104" t="s">
        <v>80</v>
      </c>
      <c r="B101" s="1162" t="s">
        <v>492</v>
      </c>
      <c r="C101" s="1162"/>
      <c r="D101" s="1162"/>
      <c r="E101" s="1162"/>
      <c r="F101" s="1162"/>
      <c r="G101" s="1162"/>
      <c r="H101" s="1162"/>
      <c r="J101" s="6"/>
      <c r="K101" s="6"/>
      <c r="L101" s="6"/>
      <c r="M101" s="6"/>
      <c r="N101" s="6"/>
      <c r="O101" s="6"/>
    </row>
    <row r="102" spans="1:15" ht="12.75">
      <c r="A102" s="104" t="s">
        <v>81</v>
      </c>
      <c r="B102" s="1161" t="s">
        <v>145</v>
      </c>
      <c r="C102" s="1161"/>
      <c r="D102" s="1161"/>
      <c r="E102" s="1161"/>
      <c r="F102" s="1161"/>
      <c r="G102" s="1161"/>
      <c r="H102" s="1161"/>
      <c r="J102" s="6"/>
      <c r="K102" s="6"/>
      <c r="L102" s="6"/>
      <c r="M102" s="6"/>
      <c r="N102" s="6"/>
      <c r="O102" s="6"/>
    </row>
    <row r="103" spans="1:15" ht="12.75">
      <c r="A103" s="104" t="s">
        <v>82</v>
      </c>
      <c r="B103" s="1172" t="s">
        <v>144</v>
      </c>
      <c r="C103" s="1162"/>
      <c r="D103" s="1162"/>
      <c r="E103" s="1162"/>
      <c r="F103" s="1162"/>
      <c r="G103" s="1162"/>
      <c r="H103" s="1162"/>
      <c r="J103" s="6"/>
      <c r="K103" s="6"/>
      <c r="L103" s="6"/>
      <c r="M103" s="6"/>
      <c r="N103" s="6"/>
      <c r="O103" s="6"/>
    </row>
    <row r="104" spans="1:8" ht="12.75">
      <c r="A104" s="104" t="s">
        <v>83</v>
      </c>
      <c r="B104" s="1168">
        <v>44002</v>
      </c>
      <c r="C104" s="1162"/>
      <c r="D104" s="1162"/>
      <c r="E104" s="1162"/>
      <c r="F104" s="1162"/>
      <c r="G104" s="1162"/>
      <c r="H104" s="1162"/>
    </row>
    <row r="105" spans="1:8" ht="42.75" customHeight="1">
      <c r="A105" s="104" t="s">
        <v>84</v>
      </c>
      <c r="B105" s="1161" t="s">
        <v>1048</v>
      </c>
      <c r="C105" s="1161"/>
      <c r="D105" s="1161"/>
      <c r="E105" s="1161"/>
      <c r="F105" s="1161"/>
      <c r="G105" s="1161"/>
      <c r="H105" s="1161"/>
    </row>
    <row r="106" spans="1:3" ht="15">
      <c r="A106" s="121"/>
      <c r="B106" s="122" t="s">
        <v>109</v>
      </c>
      <c r="C106" s="114"/>
    </row>
    <row r="107" spans="1:3" ht="15">
      <c r="A107" s="105" t="s">
        <v>76</v>
      </c>
      <c r="B107" s="123">
        <f>SUM(B108:B131)</f>
        <v>1954232</v>
      </c>
      <c r="C107" s="124"/>
    </row>
    <row r="108" spans="1:3" ht="15">
      <c r="A108" s="108" t="s">
        <v>85</v>
      </c>
      <c r="B108" s="125">
        <v>83366</v>
      </c>
      <c r="C108" s="126"/>
    </row>
    <row r="109" spans="1:3" ht="15">
      <c r="A109" s="108" t="s">
        <v>86</v>
      </c>
      <c r="B109" s="125">
        <v>15749</v>
      </c>
      <c r="C109" s="126"/>
    </row>
    <row r="110" spans="1:3" ht="15">
      <c r="A110" s="108" t="s">
        <v>87</v>
      </c>
      <c r="B110" s="125">
        <v>32365</v>
      </c>
      <c r="C110" s="126"/>
    </row>
    <row r="111" spans="1:3" ht="15">
      <c r="A111" s="108" t="s">
        <v>88</v>
      </c>
      <c r="B111" s="125">
        <v>348889</v>
      </c>
      <c r="C111" s="126"/>
    </row>
    <row r="112" spans="1:3" ht="15">
      <c r="A112" s="108" t="s">
        <v>89</v>
      </c>
      <c r="B112" s="125">
        <v>45151</v>
      </c>
      <c r="C112" s="126"/>
    </row>
    <row r="113" spans="1:3" ht="15">
      <c r="A113" s="108" t="s">
        <v>90</v>
      </c>
      <c r="B113" s="125">
        <v>352076</v>
      </c>
      <c r="C113" s="126"/>
    </row>
    <row r="114" spans="1:3" ht="15">
      <c r="A114" s="108" t="s">
        <v>91</v>
      </c>
      <c r="B114" s="125">
        <v>102458</v>
      </c>
      <c r="C114" s="126"/>
    </row>
    <row r="115" spans="1:3" ht="15">
      <c r="A115" s="108" t="s">
        <v>92</v>
      </c>
      <c r="B115" s="125">
        <v>20916</v>
      </c>
      <c r="C115" s="126"/>
    </row>
    <row r="116" spans="1:3" ht="15">
      <c r="A116" s="108" t="s">
        <v>93</v>
      </c>
      <c r="B116" s="125">
        <v>44955</v>
      </c>
      <c r="C116" s="126"/>
    </row>
    <row r="117" spans="1:3" ht="15">
      <c r="A117" s="108" t="s">
        <v>94</v>
      </c>
      <c r="B117" s="125">
        <v>57139</v>
      </c>
      <c r="C117" s="126"/>
    </row>
    <row r="118" spans="1:3" ht="15">
      <c r="A118" s="108" t="s">
        <v>95</v>
      </c>
      <c r="B118" s="125">
        <v>51250</v>
      </c>
      <c r="C118" s="126"/>
    </row>
    <row r="119" spans="1:3" ht="15">
      <c r="A119" s="108" t="s">
        <v>96</v>
      </c>
      <c r="B119" s="125">
        <v>129501</v>
      </c>
      <c r="C119" s="126"/>
    </row>
    <row r="120" spans="1:3" ht="15">
      <c r="A120" s="108" t="s">
        <v>97</v>
      </c>
      <c r="B120" s="125">
        <v>59215</v>
      </c>
      <c r="C120" s="126"/>
    </row>
    <row r="121" spans="1:3" ht="15">
      <c r="A121" s="108" t="s">
        <v>98</v>
      </c>
      <c r="B121" s="125">
        <v>348518</v>
      </c>
      <c r="C121" s="126"/>
    </row>
    <row r="122" spans="1:3" ht="15">
      <c r="A122" s="112" t="s">
        <v>99</v>
      </c>
      <c r="B122" s="125">
        <v>2144</v>
      </c>
      <c r="C122" s="126"/>
    </row>
    <row r="123" spans="1:3" ht="15">
      <c r="A123" s="108" t="s">
        <v>100</v>
      </c>
      <c r="B123" s="125">
        <v>1808</v>
      </c>
      <c r="C123" s="126"/>
    </row>
    <row r="124" spans="1:3" ht="15">
      <c r="A124" s="108" t="s">
        <v>101</v>
      </c>
      <c r="B124" s="125">
        <v>16222</v>
      </c>
      <c r="C124" s="126"/>
    </row>
    <row r="125" spans="1:3" ht="15">
      <c r="A125" s="108" t="s">
        <v>102</v>
      </c>
      <c r="B125" s="125">
        <v>25296</v>
      </c>
      <c r="C125" s="126"/>
    </row>
    <row r="126" spans="1:3" ht="15">
      <c r="A126" s="108" t="s">
        <v>103</v>
      </c>
      <c r="B126" s="125">
        <v>42578</v>
      </c>
      <c r="C126" s="126"/>
    </row>
    <row r="127" spans="1:3" ht="15">
      <c r="A127" s="108" t="s">
        <v>104</v>
      </c>
      <c r="B127" s="125">
        <v>110465</v>
      </c>
      <c r="C127" s="126"/>
    </row>
    <row r="128" spans="1:3" ht="15">
      <c r="A128" s="112" t="s">
        <v>105</v>
      </c>
      <c r="B128" s="125">
        <v>32811</v>
      </c>
      <c r="C128" s="126"/>
    </row>
    <row r="129" spans="1:3" ht="15">
      <c r="A129" s="108" t="s">
        <v>106</v>
      </c>
      <c r="B129" s="125">
        <v>23610</v>
      </c>
      <c r="C129" s="126"/>
    </row>
    <row r="130" spans="1:3" ht="15">
      <c r="A130" s="108" t="s">
        <v>107</v>
      </c>
      <c r="B130" s="125">
        <v>410</v>
      </c>
      <c r="C130" s="126"/>
    </row>
    <row r="131" spans="1:3" ht="15">
      <c r="A131" s="108" t="s">
        <v>108</v>
      </c>
      <c r="B131" s="125">
        <v>7340</v>
      </c>
      <c r="C131" s="126"/>
    </row>
    <row r="132" spans="1:9" ht="15">
      <c r="A132" s="113"/>
      <c r="B132" s="113"/>
      <c r="C132" s="113"/>
      <c r="D132" s="113"/>
      <c r="E132" s="113"/>
      <c r="F132" s="113"/>
      <c r="G132" s="113"/>
      <c r="H132" s="113"/>
      <c r="I132" s="113"/>
    </row>
    <row r="133" spans="1:15" ht="15">
      <c r="A133" s="102" t="s">
        <v>79</v>
      </c>
      <c r="B133" s="1162">
        <v>5</v>
      </c>
      <c r="C133" s="1162"/>
      <c r="D133" s="1162"/>
      <c r="E133" s="1162"/>
      <c r="F133" s="1162"/>
      <c r="G133" s="1162"/>
      <c r="H133" s="1162"/>
      <c r="J133" s="6"/>
      <c r="K133" s="507" t="s">
        <v>989</v>
      </c>
      <c r="L133" s="6"/>
      <c r="M133" s="6"/>
      <c r="N133" s="6"/>
      <c r="O133" s="6"/>
    </row>
    <row r="134" spans="1:15" ht="12.75">
      <c r="A134" s="104" t="s">
        <v>80</v>
      </c>
      <c r="B134" s="1163" t="s">
        <v>486</v>
      </c>
      <c r="C134" s="1163"/>
      <c r="D134" s="1163"/>
      <c r="E134" s="1163"/>
      <c r="F134" s="1163"/>
      <c r="G134" s="1163"/>
      <c r="H134" s="1163"/>
      <c r="J134" s="6"/>
      <c r="K134" s="6"/>
      <c r="L134" s="6"/>
      <c r="M134" s="6"/>
      <c r="N134" s="6"/>
      <c r="O134" s="6"/>
    </row>
    <row r="135" spans="1:15" ht="15" customHeight="1">
      <c r="A135" s="104" t="s">
        <v>81</v>
      </c>
      <c r="B135" s="1173" t="s">
        <v>487</v>
      </c>
      <c r="C135" s="1173"/>
      <c r="D135" s="1173"/>
      <c r="E135" s="1173"/>
      <c r="F135" s="1173"/>
      <c r="G135" s="1173"/>
      <c r="H135" s="1173"/>
      <c r="J135" s="6"/>
      <c r="K135" s="6"/>
      <c r="L135" s="6"/>
      <c r="M135" s="6"/>
      <c r="N135" s="6"/>
      <c r="O135" s="6"/>
    </row>
    <row r="136" spans="1:15" ht="12.75">
      <c r="A136" s="104" t="s">
        <v>82</v>
      </c>
      <c r="B136" s="1167" t="s">
        <v>488</v>
      </c>
      <c r="C136" s="1163"/>
      <c r="D136" s="1163"/>
      <c r="E136" s="1163"/>
      <c r="F136" s="1163"/>
      <c r="G136" s="1163"/>
      <c r="H136" s="1163"/>
      <c r="J136" s="6"/>
      <c r="K136" s="6"/>
      <c r="L136" s="6"/>
      <c r="M136" s="6"/>
      <c r="N136" s="6"/>
      <c r="O136" s="6"/>
    </row>
    <row r="137" spans="1:8" ht="12.75">
      <c r="A137" s="104" t="s">
        <v>83</v>
      </c>
      <c r="B137" s="1168"/>
      <c r="C137" s="1162"/>
      <c r="D137" s="1162"/>
      <c r="E137" s="1162"/>
      <c r="F137" s="1162"/>
      <c r="G137" s="1162"/>
      <c r="H137" s="1162"/>
    </row>
    <row r="138" spans="1:8" ht="24" customHeight="1">
      <c r="A138" s="104" t="s">
        <v>84</v>
      </c>
      <c r="B138" s="1161" t="s">
        <v>489</v>
      </c>
      <c r="C138" s="1161"/>
      <c r="D138" s="1161"/>
      <c r="E138" s="1161"/>
      <c r="F138" s="1161"/>
      <c r="G138" s="1161"/>
      <c r="H138" s="1161"/>
    </row>
    <row r="139" spans="1:9" ht="15">
      <c r="A139" s="127" t="s">
        <v>77</v>
      </c>
      <c r="B139" s="127" t="s">
        <v>151</v>
      </c>
      <c r="C139" s="113"/>
      <c r="D139" s="116"/>
      <c r="E139" s="113"/>
      <c r="F139" s="113"/>
      <c r="G139" s="113"/>
      <c r="H139" s="113"/>
      <c r="I139" s="113"/>
    </row>
    <row r="140" spans="1:9" ht="15">
      <c r="A140" s="108" t="s">
        <v>85</v>
      </c>
      <c r="B140" s="128">
        <v>15.6</v>
      </c>
      <c r="C140" s="113"/>
      <c r="D140" s="113"/>
      <c r="E140" s="113"/>
      <c r="F140" s="113"/>
      <c r="G140" s="113"/>
      <c r="H140" s="113"/>
      <c r="I140" s="113"/>
    </row>
    <row r="141" spans="1:9" ht="15">
      <c r="A141" s="108" t="s">
        <v>86</v>
      </c>
      <c r="B141" s="128">
        <v>13.1</v>
      </c>
      <c r="C141" s="113"/>
      <c r="D141" s="113"/>
      <c r="E141" s="113"/>
      <c r="F141" s="113"/>
      <c r="G141" s="113"/>
      <c r="H141" s="113"/>
      <c r="I141" s="113"/>
    </row>
    <row r="142" spans="1:9" ht="15">
      <c r="A142" s="108" t="s">
        <v>87</v>
      </c>
      <c r="B142" s="128">
        <v>14.9</v>
      </c>
      <c r="C142" s="113"/>
      <c r="D142" s="113"/>
      <c r="E142" s="113"/>
      <c r="F142" s="113"/>
      <c r="G142" s="113"/>
      <c r="H142" s="113"/>
      <c r="I142" s="113"/>
    </row>
    <row r="143" spans="1:9" ht="15">
      <c r="A143" s="108" t="s">
        <v>88</v>
      </c>
      <c r="B143" s="128">
        <v>17.3</v>
      </c>
      <c r="C143" s="113"/>
      <c r="D143" s="113"/>
      <c r="E143" s="113"/>
      <c r="F143" s="113"/>
      <c r="G143" s="113"/>
      <c r="H143" s="113"/>
      <c r="I143" s="113"/>
    </row>
    <row r="144" spans="1:9" ht="15">
      <c r="A144" s="108" t="s">
        <v>89</v>
      </c>
      <c r="B144" s="128">
        <v>18.8</v>
      </c>
      <c r="C144" s="113"/>
      <c r="D144" s="113"/>
      <c r="E144" s="113"/>
      <c r="F144" s="113"/>
      <c r="G144" s="113"/>
      <c r="H144" s="113"/>
      <c r="I144" s="113"/>
    </row>
    <row r="145" spans="1:9" ht="15">
      <c r="A145" s="108" t="s">
        <v>90</v>
      </c>
      <c r="B145" s="128">
        <v>15.6</v>
      </c>
      <c r="C145" s="113"/>
      <c r="D145" s="113"/>
      <c r="E145" s="113"/>
      <c r="F145" s="113"/>
      <c r="G145" s="113"/>
      <c r="H145" s="113"/>
      <c r="I145" s="113"/>
    </row>
    <row r="146" spans="1:9" ht="15">
      <c r="A146" s="108" t="s">
        <v>91</v>
      </c>
      <c r="B146" s="128">
        <v>13.3</v>
      </c>
      <c r="C146" s="113"/>
      <c r="D146" s="113"/>
      <c r="E146" s="113"/>
      <c r="F146" s="113"/>
      <c r="G146" s="113"/>
      <c r="H146" s="113"/>
      <c r="I146" s="113"/>
    </row>
    <row r="147" spans="1:9" ht="15">
      <c r="A147" s="108" t="s">
        <v>92</v>
      </c>
      <c r="B147" s="128">
        <v>10.8</v>
      </c>
      <c r="C147" s="113"/>
      <c r="D147" s="113"/>
      <c r="E147" s="113"/>
      <c r="F147" s="113"/>
      <c r="G147" s="113"/>
      <c r="H147" s="113"/>
      <c r="I147" s="113"/>
    </row>
    <row r="148" spans="1:9" ht="15">
      <c r="A148" s="108" t="s">
        <v>93</v>
      </c>
      <c r="B148" s="128">
        <v>21.4</v>
      </c>
      <c r="C148" s="113"/>
      <c r="D148" s="113"/>
      <c r="E148" s="113"/>
      <c r="F148" s="113"/>
      <c r="G148" s="113"/>
      <c r="H148" s="113"/>
      <c r="I148" s="113"/>
    </row>
    <row r="149" spans="1:9" ht="15">
      <c r="A149" s="108" t="s">
        <v>94</v>
      </c>
      <c r="B149" s="128">
        <v>22.9</v>
      </c>
      <c r="C149" s="113"/>
      <c r="D149" s="113"/>
      <c r="E149" s="113"/>
      <c r="F149" s="113"/>
      <c r="G149" s="113"/>
      <c r="H149" s="113"/>
      <c r="I149" s="113"/>
    </row>
    <row r="150" spans="1:9" ht="15">
      <c r="A150" s="108" t="s">
        <v>95</v>
      </c>
      <c r="B150" s="128">
        <v>13</v>
      </c>
      <c r="C150" s="113"/>
      <c r="D150" s="113"/>
      <c r="E150" s="113"/>
      <c r="F150" s="113"/>
      <c r="G150" s="113"/>
      <c r="H150" s="113"/>
      <c r="I150" s="113"/>
    </row>
    <row r="151" spans="1:9" ht="15">
      <c r="A151" s="108" t="s">
        <v>96</v>
      </c>
      <c r="B151" s="128">
        <v>21.2</v>
      </c>
      <c r="C151" s="113"/>
      <c r="D151" s="113"/>
      <c r="E151" s="113"/>
      <c r="F151" s="113"/>
      <c r="G151" s="113"/>
      <c r="H151" s="113"/>
      <c r="I151" s="113"/>
    </row>
    <row r="152" spans="1:9" ht="15">
      <c r="A152" s="108" t="s">
        <v>97</v>
      </c>
      <c r="B152" s="128">
        <v>22.4</v>
      </c>
      <c r="C152" s="113"/>
      <c r="D152" s="113"/>
      <c r="E152" s="113"/>
      <c r="F152" s="113"/>
      <c r="G152" s="113"/>
      <c r="H152" s="113"/>
      <c r="I152" s="113"/>
    </row>
    <row r="153" spans="1:9" ht="15">
      <c r="A153" s="108" t="s">
        <v>98</v>
      </c>
      <c r="B153" s="128">
        <v>20.3</v>
      </c>
      <c r="C153" s="113"/>
      <c r="D153" s="113"/>
      <c r="E153" s="113"/>
      <c r="F153" s="113"/>
      <c r="G153" s="113"/>
      <c r="H153" s="113"/>
      <c r="I153" s="113"/>
    </row>
    <row r="154" spans="1:9" ht="15">
      <c r="A154" s="112" t="s">
        <v>99</v>
      </c>
      <c r="B154" s="128">
        <v>27.5</v>
      </c>
      <c r="C154" s="113"/>
      <c r="D154" s="113"/>
      <c r="E154" s="113"/>
      <c r="F154" s="113"/>
      <c r="G154" s="113"/>
      <c r="H154" s="113"/>
      <c r="I154" s="113"/>
    </row>
    <row r="155" spans="1:9" ht="15">
      <c r="A155" s="108" t="s">
        <v>100</v>
      </c>
      <c r="B155" s="128">
        <v>27</v>
      </c>
      <c r="C155" s="113"/>
      <c r="D155" s="113"/>
      <c r="E155" s="113"/>
      <c r="F155" s="113"/>
      <c r="G155" s="113"/>
      <c r="H155" s="113"/>
      <c r="I155" s="113"/>
    </row>
    <row r="156" spans="1:9" ht="15">
      <c r="A156" s="108" t="s">
        <v>101</v>
      </c>
      <c r="B156" s="128">
        <v>19.938</v>
      </c>
      <c r="C156" s="113"/>
      <c r="D156" s="113"/>
      <c r="E156" s="113"/>
      <c r="F156" s="113"/>
      <c r="G156" s="113"/>
      <c r="H156" s="113"/>
      <c r="I156" s="113"/>
    </row>
    <row r="157" spans="1:9" ht="15">
      <c r="A157" s="108" t="s">
        <v>102</v>
      </c>
      <c r="B157" s="128">
        <v>6</v>
      </c>
      <c r="C157" s="113"/>
      <c r="D157" s="113"/>
      <c r="E157" s="113"/>
      <c r="F157" s="113"/>
      <c r="G157" s="113"/>
      <c r="H157" s="113"/>
      <c r="I157" s="113"/>
    </row>
    <row r="158" spans="1:9" ht="15">
      <c r="A158" s="108" t="s">
        <v>103</v>
      </c>
      <c r="B158" s="128">
        <v>26</v>
      </c>
      <c r="C158" s="113"/>
      <c r="D158" s="113"/>
      <c r="E158" s="113"/>
      <c r="F158" s="113"/>
      <c r="G158" s="113"/>
      <c r="H158" s="113"/>
      <c r="I158" s="113"/>
    </row>
    <row r="159" spans="1:9" ht="15">
      <c r="A159" s="108" t="s">
        <v>104</v>
      </c>
      <c r="B159" s="128">
        <v>10.9</v>
      </c>
      <c r="C159" s="113"/>
      <c r="D159" s="113"/>
      <c r="E159" s="113"/>
      <c r="F159" s="113"/>
      <c r="G159" s="113"/>
      <c r="H159" s="113"/>
      <c r="I159" s="113"/>
    </row>
    <row r="160" spans="1:9" ht="15">
      <c r="A160" s="112" t="s">
        <v>105</v>
      </c>
      <c r="B160" s="128">
        <v>23.6</v>
      </c>
      <c r="C160" s="113"/>
      <c r="D160" s="113"/>
      <c r="E160" s="113"/>
      <c r="F160" s="113"/>
      <c r="G160" s="113"/>
      <c r="H160" s="113"/>
      <c r="I160" s="113"/>
    </row>
    <row r="161" spans="1:9" ht="15">
      <c r="A161" s="108" t="s">
        <v>106</v>
      </c>
      <c r="B161" s="128">
        <v>18.8</v>
      </c>
      <c r="C161" s="113"/>
      <c r="D161" s="113"/>
      <c r="E161" s="113"/>
      <c r="F161" s="113"/>
      <c r="G161" s="113"/>
      <c r="H161" s="113"/>
      <c r="I161" s="113"/>
    </row>
    <row r="162" spans="1:9" ht="15">
      <c r="A162" s="108" t="s">
        <v>107</v>
      </c>
      <c r="B162" s="128">
        <v>26.9</v>
      </c>
      <c r="C162" s="113"/>
      <c r="D162" s="113"/>
      <c r="E162" s="113"/>
      <c r="F162" s="113"/>
      <c r="G162" s="113"/>
      <c r="H162" s="113"/>
      <c r="I162" s="113"/>
    </row>
    <row r="163" spans="1:9" ht="15">
      <c r="A163" s="108" t="s">
        <v>108</v>
      </c>
      <c r="B163" s="128">
        <v>26</v>
      </c>
      <c r="C163" s="113"/>
      <c r="D163" s="113"/>
      <c r="E163" s="113"/>
      <c r="F163" s="113"/>
      <c r="G163" s="113"/>
      <c r="H163" s="113"/>
      <c r="I163" s="113"/>
    </row>
    <row r="164" spans="1:9" ht="15">
      <c r="A164" s="518"/>
      <c r="B164" s="519"/>
      <c r="C164" s="113"/>
      <c r="D164" s="113"/>
      <c r="E164" s="113"/>
      <c r="F164" s="113"/>
      <c r="G164" s="113"/>
      <c r="H164" s="113"/>
      <c r="I164" s="113"/>
    </row>
    <row r="165" spans="1:15" ht="15">
      <c r="A165" s="102" t="s">
        <v>79</v>
      </c>
      <c r="B165" s="1162">
        <v>5</v>
      </c>
      <c r="C165" s="1162"/>
      <c r="D165" s="1162"/>
      <c r="E165" s="1162"/>
      <c r="F165" s="1162"/>
      <c r="G165" s="1162"/>
      <c r="H165" s="1162"/>
      <c r="J165" s="6"/>
      <c r="K165" s="507" t="s">
        <v>989</v>
      </c>
      <c r="L165" s="6"/>
      <c r="M165" s="6"/>
      <c r="N165" s="6"/>
      <c r="O165" s="6"/>
    </row>
    <row r="166" spans="1:15" ht="12.75">
      <c r="A166" s="104" t="s">
        <v>80</v>
      </c>
      <c r="B166" s="1163" t="s">
        <v>1001</v>
      </c>
      <c r="C166" s="1163"/>
      <c r="D166" s="1163"/>
      <c r="E166" s="1163"/>
      <c r="F166" s="1163"/>
      <c r="G166" s="1163"/>
      <c r="H166" s="1163"/>
      <c r="J166" s="6"/>
      <c r="K166" s="6"/>
      <c r="L166" s="6"/>
      <c r="M166" s="6"/>
      <c r="N166" s="6"/>
      <c r="O166" s="6"/>
    </row>
    <row r="167" spans="1:15" ht="25.5" customHeight="1">
      <c r="A167" s="104" t="s">
        <v>81</v>
      </c>
      <c r="B167" s="1164" t="s">
        <v>1135</v>
      </c>
      <c r="C167" s="1165"/>
      <c r="D167" s="1165"/>
      <c r="E167" s="1165"/>
      <c r="F167" s="1165"/>
      <c r="G167" s="1165"/>
      <c r="H167" s="1166"/>
      <c r="J167" s="6"/>
      <c r="K167" s="6"/>
      <c r="L167" s="6"/>
      <c r="M167" s="6"/>
      <c r="N167" s="6"/>
      <c r="O167" s="6"/>
    </row>
    <row r="168" spans="1:15" ht="12.75">
      <c r="A168" s="104" t="s">
        <v>82</v>
      </c>
      <c r="B168" s="1167"/>
      <c r="C168" s="1163"/>
      <c r="D168" s="1163"/>
      <c r="E168" s="1163"/>
      <c r="F168" s="1163"/>
      <c r="G168" s="1163"/>
      <c r="H168" s="1163"/>
      <c r="J168" s="6"/>
      <c r="K168" s="6"/>
      <c r="L168" s="6"/>
      <c r="M168" s="6"/>
      <c r="N168" s="6"/>
      <c r="O168" s="6"/>
    </row>
    <row r="169" spans="1:8" ht="15">
      <c r="A169" s="104" t="s">
        <v>83</v>
      </c>
      <c r="B169" s="1168"/>
      <c r="C169" s="1162"/>
      <c r="D169" s="1162"/>
      <c r="E169" s="1162"/>
      <c r="F169" s="1162"/>
      <c r="G169" s="1162"/>
      <c r="H169" s="1162"/>
    </row>
    <row r="170" spans="1:8" ht="15">
      <c r="A170" s="104" t="s">
        <v>84</v>
      </c>
      <c r="B170" s="1161"/>
      <c r="C170" s="1161"/>
      <c r="D170" s="1161"/>
      <c r="E170" s="1161"/>
      <c r="F170" s="1161"/>
      <c r="G170" s="1161"/>
      <c r="H170" s="1161"/>
    </row>
    <row r="171" spans="1:8" ht="38.25">
      <c r="A171" s="194" t="s">
        <v>169</v>
      </c>
      <c r="B171" s="194" t="s">
        <v>181</v>
      </c>
      <c r="C171" s="194" t="s">
        <v>183</v>
      </c>
      <c r="D171" s="194" t="s">
        <v>184</v>
      </c>
      <c r="E171" s="194" t="s">
        <v>185</v>
      </c>
      <c r="F171" s="194" t="s">
        <v>187</v>
      </c>
      <c r="G171" s="194" t="s">
        <v>188</v>
      </c>
      <c r="H171" s="194" t="s">
        <v>189</v>
      </c>
    </row>
    <row r="172" spans="1:8" ht="15">
      <c r="A172" s="244" t="s">
        <v>209</v>
      </c>
      <c r="B172" s="245" t="s">
        <v>1000</v>
      </c>
      <c r="C172" s="245"/>
      <c r="D172" s="245" t="s">
        <v>1000</v>
      </c>
      <c r="E172" s="245"/>
      <c r="F172" s="245"/>
      <c r="G172" s="245"/>
      <c r="H172" s="245"/>
    </row>
    <row r="173" spans="1:8" ht="15">
      <c r="A173" s="244" t="s">
        <v>565</v>
      </c>
      <c r="B173" s="245" t="s">
        <v>1000</v>
      </c>
      <c r="C173" s="245"/>
      <c r="D173" s="245" t="s">
        <v>1000</v>
      </c>
      <c r="E173" s="245"/>
      <c r="F173" s="245"/>
      <c r="G173" s="245"/>
      <c r="H173" s="245"/>
    </row>
    <row r="174" spans="1:8" ht="15">
      <c r="A174" s="212" t="s">
        <v>210</v>
      </c>
      <c r="B174" s="245" t="s">
        <v>1000</v>
      </c>
      <c r="C174" s="245"/>
      <c r="D174" s="245"/>
      <c r="E174" s="245"/>
      <c r="F174" s="245"/>
      <c r="G174" s="245"/>
      <c r="H174" s="245"/>
    </row>
    <row r="175" spans="1:8" ht="15">
      <c r="A175" s="212" t="s">
        <v>211</v>
      </c>
      <c r="B175" s="245" t="s">
        <v>1000</v>
      </c>
      <c r="C175" s="245"/>
      <c r="D175" s="245"/>
      <c r="E175" s="245"/>
      <c r="F175" s="245"/>
      <c r="G175" s="245"/>
      <c r="H175" s="245"/>
    </row>
    <row r="176" spans="1:8" ht="15">
      <c r="A176" s="212" t="s">
        <v>212</v>
      </c>
      <c r="B176" s="245" t="s">
        <v>1000</v>
      </c>
      <c r="C176" s="245"/>
      <c r="D176" s="245"/>
      <c r="E176" s="245"/>
      <c r="F176" s="245"/>
      <c r="G176" s="245"/>
      <c r="H176" s="245"/>
    </row>
    <row r="177" spans="1:8" ht="15">
      <c r="A177" s="212" t="s">
        <v>213</v>
      </c>
      <c r="B177" s="245" t="s">
        <v>1000</v>
      </c>
      <c r="C177" s="245"/>
      <c r="D177" s="245"/>
      <c r="E177" s="245"/>
      <c r="F177" s="245"/>
      <c r="G177" s="245"/>
      <c r="H177" s="245"/>
    </row>
    <row r="178" spans="1:8" ht="15">
      <c r="A178" s="212" t="s">
        <v>214</v>
      </c>
      <c r="B178" s="245" t="s">
        <v>1000</v>
      </c>
      <c r="C178" s="245"/>
      <c r="D178" s="245" t="s">
        <v>1000</v>
      </c>
      <c r="E178" s="245"/>
      <c r="F178" s="245"/>
      <c r="G178" s="245"/>
      <c r="H178" s="245"/>
    </row>
    <row r="179" spans="1:8" ht="15">
      <c r="A179" s="244" t="s">
        <v>1021</v>
      </c>
      <c r="B179" s="245" t="s">
        <v>1000</v>
      </c>
      <c r="C179" s="245"/>
      <c r="D179" s="245" t="s">
        <v>1000</v>
      </c>
      <c r="E179" s="245" t="s">
        <v>1000</v>
      </c>
      <c r="F179" s="245"/>
      <c r="G179" s="245"/>
      <c r="H179" s="245"/>
    </row>
    <row r="180" spans="1:8" ht="15">
      <c r="A180" s="244" t="s">
        <v>1022</v>
      </c>
      <c r="B180" s="245" t="s">
        <v>1000</v>
      </c>
      <c r="C180" s="245"/>
      <c r="D180" s="245" t="s">
        <v>1000</v>
      </c>
      <c r="E180" s="245" t="s">
        <v>1000</v>
      </c>
      <c r="F180" s="245"/>
      <c r="G180" s="245"/>
      <c r="H180" s="245"/>
    </row>
    <row r="181" spans="1:8" ht="15">
      <c r="A181" s="246" t="s">
        <v>1023</v>
      </c>
      <c r="B181" s="245"/>
      <c r="C181" s="245"/>
      <c r="D181" s="245"/>
      <c r="E181" s="245"/>
      <c r="F181" s="245"/>
      <c r="G181" s="245" t="s">
        <v>1000</v>
      </c>
      <c r="H181" s="245" t="s">
        <v>1000</v>
      </c>
    </row>
    <row r="182" spans="1:8" ht="15">
      <c r="A182" s="212" t="s">
        <v>215</v>
      </c>
      <c r="B182" s="245"/>
      <c r="C182" s="245" t="s">
        <v>1000</v>
      </c>
      <c r="D182" s="245"/>
      <c r="E182" s="245"/>
      <c r="F182" s="245"/>
      <c r="G182" s="245"/>
      <c r="H182" s="245"/>
    </row>
  </sheetData>
  <mergeCells count="36">
    <mergeCell ref="B70:H70"/>
    <mergeCell ref="B71:H71"/>
    <mergeCell ref="B138:H138"/>
    <mergeCell ref="B100:H100"/>
    <mergeCell ref="B101:H101"/>
    <mergeCell ref="B102:H102"/>
    <mergeCell ref="B103:H103"/>
    <mergeCell ref="B104:H104"/>
    <mergeCell ref="B105:H105"/>
    <mergeCell ref="B133:H133"/>
    <mergeCell ref="B134:H134"/>
    <mergeCell ref="B135:H135"/>
    <mergeCell ref="B136:H136"/>
    <mergeCell ref="B137:H137"/>
    <mergeCell ref="B72:H72"/>
    <mergeCell ref="B1:H1"/>
    <mergeCell ref="B2:H2"/>
    <mergeCell ref="B3:H3"/>
    <mergeCell ref="B4:H4"/>
    <mergeCell ref="B5:H5"/>
    <mergeCell ref="B6:H6"/>
    <mergeCell ref="B34:H34"/>
    <mergeCell ref="B35:H35"/>
    <mergeCell ref="B36:H36"/>
    <mergeCell ref="B37:H37"/>
    <mergeCell ref="B38:H38"/>
    <mergeCell ref="B39:H39"/>
    <mergeCell ref="B67:H67"/>
    <mergeCell ref="B68:H68"/>
    <mergeCell ref="B69:H69"/>
    <mergeCell ref="B170:H170"/>
    <mergeCell ref="B165:H165"/>
    <mergeCell ref="B166:H166"/>
    <mergeCell ref="B167:H167"/>
    <mergeCell ref="B168:H168"/>
    <mergeCell ref="B169:H169"/>
  </mergeCells>
  <hyperlinks>
    <hyperlink ref="B4" r:id="rId1" display="http://sitiodea.com/siscipa/index.html"/>
    <hyperlink ref="B70" r:id="rId2" display="http://sitiodea.com/siscipa/index.html"/>
    <hyperlink ref="B103" r:id="rId3" display="http://sitiodea.com/siscipa/index.html"/>
    <hyperlink ref="B136" r:id="rId4" display="https://www.inei.gob.pe/media/MenuRecursivo/publicaciones_digitales/Est/Lib1469/index.html"/>
  </hyperlinks>
  <printOptions/>
  <pageMargins left="0.7" right="0.7" top="0.75" bottom="0.75" header="0.3" footer="0.3"/>
  <pageSetup orientation="portrait" paperSize="9"/>
  <drawing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D9D9D9"/>
  </sheetPr>
  <dimension ref="A1:M30"/>
  <sheetViews>
    <sheetView workbookViewId="0" topLeftCell="A18">
      <selection activeCell="A16" sqref="A16:XFD26"/>
    </sheetView>
  </sheetViews>
  <sheetFormatPr defaultColWidth="10.8515625" defaultRowHeight="15"/>
  <cols>
    <col min="1" max="1" width="12.7109375" style="103" customWidth="1"/>
    <col min="2" max="9" width="16.7109375" style="103" customWidth="1"/>
    <col min="10" max="10" width="11.7109375" style="103" customWidth="1"/>
    <col min="11" max="28" width="10.8515625" style="103" customWidth="1"/>
  </cols>
  <sheetData>
    <row r="1" spans="1:8" ht="13.5" thickBot="1">
      <c r="A1" s="325" t="s">
        <v>0</v>
      </c>
      <c r="B1" s="1340" t="s">
        <v>574</v>
      </c>
      <c r="C1" s="1341"/>
      <c r="D1" s="1341"/>
      <c r="E1" s="1341"/>
      <c r="F1" s="1341"/>
      <c r="G1" s="1341"/>
      <c r="H1" s="1434"/>
    </row>
    <row r="2" spans="1:8" ht="15" thickBot="1">
      <c r="A2" s="326" t="s">
        <v>521</v>
      </c>
      <c r="B2" s="1374" t="s">
        <v>1527</v>
      </c>
      <c r="C2" s="1375"/>
      <c r="D2" s="1375"/>
      <c r="E2" s="1375"/>
      <c r="F2" s="1375"/>
      <c r="G2" s="1375"/>
      <c r="H2" s="1435"/>
    </row>
    <row r="3" spans="1:8" ht="26.25" thickBot="1">
      <c r="A3" s="326" t="s">
        <v>1452</v>
      </c>
      <c r="B3" s="1340" t="s">
        <v>33</v>
      </c>
      <c r="C3" s="1341"/>
      <c r="D3" s="1341"/>
      <c r="E3" s="1341"/>
      <c r="F3" s="1341"/>
      <c r="G3" s="1341"/>
      <c r="H3" s="1434"/>
    </row>
    <row r="4" spans="1:11" ht="15.75" thickBot="1">
      <c r="A4" s="326" t="s">
        <v>1347</v>
      </c>
      <c r="B4" s="1340" t="s">
        <v>11</v>
      </c>
      <c r="C4" s="1341"/>
      <c r="D4" s="1341"/>
      <c r="E4" s="1341"/>
      <c r="F4" s="1341"/>
      <c r="G4" s="1341"/>
      <c r="H4" s="1434"/>
      <c r="K4" s="508" t="s">
        <v>989</v>
      </c>
    </row>
    <row r="5" spans="1:8" ht="13.5" thickBot="1">
      <c r="A5" s="327" t="s">
        <v>1349</v>
      </c>
      <c r="B5" s="1307" t="s">
        <v>1528</v>
      </c>
      <c r="C5" s="1379"/>
      <c r="D5" s="1379"/>
      <c r="E5" s="1379"/>
      <c r="F5" s="1379"/>
      <c r="G5" s="1379"/>
      <c r="H5" s="1380"/>
    </row>
    <row r="6" spans="1:9" ht="128.25" thickBot="1">
      <c r="A6" s="1321"/>
      <c r="B6" s="286" t="s">
        <v>1529</v>
      </c>
      <c r="C6" s="286" t="s">
        <v>1530</v>
      </c>
      <c r="D6" s="286" t="s">
        <v>1531</v>
      </c>
      <c r="E6" s="286" t="s">
        <v>1532</v>
      </c>
      <c r="F6" s="286" t="s">
        <v>1533</v>
      </c>
      <c r="G6" s="286" t="s">
        <v>1534</v>
      </c>
      <c r="H6" s="286" t="s">
        <v>1535</v>
      </c>
      <c r="I6" s="353" t="s">
        <v>1298</v>
      </c>
    </row>
    <row r="7" spans="1:9" ht="12.75">
      <c r="A7" s="1326"/>
      <c r="B7" s="1321" t="s">
        <v>1379</v>
      </c>
      <c r="C7" s="1321" t="s">
        <v>1536</v>
      </c>
      <c r="D7" s="1321" t="s">
        <v>1379</v>
      </c>
      <c r="E7" s="1321" t="s">
        <v>1379</v>
      </c>
      <c r="F7" s="1321" t="s">
        <v>1537</v>
      </c>
      <c r="G7" s="1321" t="s">
        <v>1538</v>
      </c>
      <c r="H7" s="1321" t="s">
        <v>1493</v>
      </c>
      <c r="I7" s="1475" t="s">
        <v>1299</v>
      </c>
    </row>
    <row r="8" spans="1:9" ht="30.75" customHeight="1" thickBot="1">
      <c r="A8" s="1326"/>
      <c r="B8" s="1439"/>
      <c r="C8" s="1322"/>
      <c r="D8" s="1322"/>
      <c r="E8" s="1322"/>
      <c r="F8" s="1322"/>
      <c r="G8" s="1322"/>
      <c r="H8" s="1322"/>
      <c r="I8" s="1476"/>
    </row>
    <row r="9" spans="1:9" ht="72" thickBot="1">
      <c r="A9" s="1326"/>
      <c r="B9" s="1047"/>
      <c r="C9" s="1047" t="s">
        <v>1539</v>
      </c>
      <c r="D9" s="350"/>
      <c r="E9" s="350"/>
      <c r="F9" s="1047" t="s">
        <v>1539</v>
      </c>
      <c r="G9" s="1047" t="s">
        <v>1539</v>
      </c>
      <c r="H9" s="1047" t="s">
        <v>854</v>
      </c>
      <c r="I9" s="1476"/>
    </row>
    <row r="10" spans="1:9" ht="15" thickBot="1">
      <c r="A10" s="1369"/>
      <c r="B10" s="288" t="s">
        <v>855</v>
      </c>
      <c r="C10" s="288" t="s">
        <v>856</v>
      </c>
      <c r="D10" s="288" t="s">
        <v>857</v>
      </c>
      <c r="E10" s="288" t="s">
        <v>851</v>
      </c>
      <c r="F10" s="288" t="s">
        <v>858</v>
      </c>
      <c r="G10" s="288" t="s">
        <v>859</v>
      </c>
      <c r="H10" s="288" t="s">
        <v>860</v>
      </c>
      <c r="I10" s="1477"/>
    </row>
    <row r="11" spans="1:10" ht="27" thickBot="1" thickTop="1">
      <c r="A11" s="351" t="s">
        <v>667</v>
      </c>
      <c r="B11" s="348">
        <f>+'3C4 EMISIONES'!D10</f>
        <v>204364082.52466</v>
      </c>
      <c r="C11" s="348">
        <f>+'3C5 FACTORES DE EMISIÓN'!B5</f>
        <v>0.11</v>
      </c>
      <c r="D11" s="348">
        <f>+'3C4 EMISIONES'!D11</f>
        <v>81394641.2949805</v>
      </c>
      <c r="E11" s="348">
        <f>'3C4 EMISIONES'!F36+'3C4 EMISIONES'!F37</f>
        <v>693915558.0361596</v>
      </c>
      <c r="F11" s="348">
        <f>+'3C5 FACTORES DE EMISIÓN'!B6</f>
        <v>0.21</v>
      </c>
      <c r="G11" s="348">
        <f>+'3C5 FACTORES DE EMISIÓN'!B3</f>
        <v>0.01</v>
      </c>
      <c r="H11" s="348">
        <f>((B11*C11)+(D11+E11)*F11)*G11</f>
        <v>1852951.9093725202</v>
      </c>
      <c r="I11" s="889">
        <f>+(H11)*'FACTORES DE CONVERSIÓN'!$B$15/'FACTORES DE CONVERSIÓN'!$C$28*44/28</f>
        <v>2.9117815718711033</v>
      </c>
      <c r="J11" s="846"/>
    </row>
    <row r="12" spans="1:9" ht="15.75" hidden="1" thickBot="1">
      <c r="A12" s="328"/>
      <c r="B12" s="287"/>
      <c r="C12" s="287"/>
      <c r="D12" s="287"/>
      <c r="E12" s="287"/>
      <c r="F12" s="287"/>
      <c r="G12" s="287"/>
      <c r="H12" s="297"/>
      <c r="I12" s="809"/>
    </row>
    <row r="13" spans="1:9" ht="15.75" hidden="1" thickBot="1">
      <c r="A13" s="328"/>
      <c r="B13" s="287"/>
      <c r="C13" s="296"/>
      <c r="D13" s="296"/>
      <c r="E13" s="296"/>
      <c r="F13" s="296"/>
      <c r="G13" s="296"/>
      <c r="H13" s="297"/>
      <c r="I13" s="809"/>
    </row>
    <row r="14" spans="1:9" ht="13.5" thickBot="1">
      <c r="A14" s="332" t="s">
        <v>4</v>
      </c>
      <c r="B14" s="297"/>
      <c r="C14" s="297"/>
      <c r="D14" s="297"/>
      <c r="E14" s="297"/>
      <c r="F14" s="297"/>
      <c r="G14" s="297"/>
      <c r="H14" s="352">
        <f>SUM(H11)</f>
        <v>1852951.9093725202</v>
      </c>
      <c r="I14" s="889"/>
    </row>
    <row r="15" ht="13.5" thickBot="1"/>
    <row r="16" spans="1:10" ht="13.5" thickBot="1">
      <c r="A16" s="325" t="s">
        <v>0</v>
      </c>
      <c r="B16" s="1340" t="s">
        <v>574</v>
      </c>
      <c r="C16" s="1341"/>
      <c r="D16" s="1341"/>
      <c r="E16" s="1341"/>
      <c r="F16" s="1341"/>
      <c r="G16" s="1341"/>
      <c r="H16" s="1341"/>
      <c r="I16" s="1342"/>
      <c r="J16" s="887"/>
    </row>
    <row r="17" spans="1:10" ht="15" thickBot="1">
      <c r="A17" s="326" t="s">
        <v>521</v>
      </c>
      <c r="B17" s="1340" t="s">
        <v>1540</v>
      </c>
      <c r="C17" s="1341"/>
      <c r="D17" s="1341"/>
      <c r="E17" s="1341"/>
      <c r="F17" s="1341"/>
      <c r="G17" s="1341"/>
      <c r="H17" s="1341"/>
      <c r="I17" s="1342"/>
      <c r="J17" s="887"/>
    </row>
    <row r="18" spans="1:10" ht="26.25" thickBot="1">
      <c r="A18" s="326" t="s">
        <v>1452</v>
      </c>
      <c r="B18" s="1340" t="s">
        <v>33</v>
      </c>
      <c r="C18" s="1341"/>
      <c r="D18" s="1341"/>
      <c r="E18" s="1341"/>
      <c r="F18" s="1341"/>
      <c r="G18" s="1341"/>
      <c r="H18" s="1341"/>
      <c r="I18" s="1342"/>
      <c r="J18" s="887"/>
    </row>
    <row r="19" spans="1:13" ht="15.75" thickBot="1">
      <c r="A19" s="326" t="s">
        <v>1347</v>
      </c>
      <c r="B19" s="1340" t="s">
        <v>1439</v>
      </c>
      <c r="C19" s="1341"/>
      <c r="D19" s="1341"/>
      <c r="E19" s="1341"/>
      <c r="F19" s="1341"/>
      <c r="G19" s="1341"/>
      <c r="H19" s="1341"/>
      <c r="I19" s="1342"/>
      <c r="J19" s="887"/>
      <c r="M19" s="508" t="s">
        <v>989</v>
      </c>
    </row>
    <row r="20" spans="1:10" ht="13.5" thickBot="1">
      <c r="A20" s="327" t="s">
        <v>1349</v>
      </c>
      <c r="B20" s="1307" t="s">
        <v>1541</v>
      </c>
      <c r="C20" s="1379"/>
      <c r="D20" s="1379"/>
      <c r="E20" s="1379"/>
      <c r="F20" s="1379"/>
      <c r="G20" s="1379"/>
      <c r="H20" s="1379"/>
      <c r="I20" s="1308"/>
      <c r="J20" s="888"/>
    </row>
    <row r="21" spans="1:11" ht="179.25" thickBot="1">
      <c r="A21" s="1321" t="s">
        <v>1542</v>
      </c>
      <c r="B21" s="286" t="s">
        <v>1543</v>
      </c>
      <c r="C21" s="286" t="s">
        <v>1544</v>
      </c>
      <c r="D21" s="286" t="s">
        <v>1545</v>
      </c>
      <c r="E21" s="286" t="s">
        <v>1546</v>
      </c>
      <c r="F21" s="286" t="s">
        <v>1547</v>
      </c>
      <c r="G21" s="286" t="s">
        <v>1548</v>
      </c>
      <c r="H21" s="286" t="s">
        <v>1549</v>
      </c>
      <c r="I21" s="286" t="s">
        <v>1550</v>
      </c>
      <c r="J21" s="353" t="s">
        <v>1298</v>
      </c>
      <c r="K21" s="353" t="s">
        <v>861</v>
      </c>
    </row>
    <row r="22" spans="1:11" ht="15" customHeight="1">
      <c r="A22" s="1326"/>
      <c r="B22" s="1321" t="s">
        <v>1379</v>
      </c>
      <c r="C22" s="1321" t="s">
        <v>1379</v>
      </c>
      <c r="D22" s="1321" t="s">
        <v>1379</v>
      </c>
      <c r="E22" s="1321" t="s">
        <v>1379</v>
      </c>
      <c r="F22" s="1321" t="s">
        <v>1379</v>
      </c>
      <c r="G22" s="1321" t="s">
        <v>1551</v>
      </c>
      <c r="H22" s="1045" t="s">
        <v>817</v>
      </c>
      <c r="I22" s="1321" t="s">
        <v>1518</v>
      </c>
      <c r="J22" s="1475" t="s">
        <v>840</v>
      </c>
      <c r="K22" s="1475" t="s">
        <v>840</v>
      </c>
    </row>
    <row r="23" spans="1:11" ht="15">
      <c r="A23" s="1326"/>
      <c r="B23" s="1326"/>
      <c r="C23" s="1326"/>
      <c r="D23" s="1326"/>
      <c r="E23" s="1326"/>
      <c r="F23" s="1326"/>
      <c r="G23" s="1326"/>
      <c r="H23" s="1045" t="s">
        <v>1552</v>
      </c>
      <c r="I23" s="1326"/>
      <c r="J23" s="1476"/>
      <c r="K23" s="1476"/>
    </row>
    <row r="24" spans="1:11" ht="15.75" thickBot="1">
      <c r="A24" s="1326"/>
      <c r="B24" s="1322"/>
      <c r="C24" s="1322"/>
      <c r="D24" s="1322"/>
      <c r="E24" s="1322"/>
      <c r="F24" s="1322"/>
      <c r="G24" s="1322"/>
      <c r="H24" s="1047" t="s">
        <v>1553</v>
      </c>
      <c r="I24" s="1322"/>
      <c r="J24" s="1476"/>
      <c r="K24" s="1476"/>
    </row>
    <row r="25" spans="1:11" ht="57.75" thickBot="1">
      <c r="A25" s="1326"/>
      <c r="B25" s="287"/>
      <c r="C25" s="287"/>
      <c r="D25" s="287"/>
      <c r="E25" s="287"/>
      <c r="F25" s="287"/>
      <c r="G25" s="287" t="s">
        <v>1539</v>
      </c>
      <c r="H25" s="287" t="s">
        <v>1539</v>
      </c>
      <c r="I25" s="287" t="s">
        <v>1554</v>
      </c>
      <c r="J25" s="1476"/>
      <c r="K25" s="1476"/>
    </row>
    <row r="26" spans="1:11" ht="15.75" thickBot="1">
      <c r="A26" s="1369"/>
      <c r="B26" s="288" t="s">
        <v>855</v>
      </c>
      <c r="C26" s="288" t="s">
        <v>857</v>
      </c>
      <c r="D26" s="288" t="s">
        <v>851</v>
      </c>
      <c r="E26" s="288" t="s">
        <v>862</v>
      </c>
      <c r="F26" s="288" t="s">
        <v>863</v>
      </c>
      <c r="G26" s="288" t="s">
        <v>1555</v>
      </c>
      <c r="H26" s="288" t="s">
        <v>864</v>
      </c>
      <c r="I26" s="288" t="s">
        <v>865</v>
      </c>
      <c r="J26" s="1477"/>
      <c r="K26" s="1477"/>
    </row>
    <row r="27" spans="1:11" ht="27" thickBot="1" thickTop="1">
      <c r="A27" s="351" t="s">
        <v>667</v>
      </c>
      <c r="B27" s="330">
        <f>'3C4_3C5 INFO PROC'!B7</f>
        <v>286468442.52466</v>
      </c>
      <c r="C27" s="348">
        <f>'3C4_3C5 INFO PROC'!F43</f>
        <v>81394641.2949805</v>
      </c>
      <c r="D27" s="348">
        <f>'3C4_3C5 INFO PROC'!E194</f>
        <v>693915558.0361596</v>
      </c>
      <c r="E27" s="337">
        <f>'3C4_3C5 INFO PROC'!P97</f>
        <v>310489975.27801716</v>
      </c>
      <c r="F27" s="354">
        <f>'3C4_3C5 INFO PROC'!D165</f>
        <v>151582.66788489482</v>
      </c>
      <c r="G27" s="355">
        <f>+'3C5 FACTORES DE EMISIÓN'!B7</f>
        <v>0.24</v>
      </c>
      <c r="H27" s="355">
        <f>+'3C5 FACTORES DE EMISIÓN'!B4</f>
        <v>0.011</v>
      </c>
      <c r="I27" s="356">
        <f>(B27+C27+D27+E27+F27)*G27*H27</f>
        <v>3623189.327476493</v>
      </c>
      <c r="J27" s="357">
        <f>+(I27)*'FACTORES DE CONVERSIÓN'!$B$15/'FACTORES DE CONVERSIÓN'!$C$28*44/28</f>
        <v>5.693583228891632</v>
      </c>
      <c r="K27" s="357">
        <f>I11+J27</f>
        <v>8.605364800762736</v>
      </c>
    </row>
    <row r="28" spans="1:11" ht="15.75" hidden="1" thickBot="1">
      <c r="A28" s="328"/>
      <c r="B28" s="287"/>
      <c r="C28" s="287"/>
      <c r="D28" s="287"/>
      <c r="E28" s="287"/>
      <c r="F28" s="287"/>
      <c r="G28" s="287"/>
      <c r="H28" s="287"/>
      <c r="I28" s="324"/>
      <c r="J28" s="324"/>
      <c r="K28" s="357">
        <f>+(I28+H12)*'FACTORES DE CONVERSIÓN'!$B$15/'FACTORES DE CONVERSIÓN'!$C$28*44/28</f>
        <v>0</v>
      </c>
    </row>
    <row r="29" spans="1:11" ht="15.75" hidden="1" thickBot="1">
      <c r="A29" s="328"/>
      <c r="B29" s="287"/>
      <c r="C29" s="296"/>
      <c r="D29" s="296"/>
      <c r="E29" s="296"/>
      <c r="F29" s="296"/>
      <c r="G29" s="296"/>
      <c r="H29" s="296"/>
      <c r="I29" s="324"/>
      <c r="J29" s="324"/>
      <c r="K29" s="357">
        <f>+(I29+H13)*'FACTORES DE CONVERSIÓN'!$B$15/'FACTORES DE CONVERSIÓN'!$C$28*44/28</f>
        <v>0</v>
      </c>
    </row>
    <row r="30" spans="1:11" ht="15.75" thickBot="1">
      <c r="A30" s="332" t="s">
        <v>4</v>
      </c>
      <c r="B30" s="297"/>
      <c r="C30" s="297"/>
      <c r="D30" s="297"/>
      <c r="E30" s="297"/>
      <c r="F30" s="297"/>
      <c r="G30" s="297"/>
      <c r="H30" s="297"/>
      <c r="I30" s="357">
        <f>SUM(I27)</f>
        <v>3623189.327476493</v>
      </c>
      <c r="J30" s="357"/>
      <c r="K30" s="357"/>
    </row>
  </sheetData>
  <mergeCells count="29">
    <mergeCell ref="K22:K26"/>
    <mergeCell ref="B19:I19"/>
    <mergeCell ref="B20:I20"/>
    <mergeCell ref="A21:A26"/>
    <mergeCell ref="B22:B24"/>
    <mergeCell ref="C22:C24"/>
    <mergeCell ref="D22:D24"/>
    <mergeCell ref="E22:E24"/>
    <mergeCell ref="F22:F24"/>
    <mergeCell ref="G22:G24"/>
    <mergeCell ref="I22:I24"/>
    <mergeCell ref="J22:J26"/>
    <mergeCell ref="B18:I18"/>
    <mergeCell ref="B1:H1"/>
    <mergeCell ref="B2:H2"/>
    <mergeCell ref="B3:H3"/>
    <mergeCell ref="B4:H4"/>
    <mergeCell ref="B5:H5"/>
    <mergeCell ref="F7:F8"/>
    <mergeCell ref="G7:G8"/>
    <mergeCell ref="H7:H8"/>
    <mergeCell ref="B16:I16"/>
    <mergeCell ref="B17:I17"/>
    <mergeCell ref="I7:I10"/>
    <mergeCell ref="A6:A10"/>
    <mergeCell ref="B7:B8"/>
    <mergeCell ref="C7:C8"/>
    <mergeCell ref="D7:D8"/>
    <mergeCell ref="E7:E8"/>
  </mergeCell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D9D9D9"/>
  </sheetPr>
  <dimension ref="A1:R148"/>
  <sheetViews>
    <sheetView workbookViewId="0" topLeftCell="A140">
      <selection activeCell="A146" sqref="A146:XFD148"/>
    </sheetView>
  </sheetViews>
  <sheetFormatPr defaultColWidth="10.8515625" defaultRowHeight="15"/>
  <cols>
    <col min="1" max="2" width="12.7109375" style="103" customWidth="1"/>
    <col min="3" max="3" width="17.28125" style="103" customWidth="1"/>
    <col min="4" max="8" width="16.7109375" style="103" customWidth="1"/>
    <col min="9" max="9" width="12.28125" style="103" bestFit="1" customWidth="1"/>
    <col min="10" max="10" width="14.28125" style="103" customWidth="1"/>
    <col min="11" max="13" width="10.8515625" style="103" customWidth="1"/>
  </cols>
  <sheetData>
    <row r="1" spans="1:8" ht="13.5" thickBot="1">
      <c r="A1" s="1338" t="s">
        <v>0</v>
      </c>
      <c r="B1" s="1339"/>
      <c r="C1" s="1340" t="s">
        <v>574</v>
      </c>
      <c r="D1" s="1341"/>
      <c r="E1" s="1341"/>
      <c r="F1" s="1341"/>
      <c r="G1" s="1341"/>
      <c r="H1" s="1342"/>
    </row>
    <row r="2" spans="1:8" ht="15.75" customHeight="1" thickBot="1">
      <c r="A2" s="1338" t="s">
        <v>1343</v>
      </c>
      <c r="B2" s="1339"/>
      <c r="C2" s="1340" t="s">
        <v>1556</v>
      </c>
      <c r="D2" s="1341"/>
      <c r="E2" s="1341"/>
      <c r="F2" s="1341"/>
      <c r="G2" s="1341"/>
      <c r="H2" s="1342"/>
    </row>
    <row r="3" spans="1:8" ht="15.75" customHeight="1" thickBot="1">
      <c r="A3" s="1338" t="s">
        <v>1345</v>
      </c>
      <c r="B3" s="1339"/>
      <c r="C3" s="1340" t="s">
        <v>34</v>
      </c>
      <c r="D3" s="1341"/>
      <c r="E3" s="1341"/>
      <c r="F3" s="1341"/>
      <c r="G3" s="1341"/>
      <c r="H3" s="1342"/>
    </row>
    <row r="4" spans="1:10" ht="15.75" thickBot="1">
      <c r="A4" s="1338" t="s">
        <v>1347</v>
      </c>
      <c r="B4" s="1339"/>
      <c r="C4" s="1340" t="s">
        <v>1398</v>
      </c>
      <c r="D4" s="1341"/>
      <c r="E4" s="1341"/>
      <c r="F4" s="1341"/>
      <c r="G4" s="1342"/>
      <c r="J4" s="508" t="s">
        <v>989</v>
      </c>
    </row>
    <row r="5" spans="1:7" ht="13.5" thickBot="1">
      <c r="A5" s="1377" t="s">
        <v>1349</v>
      </c>
      <c r="B5" s="1378"/>
      <c r="C5" s="285" t="s">
        <v>1367</v>
      </c>
      <c r="D5" s="1307" t="s">
        <v>1557</v>
      </c>
      <c r="E5" s="1308"/>
      <c r="F5" s="1307" t="s">
        <v>1558</v>
      </c>
      <c r="G5" s="1308"/>
    </row>
    <row r="6" spans="1:9" ht="129" thickBot="1">
      <c r="A6" s="1321" t="s">
        <v>1559</v>
      </c>
      <c r="B6" s="1321" t="s">
        <v>1560</v>
      </c>
      <c r="C6" s="286" t="s">
        <v>1561</v>
      </c>
      <c r="D6" s="286" t="s">
        <v>1562</v>
      </c>
      <c r="E6" s="286" t="s">
        <v>1563</v>
      </c>
      <c r="F6" s="286" t="s">
        <v>1564</v>
      </c>
      <c r="G6" s="286" t="s">
        <v>1565</v>
      </c>
      <c r="H6" s="358" t="s">
        <v>1566</v>
      </c>
      <c r="I6" s="359"/>
    </row>
    <row r="7" spans="1:8" ht="45.75" thickBot="1">
      <c r="A7" s="1326"/>
      <c r="B7" s="1326"/>
      <c r="C7" s="1047" t="s">
        <v>1567</v>
      </c>
      <c r="D7" s="1047" t="s">
        <v>8</v>
      </c>
      <c r="E7" s="1047" t="s">
        <v>1567</v>
      </c>
      <c r="F7" s="1047" t="s">
        <v>1568</v>
      </c>
      <c r="G7" s="1047" t="s">
        <v>1380</v>
      </c>
      <c r="H7" s="1478" t="s">
        <v>840</v>
      </c>
    </row>
    <row r="8" spans="1:8" ht="28.5">
      <c r="A8" s="1326"/>
      <c r="B8" s="1326"/>
      <c r="C8" s="1321"/>
      <c r="D8" s="1321" t="s">
        <v>1569</v>
      </c>
      <c r="E8" s="1045" t="s">
        <v>1570</v>
      </c>
      <c r="F8" s="1321" t="s">
        <v>1539</v>
      </c>
      <c r="G8" s="1321" t="s">
        <v>1571</v>
      </c>
      <c r="H8" s="1479"/>
    </row>
    <row r="9" spans="1:10" ht="26.25" customHeight="1" thickBot="1">
      <c r="A9" s="1322"/>
      <c r="B9" s="1322"/>
      <c r="C9" s="1322"/>
      <c r="D9" s="1322"/>
      <c r="E9" s="1047" t="s">
        <v>866</v>
      </c>
      <c r="F9" s="1322"/>
      <c r="G9" s="1322"/>
      <c r="H9" s="1479"/>
      <c r="J9" s="360"/>
    </row>
    <row r="10" spans="1:10" ht="43.5" thickBot="1">
      <c r="A10" s="361" t="s">
        <v>9</v>
      </c>
      <c r="B10" s="362" t="s">
        <v>35</v>
      </c>
      <c r="C10" s="288" t="s">
        <v>827</v>
      </c>
      <c r="D10" s="288" t="s">
        <v>867</v>
      </c>
      <c r="E10" s="288" t="s">
        <v>868</v>
      </c>
      <c r="F10" s="288" t="s">
        <v>859</v>
      </c>
      <c r="G10" s="288" t="s">
        <v>869</v>
      </c>
      <c r="H10" s="1480"/>
      <c r="J10" s="360"/>
    </row>
    <row r="11" spans="1:10" ht="27" thickBot="1" thickTop="1">
      <c r="A11" s="1330" t="s">
        <v>183</v>
      </c>
      <c r="B11" s="296" t="s">
        <v>161</v>
      </c>
      <c r="C11" s="291">
        <f>'3A1 EMISIONES T1_3A2 '!H36</f>
        <v>0</v>
      </c>
      <c r="D11" s="330">
        <f>'FACTORES DE CONVERSIÓN'!B332</f>
        <v>0.07</v>
      </c>
      <c r="E11" s="291">
        <f>C11*D11</f>
        <v>0</v>
      </c>
      <c r="F11" s="330">
        <f>'3C6 FACTORES DE EMISIÓN'!$B$3</f>
        <v>0.01</v>
      </c>
      <c r="G11" s="291">
        <f>E11*F11*44/28</f>
        <v>0</v>
      </c>
      <c r="H11" s="363">
        <f>+G11*'FACTORES DE CONVERSIÓN'!$B$15/'FACTORES DE CONVERSIÓN'!$C$28</f>
        <v>0</v>
      </c>
      <c r="J11" s="360"/>
    </row>
    <row r="12" spans="1:8" ht="26.25" thickBot="1">
      <c r="A12" s="1326"/>
      <c r="B12" s="296" t="s">
        <v>162</v>
      </c>
      <c r="C12" s="291">
        <f>'3A1 EMISIONES T1_3A2 '!H37</f>
        <v>0</v>
      </c>
      <c r="D12" s="330">
        <f>'FACTORES DE CONVERSIÓN'!B333</f>
        <v>0</v>
      </c>
      <c r="E12" s="291">
        <f aca="true" t="shared" si="0" ref="E12:E21">C12*D12</f>
        <v>0</v>
      </c>
      <c r="F12" s="330">
        <f>'3C6 FACTORES DE EMISIÓN'!$B$3</f>
        <v>0.01</v>
      </c>
      <c r="G12" s="291">
        <f aca="true" t="shared" si="1" ref="G12:G21">E12*F12*44/28</f>
        <v>0</v>
      </c>
      <c r="H12" s="363">
        <f>+G12*'FACTORES DE CONVERSIÓN'!$B$15/'FACTORES DE CONVERSIÓN'!$C$28</f>
        <v>0</v>
      </c>
    </row>
    <row r="13" spans="1:8" ht="13.5" thickBot="1">
      <c r="A13" s="1326"/>
      <c r="B13" s="296" t="s">
        <v>46</v>
      </c>
      <c r="C13" s="291">
        <f>'3A1 EMISIONES T1_3A2 '!H38</f>
        <v>0</v>
      </c>
      <c r="D13" s="330">
        <f>'FACTORES DE CONVERSIÓN'!B334</f>
        <v>0</v>
      </c>
      <c r="E13" s="291">
        <f t="shared" si="0"/>
        <v>0</v>
      </c>
      <c r="F13" s="330">
        <f>'3C6 FACTORES DE EMISIÓN'!$B$3</f>
        <v>0.01</v>
      </c>
      <c r="G13" s="291">
        <f t="shared" si="1"/>
        <v>0</v>
      </c>
      <c r="H13" s="363">
        <f>+G13*'FACTORES DE CONVERSIÓN'!$B$15/'FACTORES DE CONVERSIÓN'!$C$28</f>
        <v>0</v>
      </c>
    </row>
    <row r="14" spans="1:8" ht="13.5" thickBot="1">
      <c r="A14" s="1326"/>
      <c r="B14" s="296" t="s">
        <v>45</v>
      </c>
      <c r="C14" s="291">
        <f>'3A1 EMISIONES T1_3A2 '!H39</f>
        <v>0</v>
      </c>
      <c r="D14" s="330">
        <f>'FACTORES DE CONVERSIÓN'!B335</f>
        <v>0</v>
      </c>
      <c r="E14" s="291">
        <f t="shared" si="0"/>
        <v>0</v>
      </c>
      <c r="F14" s="330">
        <f>'3C6 FACTORES DE EMISIÓN'!$B$3</f>
        <v>0.01</v>
      </c>
      <c r="G14" s="291">
        <f t="shared" si="1"/>
        <v>0</v>
      </c>
      <c r="H14" s="363">
        <f>+G14*'FACTORES DE CONVERSIÓN'!$B$15/'FACTORES DE CONVERSIÓN'!$C$28</f>
        <v>0</v>
      </c>
    </row>
    <row r="15" spans="1:8" ht="13.5" thickBot="1">
      <c r="A15" s="1326"/>
      <c r="B15" s="296" t="s">
        <v>72</v>
      </c>
      <c r="C15" s="291">
        <f>'3A1 EMISIONES T1_3A2 '!H40</f>
        <v>0</v>
      </c>
      <c r="D15" s="330">
        <f>'FACTORES DE CONVERSIÓN'!B336</f>
        <v>0</v>
      </c>
      <c r="E15" s="291">
        <f t="shared" si="0"/>
        <v>0</v>
      </c>
      <c r="F15" s="330">
        <f>'3C6 FACTORES DE EMISIÓN'!$B$3</f>
        <v>0.01</v>
      </c>
      <c r="G15" s="291">
        <f t="shared" si="1"/>
        <v>0</v>
      </c>
      <c r="H15" s="363">
        <f>+G15*'FACTORES DE CONVERSIÓN'!$B$15/'FACTORES DE CONVERSIÓN'!$C$28</f>
        <v>0</v>
      </c>
    </row>
    <row r="16" spans="1:8" ht="13.5" thickBot="1">
      <c r="A16" s="1326"/>
      <c r="B16" s="296" t="s">
        <v>150</v>
      </c>
      <c r="C16" s="291">
        <f>'3A1 EMISIONES T1_3A2 '!H41</f>
        <v>0</v>
      </c>
      <c r="D16" s="330">
        <f>'FACTORES DE CONVERSIÓN'!B337</f>
        <v>0</v>
      </c>
      <c r="E16" s="291">
        <f t="shared" si="0"/>
        <v>0</v>
      </c>
      <c r="F16" s="330">
        <f>'3C6 FACTORES DE EMISIÓN'!$B$3</f>
        <v>0.01</v>
      </c>
      <c r="G16" s="291">
        <f t="shared" si="1"/>
        <v>0</v>
      </c>
      <c r="H16" s="363">
        <f>+G16*'FACTORES DE CONVERSIÓN'!$B$15/'FACTORES DE CONVERSIÓN'!$C$28</f>
        <v>0</v>
      </c>
    </row>
    <row r="17" spans="1:8" ht="13.5" thickBot="1">
      <c r="A17" s="1326"/>
      <c r="B17" s="296" t="s">
        <v>47</v>
      </c>
      <c r="C17" s="291">
        <f>'3A1 EMISIONES T1_3A2 '!H42</f>
        <v>0</v>
      </c>
      <c r="D17" s="330">
        <f>'FACTORES DE CONVERSIÓN'!B338</f>
        <v>0</v>
      </c>
      <c r="E17" s="291">
        <f t="shared" si="0"/>
        <v>0</v>
      </c>
      <c r="F17" s="330">
        <f>'3C6 FACTORES DE EMISIÓN'!$B$3</f>
        <v>0.01</v>
      </c>
      <c r="G17" s="291">
        <f t="shared" si="1"/>
        <v>0</v>
      </c>
      <c r="H17" s="363">
        <f>+G17*'FACTORES DE CONVERSIÓN'!$B$15/'FACTORES DE CONVERSIÓN'!$C$28</f>
        <v>0</v>
      </c>
    </row>
    <row r="18" spans="1:8" ht="13.5" thickBot="1">
      <c r="A18" s="1326"/>
      <c r="B18" s="296" t="s">
        <v>43</v>
      </c>
      <c r="C18" s="291">
        <f>'3A1 EMISIONES T1_3A2 '!H43</f>
        <v>0</v>
      </c>
      <c r="D18" s="330">
        <f>'FACTORES DE CONVERSIÓN'!B339</f>
        <v>0</v>
      </c>
      <c r="E18" s="291">
        <f t="shared" si="0"/>
        <v>0</v>
      </c>
      <c r="F18" s="330">
        <f>'3C6 FACTORES DE EMISIÓN'!$B$3</f>
        <v>0.01</v>
      </c>
      <c r="G18" s="291">
        <f t="shared" si="1"/>
        <v>0</v>
      </c>
      <c r="H18" s="363">
        <f>+G18*'FACTORES DE CONVERSIÓN'!$B$15/'FACTORES DE CONVERSIÓN'!$C$28</f>
        <v>0</v>
      </c>
    </row>
    <row r="19" spans="1:8" ht="13.5" thickBot="1">
      <c r="A19" s="1326"/>
      <c r="B19" s="296" t="s">
        <v>44</v>
      </c>
      <c r="C19" s="291">
        <f>'3A1 EMISIONES T1_3A2 '!H44</f>
        <v>0</v>
      </c>
      <c r="D19" s="330">
        <f>'FACTORES DE CONVERSIÓN'!B340</f>
        <v>0</v>
      </c>
      <c r="E19" s="291">
        <f t="shared" si="0"/>
        <v>0</v>
      </c>
      <c r="F19" s="330">
        <f>'3C6 FACTORES DE EMISIÓN'!$B$3</f>
        <v>0.01</v>
      </c>
      <c r="G19" s="291">
        <f t="shared" si="1"/>
        <v>0</v>
      </c>
      <c r="H19" s="363">
        <f>+G19*'FACTORES DE CONVERSIÓN'!$B$15/'FACTORES DE CONVERSIÓN'!$C$28</f>
        <v>0</v>
      </c>
    </row>
    <row r="20" spans="1:8" ht="13.5" thickBot="1">
      <c r="A20" s="1326"/>
      <c r="B20" s="296" t="s">
        <v>42</v>
      </c>
      <c r="C20" s="291">
        <f>'3A1 EMISIONES T1_3A2 '!H45</f>
        <v>0</v>
      </c>
      <c r="D20" s="330">
        <f>'FACTORES DE CONVERSIÓN'!B341</f>
        <v>0</v>
      </c>
      <c r="E20" s="291">
        <f t="shared" si="0"/>
        <v>0</v>
      </c>
      <c r="F20" s="329">
        <f>'3C6 FACTORES DE EMISIÓN'!$B$3</f>
        <v>0.01</v>
      </c>
      <c r="G20" s="290">
        <f t="shared" si="1"/>
        <v>0</v>
      </c>
      <c r="H20" s="363">
        <f>+G20*'FACTORES DE CONVERSIÓN'!$B$15/'FACTORES DE CONVERSIÓN'!$C$28</f>
        <v>0</v>
      </c>
    </row>
    <row r="21" spans="1:8" ht="13.5" thickBot="1">
      <c r="A21" s="1322"/>
      <c r="B21" s="296" t="s">
        <v>74</v>
      </c>
      <c r="C21" s="291">
        <f>'3A1 EMISIONES T1_3A2 '!H46</f>
        <v>3902384.141789883</v>
      </c>
      <c r="D21" s="330">
        <f>'FACTORES DE CONVERSIÓN'!B342</f>
        <v>0</v>
      </c>
      <c r="E21" s="291">
        <f t="shared" si="0"/>
        <v>0</v>
      </c>
      <c r="F21" s="330">
        <f>'3C6 FACTORES DE EMISIÓN'!$B$3</f>
        <v>0.01</v>
      </c>
      <c r="G21" s="291">
        <f t="shared" si="1"/>
        <v>0</v>
      </c>
      <c r="H21" s="363">
        <f>+G21*'FACTORES DE CONVERSIÓN'!$B$15/'FACTORES DE CONVERSIÓN'!$C$28</f>
        <v>0</v>
      </c>
    </row>
    <row r="22" spans="1:8" ht="13.5" thickBot="1">
      <c r="A22" s="1334" t="s">
        <v>19</v>
      </c>
      <c r="B22" s="1335"/>
      <c r="C22" s="331"/>
      <c r="D22" s="299"/>
      <c r="E22" s="299"/>
      <c r="F22" s="299"/>
      <c r="G22" s="364">
        <f>SUM(G11:G21)</f>
        <v>0</v>
      </c>
      <c r="H22" s="365">
        <f>SUM(H11:H21)</f>
        <v>0</v>
      </c>
    </row>
    <row r="23" spans="1:10" ht="27" thickBot="1" thickTop="1">
      <c r="A23" s="1330" t="s">
        <v>216</v>
      </c>
      <c r="B23" s="296" t="s">
        <v>161</v>
      </c>
      <c r="C23" s="291">
        <f>'3A1 EMISIONES T1_3A2 '!H48</f>
        <v>17136733.461120002</v>
      </c>
      <c r="D23" s="330">
        <f>'FACTORES DE CONVERSIÓN'!C332</f>
        <v>0.3</v>
      </c>
      <c r="E23" s="291">
        <f>C23*D23</f>
        <v>5141020.038336</v>
      </c>
      <c r="F23" s="330">
        <f>'3C6 FACTORES DE EMISIÓN'!$B$3</f>
        <v>0.01</v>
      </c>
      <c r="G23" s="291">
        <f>E23*F23*44/28</f>
        <v>80787.45774528</v>
      </c>
      <c r="H23" s="363">
        <f>+G23*'FACTORES DE CONVERSIÓN'!$B$15/'FACTORES DE CONVERSIÓN'!$C$28</f>
        <v>0.08078745774528</v>
      </c>
      <c r="J23" s="360"/>
    </row>
    <row r="24" spans="1:8" ht="26.25" thickBot="1">
      <c r="A24" s="1326"/>
      <c r="B24" s="296" t="s">
        <v>162</v>
      </c>
      <c r="C24" s="291">
        <f>'3A1 EMISIONES T1_3A2 '!H49</f>
        <v>16801327.464633234</v>
      </c>
      <c r="D24" s="330">
        <f>'FACTORES DE CONVERSIÓN'!C333</f>
        <v>0.45</v>
      </c>
      <c r="E24" s="291">
        <f aca="true" t="shared" si="2" ref="E24:E33">C24*D24</f>
        <v>7560597.359084955</v>
      </c>
      <c r="F24" s="330">
        <f>'3C6 FACTORES DE EMISIÓN'!$B$3</f>
        <v>0.01</v>
      </c>
      <c r="G24" s="291">
        <f aca="true" t="shared" si="3" ref="G24:G33">E24*F24*44/28</f>
        <v>118809.387071335</v>
      </c>
      <c r="H24" s="363">
        <f>+G24*'FACTORES DE CONVERSIÓN'!$B$15/'FACTORES DE CONVERSIÓN'!$C$28</f>
        <v>0.118809387071335</v>
      </c>
    </row>
    <row r="25" spans="1:8" ht="13.5" thickBot="1">
      <c r="A25" s="1326"/>
      <c r="B25" s="296" t="s">
        <v>46</v>
      </c>
      <c r="C25" s="291">
        <f>'3A1 EMISIONES T1_3A2 '!H50</f>
        <v>0</v>
      </c>
      <c r="D25" s="330">
        <f>'FACTORES DE CONVERSIÓN'!C334</f>
        <v>0.12</v>
      </c>
      <c r="E25" s="291">
        <f t="shared" si="2"/>
        <v>0</v>
      </c>
      <c r="F25" s="330">
        <f>'3C6 FACTORES DE EMISIÓN'!$B$3</f>
        <v>0.01</v>
      </c>
      <c r="G25" s="291">
        <f t="shared" si="3"/>
        <v>0</v>
      </c>
      <c r="H25" s="363">
        <f>+G25*'FACTORES DE CONVERSIÓN'!$B$15/'FACTORES DE CONVERSIÓN'!$C$28</f>
        <v>0</v>
      </c>
    </row>
    <row r="26" spans="1:8" ht="13.5" thickBot="1">
      <c r="A26" s="1326"/>
      <c r="B26" s="296" t="s">
        <v>45</v>
      </c>
      <c r="C26" s="291">
        <f>'3A1 EMISIONES T1_3A2 '!H51</f>
        <v>0</v>
      </c>
      <c r="D26" s="330">
        <f>'FACTORES DE CONVERSIÓN'!C335</f>
        <v>0.12</v>
      </c>
      <c r="E26" s="291">
        <f t="shared" si="2"/>
        <v>0</v>
      </c>
      <c r="F26" s="330">
        <f>'3C6 FACTORES DE EMISIÓN'!$B$3</f>
        <v>0.01</v>
      </c>
      <c r="G26" s="291">
        <f t="shared" si="3"/>
        <v>0</v>
      </c>
      <c r="H26" s="363">
        <f>+G26*'FACTORES DE CONVERSIÓN'!$B$15/'FACTORES DE CONVERSIÓN'!$C$28</f>
        <v>0</v>
      </c>
    </row>
    <row r="27" spans="1:8" ht="13.5" thickBot="1">
      <c r="A27" s="1326"/>
      <c r="B27" s="296" t="s">
        <v>72</v>
      </c>
      <c r="C27" s="291">
        <f>'3A1 EMISIONES T1_3A2 '!H52</f>
        <v>0</v>
      </c>
      <c r="D27" s="330">
        <f>'FACTORES DE CONVERSIÓN'!C336</f>
        <v>0.12</v>
      </c>
      <c r="E27" s="291">
        <f t="shared" si="2"/>
        <v>0</v>
      </c>
      <c r="F27" s="330">
        <f>'3C6 FACTORES DE EMISIÓN'!$B$3</f>
        <v>0.01</v>
      </c>
      <c r="G27" s="291">
        <f t="shared" si="3"/>
        <v>0</v>
      </c>
      <c r="H27" s="363">
        <f>+G27*'FACTORES DE CONVERSIÓN'!$B$15/'FACTORES DE CONVERSIÓN'!$C$28</f>
        <v>0</v>
      </c>
    </row>
    <row r="28" spans="1:8" ht="13.5" thickBot="1">
      <c r="A28" s="1326"/>
      <c r="B28" s="296" t="s">
        <v>150</v>
      </c>
      <c r="C28" s="291">
        <f>'3A1 EMISIONES T1_3A2 '!H53</f>
        <v>0</v>
      </c>
      <c r="D28" s="330">
        <f>'FACTORES DE CONVERSIÓN'!C337</f>
        <v>0.12</v>
      </c>
      <c r="E28" s="291">
        <f t="shared" si="2"/>
        <v>0</v>
      </c>
      <c r="F28" s="330">
        <f>'3C6 FACTORES DE EMISIÓN'!$B$3</f>
        <v>0.01</v>
      </c>
      <c r="G28" s="291">
        <f t="shared" si="3"/>
        <v>0</v>
      </c>
      <c r="H28" s="363">
        <f>+G28*'FACTORES DE CONVERSIÓN'!$B$15/'FACTORES DE CONVERSIÓN'!$C$28</f>
        <v>0</v>
      </c>
    </row>
    <row r="29" spans="1:8" ht="13.5" thickBot="1">
      <c r="A29" s="1326"/>
      <c r="B29" s="296" t="s">
        <v>47</v>
      </c>
      <c r="C29" s="291">
        <f>'3A1 EMISIONES T1_3A2 '!H54</f>
        <v>5003955.949607999</v>
      </c>
      <c r="D29" s="330">
        <f>'FACTORES DE CONVERSIÓN'!C338</f>
        <v>0.45</v>
      </c>
      <c r="E29" s="291">
        <f t="shared" si="2"/>
        <v>2251780.1773236</v>
      </c>
      <c r="F29" s="330">
        <f>'3C6 FACTORES DE EMISIÓN'!$B$3</f>
        <v>0.01</v>
      </c>
      <c r="G29" s="291">
        <f t="shared" si="3"/>
        <v>35385.117072228</v>
      </c>
      <c r="H29" s="363">
        <f>+G29*'FACTORES DE CONVERSIÓN'!$B$15/'FACTORES DE CONVERSIÓN'!$C$28</f>
        <v>0.035385117072228</v>
      </c>
    </row>
    <row r="30" spans="1:8" ht="13.5" thickBot="1">
      <c r="A30" s="1326"/>
      <c r="B30" s="296" t="s">
        <v>43</v>
      </c>
      <c r="C30" s="291">
        <f>'3A1 EMISIONES T1_3A2 '!H55</f>
        <v>17946357.26909813</v>
      </c>
      <c r="D30" s="330">
        <f>'FACTORES DE CONVERSIÓN'!C339</f>
        <v>0.12</v>
      </c>
      <c r="E30" s="291">
        <f t="shared" si="2"/>
        <v>2153562.8722917754</v>
      </c>
      <c r="F30" s="330">
        <f>'3C6 FACTORES DE EMISIÓN'!$B$3</f>
        <v>0.01</v>
      </c>
      <c r="G30" s="291">
        <f t="shared" si="3"/>
        <v>33841.702278870755</v>
      </c>
      <c r="H30" s="363">
        <f>+G30*'FACTORES DE CONVERSIÓN'!$B$15/'FACTORES DE CONVERSIÓN'!$C$28</f>
        <v>0.033841702278870754</v>
      </c>
    </row>
    <row r="31" spans="1:8" ht="13.5" thickBot="1">
      <c r="A31" s="1326"/>
      <c r="B31" s="296" t="s">
        <v>44</v>
      </c>
      <c r="C31" s="291">
        <f>'3A1 EMISIONES T1_3A2 '!H56</f>
        <v>14444177.693713421</v>
      </c>
      <c r="D31" s="330">
        <f>'FACTORES DE CONVERSIÓN'!C340</f>
        <v>0.12</v>
      </c>
      <c r="E31" s="291">
        <f t="shared" si="2"/>
        <v>1733301.3232456103</v>
      </c>
      <c r="F31" s="330">
        <f>'3C6 FACTORES DE EMISIÓN'!$B$3</f>
        <v>0.01</v>
      </c>
      <c r="G31" s="291">
        <f t="shared" si="3"/>
        <v>27237.592222431023</v>
      </c>
      <c r="H31" s="363">
        <f>+G31*'FACTORES DE CONVERSIÓN'!$B$15/'FACTORES DE CONVERSIÓN'!$C$28</f>
        <v>0.027237592222431023</v>
      </c>
    </row>
    <row r="32" spans="1:8" ht="13.5" thickBot="1">
      <c r="A32" s="1326"/>
      <c r="B32" s="296" t="s">
        <v>42</v>
      </c>
      <c r="C32" s="290">
        <f>'3A1 EMISIONES T1_3A2 '!H57</f>
        <v>0</v>
      </c>
      <c r="D32" s="329">
        <f>'FACTORES DE CONVERSIÓN'!C341</f>
        <v>0</v>
      </c>
      <c r="E32" s="290">
        <f t="shared" si="2"/>
        <v>0</v>
      </c>
      <c r="F32" s="329">
        <f>'3C6 FACTORES DE EMISIÓN'!$B$3</f>
        <v>0.01</v>
      </c>
      <c r="G32" s="290">
        <f t="shared" si="3"/>
        <v>0</v>
      </c>
      <c r="H32" s="363">
        <f>+G32*'FACTORES DE CONVERSIÓN'!$B$15/'FACTORES DE CONVERSIÓN'!$C$28</f>
        <v>0</v>
      </c>
    </row>
    <row r="33" spans="1:8" ht="13.5" thickBot="1">
      <c r="A33" s="1322"/>
      <c r="B33" s="296" t="s">
        <v>74</v>
      </c>
      <c r="C33" s="291">
        <f>'3A1 EMISIONES T1_3A2 '!H58</f>
        <v>0</v>
      </c>
      <c r="D33" s="330">
        <f>'FACTORES DE CONVERSIÓN'!C342</f>
        <v>0.12</v>
      </c>
      <c r="E33" s="291">
        <f t="shared" si="2"/>
        <v>0</v>
      </c>
      <c r="F33" s="330">
        <f>'3C6 FACTORES DE EMISIÓN'!$B$3</f>
        <v>0.01</v>
      </c>
      <c r="G33" s="291">
        <f t="shared" si="3"/>
        <v>0</v>
      </c>
      <c r="H33" s="363">
        <f>+G33*'FACTORES DE CONVERSIÓN'!$B$15/'FACTORES DE CONVERSIÓN'!$C$28</f>
        <v>0</v>
      </c>
    </row>
    <row r="34" spans="1:8" ht="13.5" thickBot="1">
      <c r="A34" s="1334" t="s">
        <v>19</v>
      </c>
      <c r="B34" s="1335"/>
      <c r="C34" s="331"/>
      <c r="D34" s="299"/>
      <c r="E34" s="299"/>
      <c r="F34" s="299"/>
      <c r="G34" s="364">
        <f>SUM(G23:G33)</f>
        <v>296061.25639014476</v>
      </c>
      <c r="H34" s="365">
        <f>SUM(H23:H33)</f>
        <v>0.2960612563901448</v>
      </c>
    </row>
    <row r="35" spans="1:8" ht="27" thickBot="1" thickTop="1">
      <c r="A35" s="1330" t="s">
        <v>187</v>
      </c>
      <c r="B35" s="296" t="s">
        <v>161</v>
      </c>
      <c r="C35" s="291">
        <f>'3A1 EMISIONES T1_3A2 '!H60</f>
        <v>0</v>
      </c>
      <c r="D35" s="330">
        <f>'FACTORES DE CONVERSIÓN'!D332</f>
        <v>0</v>
      </c>
      <c r="E35" s="291">
        <f>C35*D35</f>
        <v>0</v>
      </c>
      <c r="F35" s="330">
        <f>'3C6 FACTORES DE EMISIÓN'!$B$3</f>
        <v>0.01</v>
      </c>
      <c r="G35" s="291">
        <f>E35*F35*44/28</f>
        <v>0</v>
      </c>
      <c r="H35" s="363">
        <f>+G35*'FACTORES DE CONVERSIÓN'!$B$15/'FACTORES DE CONVERSIÓN'!$C$28</f>
        <v>0</v>
      </c>
    </row>
    <row r="36" spans="1:8" ht="26.25" thickBot="1">
      <c r="A36" s="1326"/>
      <c r="B36" s="296" t="s">
        <v>162</v>
      </c>
      <c r="C36" s="291">
        <f>'3A1 EMISIONES T1_3A2 '!H61</f>
        <v>0</v>
      </c>
      <c r="D36" s="330">
        <f>'FACTORES DE CONVERSIÓN'!D333</f>
        <v>0</v>
      </c>
      <c r="E36" s="291">
        <f aca="true" t="shared" si="4" ref="E36:E45">C36*D36</f>
        <v>0</v>
      </c>
      <c r="F36" s="330">
        <f>'3C6 FACTORES DE EMISIÓN'!$B$3</f>
        <v>0.01</v>
      </c>
      <c r="G36" s="291">
        <f aca="true" t="shared" si="5" ref="G36:G45">E36*F36*44/28</f>
        <v>0</v>
      </c>
      <c r="H36" s="363">
        <f>+G36*'FACTORES DE CONVERSIÓN'!$B$15/'FACTORES DE CONVERSIÓN'!$C$28</f>
        <v>0</v>
      </c>
    </row>
    <row r="37" spans="1:8" ht="13.5" thickBot="1">
      <c r="A37" s="1326"/>
      <c r="B37" s="296" t="s">
        <v>46</v>
      </c>
      <c r="C37" s="291">
        <f>'3A1 EMISIONES T1_3A2 '!H62</f>
        <v>0</v>
      </c>
      <c r="D37" s="330">
        <f>'FACTORES DE CONVERSIÓN'!D334</f>
        <v>0</v>
      </c>
      <c r="E37" s="291">
        <f t="shared" si="4"/>
        <v>0</v>
      </c>
      <c r="F37" s="330">
        <f>'3C6 FACTORES DE EMISIÓN'!$B$3</f>
        <v>0.01</v>
      </c>
      <c r="G37" s="291">
        <f t="shared" si="5"/>
        <v>0</v>
      </c>
      <c r="H37" s="363">
        <f>+G37*'FACTORES DE CONVERSIÓN'!$B$15/'FACTORES DE CONVERSIÓN'!$C$28</f>
        <v>0</v>
      </c>
    </row>
    <row r="38" spans="1:8" ht="13.5" thickBot="1">
      <c r="A38" s="1326"/>
      <c r="B38" s="296" t="s">
        <v>45</v>
      </c>
      <c r="C38" s="291">
        <f>'3A1 EMISIONES T1_3A2 '!H63</f>
        <v>0</v>
      </c>
      <c r="D38" s="330">
        <f>'FACTORES DE CONVERSIÓN'!D335</f>
        <v>0</v>
      </c>
      <c r="E38" s="291">
        <f t="shared" si="4"/>
        <v>0</v>
      </c>
      <c r="F38" s="330">
        <f>'3C6 FACTORES DE EMISIÓN'!$B$3</f>
        <v>0.01</v>
      </c>
      <c r="G38" s="291">
        <f t="shared" si="5"/>
        <v>0</v>
      </c>
      <c r="H38" s="363">
        <f>+G38*'FACTORES DE CONVERSIÓN'!$B$15/'FACTORES DE CONVERSIÓN'!$C$28</f>
        <v>0</v>
      </c>
    </row>
    <row r="39" spans="1:8" ht="13.5" thickBot="1">
      <c r="A39" s="1326"/>
      <c r="B39" s="296" t="s">
        <v>72</v>
      </c>
      <c r="C39" s="291">
        <f>'3A1 EMISIONES T1_3A2 '!H64</f>
        <v>0</v>
      </c>
      <c r="D39" s="330">
        <f>'FACTORES DE CONVERSIÓN'!D336</f>
        <v>0</v>
      </c>
      <c r="E39" s="291">
        <f t="shared" si="4"/>
        <v>0</v>
      </c>
      <c r="F39" s="330">
        <f>'3C6 FACTORES DE EMISIÓN'!$B$3</f>
        <v>0.01</v>
      </c>
      <c r="G39" s="291">
        <f t="shared" si="5"/>
        <v>0</v>
      </c>
      <c r="H39" s="363">
        <f>+G39*'FACTORES DE CONVERSIÓN'!$B$15/'FACTORES DE CONVERSIÓN'!$C$28</f>
        <v>0</v>
      </c>
    </row>
    <row r="40" spans="1:8" ht="13.5" thickBot="1">
      <c r="A40" s="1326"/>
      <c r="B40" s="296" t="s">
        <v>150</v>
      </c>
      <c r="C40" s="291">
        <f>'3A1 EMISIONES T1_3A2 '!H65</f>
        <v>0</v>
      </c>
      <c r="D40" s="330">
        <f>'FACTORES DE CONVERSIÓN'!D337</f>
        <v>0</v>
      </c>
      <c r="E40" s="291">
        <f t="shared" si="4"/>
        <v>0</v>
      </c>
      <c r="F40" s="330">
        <f>'3C6 FACTORES DE EMISIÓN'!$B$3</f>
        <v>0.01</v>
      </c>
      <c r="G40" s="291">
        <f t="shared" si="5"/>
        <v>0</v>
      </c>
      <c r="H40" s="363">
        <f>+G40*'FACTORES DE CONVERSIÓN'!$B$15/'FACTORES DE CONVERSIÓN'!$C$28</f>
        <v>0</v>
      </c>
    </row>
    <row r="41" spans="1:8" ht="13.5" thickBot="1">
      <c r="A41" s="1326"/>
      <c r="B41" s="296" t="s">
        <v>47</v>
      </c>
      <c r="C41" s="291">
        <f>'3A1 EMISIONES T1_3A2 '!H66</f>
        <v>0</v>
      </c>
      <c r="D41" s="330">
        <f>'FACTORES DE CONVERSIÓN'!D338</f>
        <v>0</v>
      </c>
      <c r="E41" s="291">
        <f t="shared" si="4"/>
        <v>0</v>
      </c>
      <c r="F41" s="330">
        <f>'3C6 FACTORES DE EMISIÓN'!$B$3</f>
        <v>0.01</v>
      </c>
      <c r="G41" s="291">
        <f t="shared" si="5"/>
        <v>0</v>
      </c>
      <c r="H41" s="363">
        <f>+G41*'FACTORES DE CONVERSIÓN'!$B$15/'FACTORES DE CONVERSIÓN'!$C$28</f>
        <v>0</v>
      </c>
    </row>
    <row r="42" spans="1:8" ht="13.5" thickBot="1">
      <c r="A42" s="1326"/>
      <c r="B42" s="296" t="s">
        <v>43</v>
      </c>
      <c r="C42" s="291">
        <f>'3A1 EMISIONES T1_3A2 '!H67</f>
        <v>0</v>
      </c>
      <c r="D42" s="330">
        <f>'FACTORES DE CONVERSIÓN'!D339</f>
        <v>0</v>
      </c>
      <c r="E42" s="291">
        <f t="shared" si="4"/>
        <v>0</v>
      </c>
      <c r="F42" s="330">
        <f>'3C6 FACTORES DE EMISIÓN'!$B$3</f>
        <v>0.01</v>
      </c>
      <c r="G42" s="291">
        <f t="shared" si="5"/>
        <v>0</v>
      </c>
      <c r="H42" s="363">
        <f>+G42*'FACTORES DE CONVERSIÓN'!$B$15/'FACTORES DE CONVERSIÓN'!$C$28</f>
        <v>0</v>
      </c>
    </row>
    <row r="43" spans="1:8" ht="13.5" thickBot="1">
      <c r="A43" s="1326"/>
      <c r="B43" s="296" t="s">
        <v>44</v>
      </c>
      <c r="C43" s="291">
        <f>'3A1 EMISIONES T1_3A2 '!H68</f>
        <v>0</v>
      </c>
      <c r="D43" s="330">
        <f>'FACTORES DE CONVERSIÓN'!D340</f>
        <v>0</v>
      </c>
      <c r="E43" s="291">
        <f t="shared" si="4"/>
        <v>0</v>
      </c>
      <c r="F43" s="330">
        <f>'3C6 FACTORES DE EMISIÓN'!$B$3</f>
        <v>0.01</v>
      </c>
      <c r="G43" s="291">
        <f t="shared" si="5"/>
        <v>0</v>
      </c>
      <c r="H43" s="363">
        <f>+G43*'FACTORES DE CONVERSIÓN'!$B$15/'FACTORES DE CONVERSIÓN'!$C$28</f>
        <v>0</v>
      </c>
    </row>
    <row r="44" spans="1:8" ht="13.5" thickBot="1">
      <c r="A44" s="1326"/>
      <c r="B44" s="296" t="s">
        <v>42</v>
      </c>
      <c r="C44" s="290">
        <f>'3A1 EMISIONES T1_3A2 '!H69</f>
        <v>0</v>
      </c>
      <c r="D44" s="329">
        <f>'FACTORES DE CONVERSIÓN'!D341</f>
        <v>0</v>
      </c>
      <c r="E44" s="290">
        <f t="shared" si="4"/>
        <v>0</v>
      </c>
      <c r="F44" s="329">
        <f>'3C6 FACTORES DE EMISIÓN'!$B$3</f>
        <v>0.01</v>
      </c>
      <c r="G44" s="290">
        <f t="shared" si="5"/>
        <v>0</v>
      </c>
      <c r="H44" s="363">
        <f>+G44*'FACTORES DE CONVERSIÓN'!$B$15/'FACTORES DE CONVERSIÓN'!$C$28</f>
        <v>0</v>
      </c>
    </row>
    <row r="45" spans="1:8" ht="13.5" thickBot="1">
      <c r="A45" s="1322"/>
      <c r="B45" s="296" t="s">
        <v>74</v>
      </c>
      <c r="C45" s="291">
        <f>'3A1 EMISIONES T1_3A2 '!H70</f>
        <v>0</v>
      </c>
      <c r="D45" s="330">
        <f>'FACTORES DE CONVERSIÓN'!D342</f>
        <v>0</v>
      </c>
      <c r="E45" s="291">
        <f t="shared" si="4"/>
        <v>0</v>
      </c>
      <c r="F45" s="330">
        <f>'3C6 FACTORES DE EMISIÓN'!$B$3</f>
        <v>0.01</v>
      </c>
      <c r="G45" s="291">
        <f t="shared" si="5"/>
        <v>0</v>
      </c>
      <c r="H45" s="363">
        <f>+G45*'FACTORES DE CONVERSIÓN'!$B$15/'FACTORES DE CONVERSIÓN'!$C$28</f>
        <v>0</v>
      </c>
    </row>
    <row r="46" spans="1:8" ht="13.5" thickBot="1">
      <c r="A46" s="1334" t="s">
        <v>19</v>
      </c>
      <c r="B46" s="1335"/>
      <c r="C46" s="331"/>
      <c r="D46" s="299"/>
      <c r="E46" s="299"/>
      <c r="F46" s="299"/>
      <c r="G46" s="366">
        <f>SUM(G35:G45)</f>
        <v>0</v>
      </c>
      <c r="H46" s="367">
        <f>SUM(H35:H45)</f>
        <v>0</v>
      </c>
    </row>
    <row r="47" spans="1:8" ht="27" thickBot="1" thickTop="1">
      <c r="A47" s="1330" t="s">
        <v>188</v>
      </c>
      <c r="B47" s="296" t="s">
        <v>161</v>
      </c>
      <c r="C47" s="291">
        <f>'3A1 EMISIONES T1_3A2 '!H72</f>
        <v>0</v>
      </c>
      <c r="D47" s="330">
        <f>'FACTORES DE CONVERSIÓN'!E332</f>
        <v>0</v>
      </c>
      <c r="E47" s="291">
        <f>C47*D47</f>
        <v>0</v>
      </c>
      <c r="F47" s="330">
        <f>'3C6 FACTORES DE EMISIÓN'!$B$3</f>
        <v>0.01</v>
      </c>
      <c r="G47" s="291">
        <f>E47*F47*44/28</f>
        <v>0</v>
      </c>
      <c r="H47" s="363">
        <f>+G47*'FACTORES DE CONVERSIÓN'!$B$15/'FACTORES DE CONVERSIÓN'!$C$28</f>
        <v>0</v>
      </c>
    </row>
    <row r="48" spans="1:8" ht="26.25" thickBot="1">
      <c r="A48" s="1326"/>
      <c r="B48" s="296" t="s">
        <v>162</v>
      </c>
      <c r="C48" s="291">
        <f>'3A1 EMISIONES T1_3A2 '!H73</f>
        <v>0</v>
      </c>
      <c r="D48" s="330">
        <f>'FACTORES DE CONVERSIÓN'!E333</f>
        <v>0</v>
      </c>
      <c r="E48" s="291">
        <f aca="true" t="shared" si="6" ref="E48:E57">C48*D48</f>
        <v>0</v>
      </c>
      <c r="F48" s="330">
        <f>'3C6 FACTORES DE EMISIÓN'!$B$3</f>
        <v>0.01</v>
      </c>
      <c r="G48" s="291">
        <f aca="true" t="shared" si="7" ref="G48:G57">E48*F48*44/28</f>
        <v>0</v>
      </c>
      <c r="H48" s="363">
        <f>+G48*'FACTORES DE CONVERSIÓN'!$B$15/'FACTORES DE CONVERSIÓN'!$C$28</f>
        <v>0</v>
      </c>
    </row>
    <row r="49" spans="1:8" ht="13.5" thickBot="1">
      <c r="A49" s="1326"/>
      <c r="B49" s="296" t="s">
        <v>46</v>
      </c>
      <c r="C49" s="291">
        <f>'3A1 EMISIONES T1_3A2 '!H74</f>
        <v>0</v>
      </c>
      <c r="D49" s="330">
        <f>'FACTORES DE CONVERSIÓN'!E334</f>
        <v>0</v>
      </c>
      <c r="E49" s="291">
        <f t="shared" si="6"/>
        <v>0</v>
      </c>
      <c r="F49" s="330">
        <f>'3C6 FACTORES DE EMISIÓN'!$B$3</f>
        <v>0.01</v>
      </c>
      <c r="G49" s="291">
        <f t="shared" si="7"/>
        <v>0</v>
      </c>
      <c r="H49" s="363">
        <f>+G49*'FACTORES DE CONVERSIÓN'!$B$15/'FACTORES DE CONVERSIÓN'!$C$28</f>
        <v>0</v>
      </c>
    </row>
    <row r="50" spans="1:8" ht="13.5" thickBot="1">
      <c r="A50" s="1326"/>
      <c r="B50" s="296" t="s">
        <v>45</v>
      </c>
      <c r="C50" s="291">
        <f>'3A1 EMISIONES T1_3A2 '!H75</f>
        <v>0</v>
      </c>
      <c r="D50" s="330">
        <f>'FACTORES DE CONVERSIÓN'!E335</f>
        <v>0</v>
      </c>
      <c r="E50" s="291">
        <f t="shared" si="6"/>
        <v>0</v>
      </c>
      <c r="F50" s="330">
        <f>'3C6 FACTORES DE EMISIÓN'!$B$3</f>
        <v>0.01</v>
      </c>
      <c r="G50" s="291">
        <f t="shared" si="7"/>
        <v>0</v>
      </c>
      <c r="H50" s="363">
        <f>+G50*'FACTORES DE CONVERSIÓN'!$B$15/'FACTORES DE CONVERSIÓN'!$C$28</f>
        <v>0</v>
      </c>
    </row>
    <row r="51" spans="1:8" ht="13.5" thickBot="1">
      <c r="A51" s="1326"/>
      <c r="B51" s="296" t="s">
        <v>72</v>
      </c>
      <c r="C51" s="291">
        <f>'3A1 EMISIONES T1_3A2 '!H76</f>
        <v>0</v>
      </c>
      <c r="D51" s="330">
        <f>'FACTORES DE CONVERSIÓN'!E336</f>
        <v>0</v>
      </c>
      <c r="E51" s="291">
        <f t="shared" si="6"/>
        <v>0</v>
      </c>
      <c r="F51" s="330">
        <f>'3C6 FACTORES DE EMISIÓN'!$B$3</f>
        <v>0.01</v>
      </c>
      <c r="G51" s="291">
        <f t="shared" si="7"/>
        <v>0</v>
      </c>
      <c r="H51" s="363">
        <f>+G51*'FACTORES DE CONVERSIÓN'!$B$15/'FACTORES DE CONVERSIÓN'!$C$28</f>
        <v>0</v>
      </c>
    </row>
    <row r="52" spans="1:8" ht="13.5" thickBot="1">
      <c r="A52" s="1326"/>
      <c r="B52" s="296" t="s">
        <v>150</v>
      </c>
      <c r="C52" s="291">
        <f>'3A1 EMISIONES T1_3A2 '!H77</f>
        <v>0</v>
      </c>
      <c r="D52" s="330">
        <f>'FACTORES DE CONVERSIÓN'!E337</f>
        <v>0</v>
      </c>
      <c r="E52" s="291">
        <f t="shared" si="6"/>
        <v>0</v>
      </c>
      <c r="F52" s="330">
        <f>'3C6 FACTORES DE EMISIÓN'!$B$3</f>
        <v>0.01</v>
      </c>
      <c r="G52" s="291">
        <f t="shared" si="7"/>
        <v>0</v>
      </c>
      <c r="H52" s="363">
        <f>+G52*'FACTORES DE CONVERSIÓN'!$B$15/'FACTORES DE CONVERSIÓN'!$C$28</f>
        <v>0</v>
      </c>
    </row>
    <row r="53" spans="1:8" ht="13.5" thickBot="1">
      <c r="A53" s="1326"/>
      <c r="B53" s="296" t="s">
        <v>47</v>
      </c>
      <c r="C53" s="291">
        <f>'3A1 EMISIONES T1_3A2 '!H78</f>
        <v>0</v>
      </c>
      <c r="D53" s="330">
        <f>'FACTORES DE CONVERSIÓN'!E338</f>
        <v>0</v>
      </c>
      <c r="E53" s="291">
        <f t="shared" si="6"/>
        <v>0</v>
      </c>
      <c r="F53" s="330">
        <f>'3C6 FACTORES DE EMISIÓN'!$B$3</f>
        <v>0.01</v>
      </c>
      <c r="G53" s="291">
        <f t="shared" si="7"/>
        <v>0</v>
      </c>
      <c r="H53" s="363">
        <f>+G53*'FACTORES DE CONVERSIÓN'!$B$15/'FACTORES DE CONVERSIÓN'!$C$28</f>
        <v>0</v>
      </c>
    </row>
    <row r="54" spans="1:8" ht="13.5" thickBot="1">
      <c r="A54" s="1326"/>
      <c r="B54" s="296" t="s">
        <v>43</v>
      </c>
      <c r="C54" s="291">
        <f>'3A1 EMISIONES T1_3A2 '!H79</f>
        <v>0</v>
      </c>
      <c r="D54" s="330">
        <f>'FACTORES DE CONVERSIÓN'!E339</f>
        <v>0</v>
      </c>
      <c r="E54" s="291">
        <f t="shared" si="6"/>
        <v>0</v>
      </c>
      <c r="F54" s="330">
        <f>'3C6 FACTORES DE EMISIÓN'!$B$3</f>
        <v>0.01</v>
      </c>
      <c r="G54" s="291">
        <f t="shared" si="7"/>
        <v>0</v>
      </c>
      <c r="H54" s="363">
        <f>+G54*'FACTORES DE CONVERSIÓN'!$B$15/'FACTORES DE CONVERSIÓN'!$C$28</f>
        <v>0</v>
      </c>
    </row>
    <row r="55" spans="1:8" ht="13.5" thickBot="1">
      <c r="A55" s="1326"/>
      <c r="B55" s="296" t="s">
        <v>44</v>
      </c>
      <c r="C55" s="291">
        <f>'3A1 EMISIONES T1_3A2 '!H80</f>
        <v>0</v>
      </c>
      <c r="D55" s="330">
        <f>'FACTORES DE CONVERSIÓN'!E340</f>
        <v>0</v>
      </c>
      <c r="E55" s="291">
        <f t="shared" si="6"/>
        <v>0</v>
      </c>
      <c r="F55" s="330">
        <f>'3C6 FACTORES DE EMISIÓN'!$B$3</f>
        <v>0.01</v>
      </c>
      <c r="G55" s="291">
        <f t="shared" si="7"/>
        <v>0</v>
      </c>
      <c r="H55" s="363">
        <f>+G55*'FACTORES DE CONVERSIÓN'!$B$15/'FACTORES DE CONVERSIÓN'!$C$28</f>
        <v>0</v>
      </c>
    </row>
    <row r="56" spans="1:8" ht="13.5" thickBot="1">
      <c r="A56" s="1326"/>
      <c r="B56" s="296" t="s">
        <v>42</v>
      </c>
      <c r="C56" s="290">
        <f>'3A1 EMISIONES T1_3A2 '!H81</f>
        <v>52319310.274560325</v>
      </c>
      <c r="D56" s="329">
        <f>'FACTORES DE CONVERSIÓN'!E341</f>
        <v>0.4</v>
      </c>
      <c r="E56" s="290">
        <f t="shared" si="6"/>
        <v>20927724.109824132</v>
      </c>
      <c r="F56" s="329">
        <f>'3C6 FACTORES DE EMISIÓN'!$B$3</f>
        <v>0.01</v>
      </c>
      <c r="G56" s="290">
        <f t="shared" si="7"/>
        <v>328864.23601152207</v>
      </c>
      <c r="H56" s="363">
        <f>+G56*'FACTORES DE CONVERSIÓN'!$B$15/'FACTORES DE CONVERSIÓN'!$C$28</f>
        <v>0.32886423601152204</v>
      </c>
    </row>
    <row r="57" spans="1:8" ht="13.5" thickBot="1">
      <c r="A57" s="1322"/>
      <c r="B57" s="296" t="s">
        <v>74</v>
      </c>
      <c r="C57" s="291">
        <f>'3A1 EMISIONES T1_3A2 '!H82</f>
        <v>0</v>
      </c>
      <c r="D57" s="330">
        <f>'FACTORES DE CONVERSIÓN'!E342</f>
        <v>0</v>
      </c>
      <c r="E57" s="291">
        <f t="shared" si="6"/>
        <v>0</v>
      </c>
      <c r="F57" s="330">
        <f>'3C6 FACTORES DE EMISIÓN'!$B$3</f>
        <v>0.01</v>
      </c>
      <c r="G57" s="291">
        <f t="shared" si="7"/>
        <v>0</v>
      </c>
      <c r="H57" s="363">
        <f>+G57*'FACTORES DE CONVERSIÓN'!$B$15/'FACTORES DE CONVERSIÓN'!$C$28</f>
        <v>0</v>
      </c>
    </row>
    <row r="58" spans="1:8" ht="13.5" thickBot="1">
      <c r="A58" s="1334" t="s">
        <v>19</v>
      </c>
      <c r="B58" s="1335"/>
      <c r="C58" s="331"/>
      <c r="D58" s="299"/>
      <c r="E58" s="299"/>
      <c r="F58" s="299"/>
      <c r="G58" s="364">
        <f>SUM(G47:G57)</f>
        <v>328864.23601152207</v>
      </c>
      <c r="H58" s="365">
        <f>SUM(H47:H57)</f>
        <v>0.32886423601152204</v>
      </c>
    </row>
    <row r="59" spans="1:8" ht="27" thickBot="1" thickTop="1">
      <c r="A59" s="1330" t="s">
        <v>189</v>
      </c>
      <c r="B59" s="296" t="s">
        <v>161</v>
      </c>
      <c r="C59" s="291">
        <f>'3A1 EMISIONES T1_3A2 '!H84</f>
        <v>0</v>
      </c>
      <c r="D59" s="330">
        <f>'FACTORES DE CONVERSIÓN'!F332</f>
        <v>0</v>
      </c>
      <c r="E59" s="291">
        <f>C59*D59</f>
        <v>0</v>
      </c>
      <c r="F59" s="330">
        <f>'3C6 FACTORES DE EMISIÓN'!$B$3</f>
        <v>0.01</v>
      </c>
      <c r="G59" s="291">
        <f>E59*F59*44/28</f>
        <v>0</v>
      </c>
      <c r="H59" s="363">
        <f>+G59*'FACTORES DE CONVERSIÓN'!$B$15/'FACTORES DE CONVERSIÓN'!$C$28</f>
        <v>0</v>
      </c>
    </row>
    <row r="60" spans="1:8" ht="26.25" thickBot="1">
      <c r="A60" s="1326"/>
      <c r="B60" s="296" t="s">
        <v>162</v>
      </c>
      <c r="C60" s="291">
        <f>'3A1 EMISIONES T1_3A2 '!H85</f>
        <v>0</v>
      </c>
      <c r="D60" s="330">
        <f>'FACTORES DE CONVERSIÓN'!F333</f>
        <v>0</v>
      </c>
      <c r="E60" s="291">
        <f aca="true" t="shared" si="8" ref="E60:E69">C60*D60</f>
        <v>0</v>
      </c>
      <c r="F60" s="330">
        <f>'3C6 FACTORES DE EMISIÓN'!$B$3</f>
        <v>0.01</v>
      </c>
      <c r="G60" s="291">
        <f aca="true" t="shared" si="9" ref="G60:G69">E60*F60*44/28</f>
        <v>0</v>
      </c>
      <c r="H60" s="363">
        <f>+G60*'FACTORES DE CONVERSIÓN'!$B$15/'FACTORES DE CONVERSIÓN'!$C$28</f>
        <v>0</v>
      </c>
    </row>
    <row r="61" spans="1:8" ht="13.5" thickBot="1">
      <c r="A61" s="1326"/>
      <c r="B61" s="296" t="s">
        <v>46</v>
      </c>
      <c r="C61" s="291">
        <f>'3A1 EMISIONES T1_3A2 '!H86</f>
        <v>0</v>
      </c>
      <c r="D61" s="330">
        <f>'FACTORES DE CONVERSIÓN'!F334</f>
        <v>0</v>
      </c>
      <c r="E61" s="291">
        <f t="shared" si="8"/>
        <v>0</v>
      </c>
      <c r="F61" s="330">
        <f>'3C6 FACTORES DE EMISIÓN'!$B$3</f>
        <v>0.01</v>
      </c>
      <c r="G61" s="291">
        <f t="shared" si="9"/>
        <v>0</v>
      </c>
      <c r="H61" s="363">
        <f>+G61*'FACTORES DE CONVERSIÓN'!$B$15/'FACTORES DE CONVERSIÓN'!$C$28</f>
        <v>0</v>
      </c>
    </row>
    <row r="62" spans="1:8" ht="13.5" thickBot="1">
      <c r="A62" s="1326"/>
      <c r="B62" s="296" t="s">
        <v>45</v>
      </c>
      <c r="C62" s="291">
        <f>'3A1 EMISIONES T1_3A2 '!H87</f>
        <v>0</v>
      </c>
      <c r="D62" s="330">
        <f>'FACTORES DE CONVERSIÓN'!F335</f>
        <v>0</v>
      </c>
      <c r="E62" s="291">
        <f t="shared" si="8"/>
        <v>0</v>
      </c>
      <c r="F62" s="330">
        <f>'3C6 FACTORES DE EMISIÓN'!$B$3</f>
        <v>0.01</v>
      </c>
      <c r="G62" s="291">
        <f t="shared" si="9"/>
        <v>0</v>
      </c>
      <c r="H62" s="363">
        <f>+G62*'FACTORES DE CONVERSIÓN'!$B$15/'FACTORES DE CONVERSIÓN'!$C$28</f>
        <v>0</v>
      </c>
    </row>
    <row r="63" spans="1:8" ht="13.5" thickBot="1">
      <c r="A63" s="1326"/>
      <c r="B63" s="296" t="s">
        <v>72</v>
      </c>
      <c r="C63" s="291">
        <f>'3A1 EMISIONES T1_3A2 '!H88</f>
        <v>0</v>
      </c>
      <c r="D63" s="330">
        <f>'FACTORES DE CONVERSIÓN'!F336</f>
        <v>0</v>
      </c>
      <c r="E63" s="291">
        <f t="shared" si="8"/>
        <v>0</v>
      </c>
      <c r="F63" s="330">
        <f>'3C6 FACTORES DE EMISIÓN'!$B$3</f>
        <v>0.01</v>
      </c>
      <c r="G63" s="291">
        <f t="shared" si="9"/>
        <v>0</v>
      </c>
      <c r="H63" s="363">
        <f>+G63*'FACTORES DE CONVERSIÓN'!$B$15/'FACTORES DE CONVERSIÓN'!$C$28</f>
        <v>0</v>
      </c>
    </row>
    <row r="64" spans="1:8" ht="13.5" thickBot="1">
      <c r="A64" s="1326"/>
      <c r="B64" s="296" t="s">
        <v>150</v>
      </c>
      <c r="C64" s="291">
        <f>'3A1 EMISIONES T1_3A2 '!H89</f>
        <v>0</v>
      </c>
      <c r="D64" s="330">
        <f>'FACTORES DE CONVERSIÓN'!F337</f>
        <v>0</v>
      </c>
      <c r="E64" s="291">
        <f t="shared" si="8"/>
        <v>0</v>
      </c>
      <c r="F64" s="330">
        <f>'3C6 FACTORES DE EMISIÓN'!$B$3</f>
        <v>0.01</v>
      </c>
      <c r="G64" s="291">
        <f t="shared" si="9"/>
        <v>0</v>
      </c>
      <c r="H64" s="363">
        <f>+G64*'FACTORES DE CONVERSIÓN'!$B$15/'FACTORES DE CONVERSIÓN'!$C$28</f>
        <v>0</v>
      </c>
    </row>
    <row r="65" spans="1:8" ht="13.5" thickBot="1">
      <c r="A65" s="1326"/>
      <c r="B65" s="296" t="s">
        <v>47</v>
      </c>
      <c r="C65" s="291">
        <f>'3A1 EMISIONES T1_3A2 '!H90</f>
        <v>0</v>
      </c>
      <c r="D65" s="330">
        <f>'FACTORES DE CONVERSIÓN'!F338</f>
        <v>0</v>
      </c>
      <c r="E65" s="291">
        <f t="shared" si="8"/>
        <v>0</v>
      </c>
      <c r="F65" s="330">
        <f>'3C6 FACTORES DE EMISIÓN'!$B$3</f>
        <v>0.01</v>
      </c>
      <c r="G65" s="291">
        <f t="shared" si="9"/>
        <v>0</v>
      </c>
      <c r="H65" s="363">
        <f>+G65*'FACTORES DE CONVERSIÓN'!$B$15/'FACTORES DE CONVERSIÓN'!$C$28</f>
        <v>0</v>
      </c>
    </row>
    <row r="66" spans="1:8" ht="13.5" thickBot="1">
      <c r="A66" s="1326"/>
      <c r="B66" s="296" t="s">
        <v>43</v>
      </c>
      <c r="C66" s="291">
        <f>'3A1 EMISIONES T1_3A2 '!H91</f>
        <v>0</v>
      </c>
      <c r="D66" s="330">
        <f>'FACTORES DE CONVERSIÓN'!F339</f>
        <v>0</v>
      </c>
      <c r="E66" s="291">
        <f t="shared" si="8"/>
        <v>0</v>
      </c>
      <c r="F66" s="330">
        <f>'3C6 FACTORES DE EMISIÓN'!$B$3</f>
        <v>0.01</v>
      </c>
      <c r="G66" s="291">
        <f t="shared" si="9"/>
        <v>0</v>
      </c>
      <c r="H66" s="363">
        <f>+G66*'FACTORES DE CONVERSIÓN'!$B$15/'FACTORES DE CONVERSIÓN'!$C$28</f>
        <v>0</v>
      </c>
    </row>
    <row r="67" spans="1:8" ht="13.5" thickBot="1">
      <c r="A67" s="1326"/>
      <c r="B67" s="296" t="s">
        <v>44</v>
      </c>
      <c r="C67" s="291">
        <f>'3A1 EMISIONES T1_3A2 '!H92</f>
        <v>0</v>
      </c>
      <c r="D67" s="330">
        <f>'FACTORES DE CONVERSIÓN'!F340</f>
        <v>0</v>
      </c>
      <c r="E67" s="291">
        <f t="shared" si="8"/>
        <v>0</v>
      </c>
      <c r="F67" s="330">
        <f>'3C6 FACTORES DE EMISIÓN'!$B$3</f>
        <v>0.01</v>
      </c>
      <c r="G67" s="291">
        <f t="shared" si="9"/>
        <v>0</v>
      </c>
      <c r="H67" s="363">
        <f>+G67*'FACTORES DE CONVERSIÓN'!$B$15/'FACTORES DE CONVERSIÓN'!$C$28</f>
        <v>0</v>
      </c>
    </row>
    <row r="68" spans="1:8" ht="13.5" thickBot="1">
      <c r="A68" s="1326"/>
      <c r="B68" s="296" t="s">
        <v>42</v>
      </c>
      <c r="C68" s="290">
        <f>'3A1 EMISIONES T1_3A2 '!H93</f>
        <v>5813256.69717337</v>
      </c>
      <c r="D68" s="329">
        <f>'FACTORES DE CONVERSIÓN'!F341</f>
        <v>0.55</v>
      </c>
      <c r="E68" s="290">
        <f t="shared" si="8"/>
        <v>3197291.183445354</v>
      </c>
      <c r="F68" s="329">
        <f>'3C6 FACTORES DE EMISIÓN'!$B$3</f>
        <v>0.01</v>
      </c>
      <c r="G68" s="290">
        <f t="shared" si="9"/>
        <v>50243.14716842699</v>
      </c>
      <c r="H68" s="363">
        <f>+G68*'FACTORES DE CONVERSIÓN'!$B$15/'FACTORES DE CONVERSIÓN'!$C$28</f>
        <v>0.05024314716842699</v>
      </c>
    </row>
    <row r="69" spans="1:8" ht="13.5" thickBot="1">
      <c r="A69" s="1322"/>
      <c r="B69" s="296" t="s">
        <v>74</v>
      </c>
      <c r="C69" s="291">
        <f>'3A1 EMISIONES T1_3A2 '!H94</f>
        <v>0</v>
      </c>
      <c r="D69" s="330">
        <f>'FACTORES DE CONVERSIÓN'!F342</f>
        <v>0</v>
      </c>
      <c r="E69" s="291">
        <f t="shared" si="8"/>
        <v>0</v>
      </c>
      <c r="F69" s="330">
        <f>'3C6 FACTORES DE EMISIÓN'!$B$3</f>
        <v>0.01</v>
      </c>
      <c r="G69" s="291">
        <f t="shared" si="9"/>
        <v>0</v>
      </c>
      <c r="H69" s="363">
        <f>+G69*'FACTORES DE CONVERSIÓN'!$B$15/'FACTORES DE CONVERSIÓN'!$C$28</f>
        <v>0</v>
      </c>
    </row>
    <row r="70" spans="1:8" ht="13.5" thickBot="1">
      <c r="A70" s="1334" t="s">
        <v>19</v>
      </c>
      <c r="B70" s="1335"/>
      <c r="C70" s="331"/>
      <c r="D70" s="299"/>
      <c r="E70" s="299"/>
      <c r="F70" s="299"/>
      <c r="G70" s="521">
        <f>SUM(G59:G69)</f>
        <v>50243.14716842699</v>
      </c>
      <c r="H70" s="521">
        <f>SUM(H59:H69)</f>
        <v>0.05024314716842699</v>
      </c>
    </row>
    <row r="71" spans="1:8" ht="13.5" thickBot="1">
      <c r="A71" s="1334" t="s">
        <v>4</v>
      </c>
      <c r="B71" s="1335"/>
      <c r="C71" s="331"/>
      <c r="D71" s="299"/>
      <c r="E71" s="299"/>
      <c r="F71" s="299"/>
      <c r="G71" s="365">
        <f>SUM(G22,G34,G46,G58,G70)</f>
        <v>675168.6395700938</v>
      </c>
      <c r="H71" s="365">
        <f>SUM(H22,H34,H46,H58,H70)</f>
        <v>0.6751686395700939</v>
      </c>
    </row>
    <row r="72" spans="1:7" ht="25.5" customHeight="1">
      <c r="A72" s="1331" t="s">
        <v>1572</v>
      </c>
      <c r="B72" s="1332"/>
      <c r="C72" s="1332"/>
      <c r="D72" s="1332"/>
      <c r="E72" s="1332"/>
      <c r="F72" s="1332"/>
      <c r="G72" s="1333"/>
    </row>
    <row r="73" spans="1:7" ht="15.75">
      <c r="A73" s="1315" t="s">
        <v>1390</v>
      </c>
      <c r="B73" s="1316"/>
      <c r="C73" s="1316"/>
      <c r="D73" s="1316"/>
      <c r="E73" s="1316"/>
      <c r="F73" s="1316"/>
      <c r="G73" s="1317"/>
    </row>
    <row r="74" spans="1:7" ht="16.5" thickBot="1">
      <c r="A74" s="1318" t="s">
        <v>1573</v>
      </c>
      <c r="B74" s="1319"/>
      <c r="C74" s="1319"/>
      <c r="D74" s="1319"/>
      <c r="E74" s="1319"/>
      <c r="F74" s="1319"/>
      <c r="G74" s="1320"/>
    </row>
    <row r="75" spans="1:7" ht="16.5" thickBot="1">
      <c r="A75" s="1057"/>
      <c r="B75" s="1058"/>
      <c r="C75" s="1058"/>
      <c r="D75" s="1058"/>
      <c r="E75" s="1058"/>
      <c r="F75" s="1058"/>
      <c r="G75" s="1058"/>
    </row>
    <row r="76" spans="1:8" ht="15.75" thickBot="1">
      <c r="A76" s="1338" t="s">
        <v>0</v>
      </c>
      <c r="B76" s="1339"/>
      <c r="C76" s="1340" t="s">
        <v>574</v>
      </c>
      <c r="D76" s="1341"/>
      <c r="E76" s="1341"/>
      <c r="F76" s="1341"/>
      <c r="G76" s="1341"/>
      <c r="H76" s="1342"/>
    </row>
    <row r="77" spans="1:8" ht="15.75" thickBot="1">
      <c r="A77" s="1338" t="s">
        <v>1343</v>
      </c>
      <c r="B77" s="1339"/>
      <c r="C77" s="1340" t="s">
        <v>1556</v>
      </c>
      <c r="D77" s="1341"/>
      <c r="E77" s="1341"/>
      <c r="F77" s="1341"/>
      <c r="G77" s="1341"/>
      <c r="H77" s="1342"/>
    </row>
    <row r="78" spans="1:8" ht="15.75" customHeight="1" thickBot="1">
      <c r="A78" s="1338" t="s">
        <v>1345</v>
      </c>
      <c r="B78" s="1339"/>
      <c r="C78" s="1340" t="s">
        <v>34</v>
      </c>
      <c r="D78" s="1341"/>
      <c r="E78" s="1341"/>
      <c r="F78" s="1341"/>
      <c r="G78" s="1341"/>
      <c r="H78" s="1342"/>
    </row>
    <row r="79" spans="1:8" ht="15.75" thickBot="1">
      <c r="A79" s="1338" t="s">
        <v>1347</v>
      </c>
      <c r="B79" s="1339"/>
      <c r="C79" s="1340" t="s">
        <v>1439</v>
      </c>
      <c r="D79" s="1341"/>
      <c r="E79" s="1341"/>
      <c r="F79" s="1341"/>
      <c r="G79" s="1341"/>
      <c r="H79" s="1434"/>
    </row>
    <row r="80" spans="1:18" ht="15.75" customHeight="1" thickBot="1">
      <c r="A80" s="1377" t="s">
        <v>1349</v>
      </c>
      <c r="B80" s="1378"/>
      <c r="C80" s="1307" t="s">
        <v>1574</v>
      </c>
      <c r="D80" s="1379"/>
      <c r="E80" s="1379"/>
      <c r="F80" s="1379"/>
      <c r="G80" s="1379"/>
      <c r="H80" s="1380"/>
      <c r="P80" s="508" t="s">
        <v>989</v>
      </c>
      <c r="Q80" s="103"/>
      <c r="R80" s="103"/>
    </row>
    <row r="81" spans="1:18" ht="153.75" thickBot="1">
      <c r="A81" s="1321" t="s">
        <v>1575</v>
      </c>
      <c r="B81" s="1321" t="s">
        <v>1576</v>
      </c>
      <c r="C81" s="286" t="s">
        <v>1561</v>
      </c>
      <c r="D81" s="286" t="s">
        <v>1577</v>
      </c>
      <c r="E81" s="286" t="s">
        <v>1578</v>
      </c>
      <c r="F81" s="286" t="s">
        <v>1579</v>
      </c>
      <c r="G81" s="286" t="s">
        <v>1580</v>
      </c>
      <c r="H81" s="286" t="s">
        <v>1581</v>
      </c>
      <c r="P81" s="103"/>
      <c r="Q81" s="103"/>
      <c r="R81" s="103"/>
    </row>
    <row r="82" spans="1:8" ht="30.75" thickBot="1">
      <c r="A82" s="1326"/>
      <c r="B82" s="1326"/>
      <c r="C82" s="1047" t="s">
        <v>1379</v>
      </c>
      <c r="D82" s="1047" t="s">
        <v>1582</v>
      </c>
      <c r="E82" s="1047" t="s">
        <v>1583</v>
      </c>
      <c r="F82" s="1047" t="s">
        <v>8</v>
      </c>
      <c r="G82" s="1047" t="s">
        <v>1584</v>
      </c>
      <c r="H82" s="1047" t="s">
        <v>1379</v>
      </c>
    </row>
    <row r="83" spans="1:8" ht="75.75" thickBot="1">
      <c r="A83" s="1322"/>
      <c r="B83" s="1322"/>
      <c r="C83" s="1047"/>
      <c r="D83" s="1047" t="s">
        <v>1585</v>
      </c>
      <c r="E83" s="1047"/>
      <c r="F83" s="1047" t="s">
        <v>1386</v>
      </c>
      <c r="G83" s="1047" t="s">
        <v>1586</v>
      </c>
      <c r="H83" s="1047" t="s">
        <v>1587</v>
      </c>
    </row>
    <row r="84" spans="1:8" ht="15.75" thickBot="1">
      <c r="A84" s="361" t="s">
        <v>9</v>
      </c>
      <c r="B84" s="362" t="s">
        <v>3</v>
      </c>
      <c r="C84" s="288" t="s">
        <v>827</v>
      </c>
      <c r="D84" s="288" t="s">
        <v>1588</v>
      </c>
      <c r="E84" s="288" t="s">
        <v>823</v>
      </c>
      <c r="F84" s="288" t="s">
        <v>826</v>
      </c>
      <c r="G84" s="288" t="s">
        <v>1589</v>
      </c>
      <c r="H84" s="288" t="s">
        <v>870</v>
      </c>
    </row>
    <row r="85" spans="1:8" ht="27.75" thickBot="1" thickTop="1">
      <c r="A85" s="1330" t="s">
        <v>183</v>
      </c>
      <c r="B85" s="296" t="s">
        <v>161</v>
      </c>
      <c r="C85" s="290">
        <f>'3A1 EMISIONES T1_3A2 '!H36</f>
        <v>0</v>
      </c>
      <c r="D85" s="290">
        <f>+'FACTORES DE CONVERSIÓN'!B347</f>
        <v>22</v>
      </c>
      <c r="E85" s="290">
        <f>'3A1_3A2_3C6 INFO PROC'!$B$87</f>
        <v>895718</v>
      </c>
      <c r="F85" s="290">
        <f>+'FACTORES DE CONVERSIÓN'!C167</f>
        <v>0</v>
      </c>
      <c r="G85" s="548"/>
      <c r="H85" s="290">
        <f>C85*(1-(D85/100))+E85*F85*G85</f>
        <v>0</v>
      </c>
    </row>
    <row r="86" spans="1:8" ht="27" thickBot="1">
      <c r="A86" s="1326"/>
      <c r="B86" s="296" t="s">
        <v>162</v>
      </c>
      <c r="C86" s="290">
        <f>'3A1 EMISIONES T1_3A2 '!H37</f>
        <v>0</v>
      </c>
      <c r="D86" s="290">
        <f>+'FACTORES DE CONVERSIÓN'!B348</f>
        <v>0</v>
      </c>
      <c r="E86" s="290">
        <f>'3A1_3A2_3C6 INFO PROC'!$B$88</f>
        <v>4639737</v>
      </c>
      <c r="F86" s="290">
        <f>+'FACTORES DE CONVERSIÓN'!C168</f>
        <v>0</v>
      </c>
      <c r="G86" s="548"/>
      <c r="H86" s="290">
        <f aca="true" t="shared" si="10" ref="H86:H95">C86*(1-(D86/100))+E86*F86*G86</f>
        <v>0</v>
      </c>
    </row>
    <row r="87" spans="1:8" ht="15.75" thickBot="1">
      <c r="A87" s="1326"/>
      <c r="B87" s="296" t="s">
        <v>46</v>
      </c>
      <c r="C87" s="290">
        <f>'3A1 EMISIONES T1_3A2 '!H38</f>
        <v>0</v>
      </c>
      <c r="D87" s="290">
        <f>+'FACTORES DE CONVERSIÓN'!B349</f>
        <v>0</v>
      </c>
      <c r="E87" s="290">
        <f>'3A1_3A2_3C6 INFO PROC'!$B$89</f>
        <v>11450659</v>
      </c>
      <c r="F87" s="290">
        <f>+'FACTORES DE CONVERSIÓN'!C169</f>
        <v>0</v>
      </c>
      <c r="G87" s="548"/>
      <c r="H87" s="290">
        <f t="shared" si="10"/>
        <v>0</v>
      </c>
    </row>
    <row r="88" spans="1:8" ht="15.75" thickBot="1">
      <c r="A88" s="1326"/>
      <c r="B88" s="296" t="s">
        <v>45</v>
      </c>
      <c r="C88" s="290">
        <f>'3A1 EMISIONES T1_3A2 '!H39</f>
        <v>0</v>
      </c>
      <c r="D88" s="290">
        <f>+'FACTORES DE CONVERSIÓN'!B350</f>
        <v>0</v>
      </c>
      <c r="E88" s="290">
        <f>'3A1_3A2_3C6 INFO PROC'!$B$90</f>
        <v>1879713</v>
      </c>
      <c r="F88" s="290">
        <f>+'FACTORES DE CONVERSIÓN'!C170</f>
        <v>0</v>
      </c>
      <c r="G88" s="548"/>
      <c r="H88" s="290">
        <f t="shared" si="10"/>
        <v>0</v>
      </c>
    </row>
    <row r="89" spans="1:8" ht="15.75" thickBot="1">
      <c r="A89" s="1326"/>
      <c r="B89" s="296" t="s">
        <v>72</v>
      </c>
      <c r="C89" s="290">
        <f>'3A1 EMISIONES T1_3A2 '!H40</f>
        <v>0</v>
      </c>
      <c r="D89" s="290">
        <f>+'FACTORES DE CONVERSIÓN'!B351</f>
        <v>0</v>
      </c>
      <c r="E89" s="290">
        <f>'3A1_3A2_3C6 INFO PROC'!$B$91</f>
        <v>526290.5573110435</v>
      </c>
      <c r="F89" s="290">
        <f>+'FACTORES DE CONVERSIÓN'!C171</f>
        <v>0</v>
      </c>
      <c r="G89" s="548"/>
      <c r="H89" s="290">
        <f t="shared" si="10"/>
        <v>0</v>
      </c>
    </row>
    <row r="90" spans="1:8" ht="15.75" thickBot="1">
      <c r="A90" s="1326"/>
      <c r="B90" s="296" t="s">
        <v>150</v>
      </c>
      <c r="C90" s="290">
        <f>'3A1 EMISIONES T1_3A2 '!H41</f>
        <v>0</v>
      </c>
      <c r="D90" s="290">
        <f>+'FACTORES DE CONVERSIÓN'!B352</f>
        <v>0</v>
      </c>
      <c r="E90" s="290">
        <f>'3A1_3A2_3C6 INFO PROC'!$B$92</f>
        <v>590007.7086570447</v>
      </c>
      <c r="F90" s="290">
        <f>+'FACTORES DE CONVERSIÓN'!C172</f>
        <v>0</v>
      </c>
      <c r="G90" s="548"/>
      <c r="H90" s="290">
        <f t="shared" si="10"/>
        <v>0</v>
      </c>
    </row>
    <row r="91" spans="1:8" ht="15.75" thickBot="1">
      <c r="A91" s="1326"/>
      <c r="B91" s="296" t="s">
        <v>47</v>
      </c>
      <c r="C91" s="290">
        <f>'3A1 EMISIONES T1_3A2 '!H42</f>
        <v>0</v>
      </c>
      <c r="D91" s="290">
        <f>+'FACTORES DE CONVERSIÓN'!B353</f>
        <v>0</v>
      </c>
      <c r="E91" s="290">
        <f>'3A1_3A2_3C6 INFO PROC'!$B$93</f>
        <v>904700.4246575341</v>
      </c>
      <c r="F91" s="290">
        <f>+'FACTORES DE CONVERSIÓN'!C173</f>
        <v>0</v>
      </c>
      <c r="G91" s="548"/>
      <c r="H91" s="290">
        <f t="shared" si="10"/>
        <v>0</v>
      </c>
    </row>
    <row r="92" spans="1:8" ht="15.75" thickBot="1">
      <c r="A92" s="1326"/>
      <c r="B92" s="296" t="s">
        <v>43</v>
      </c>
      <c r="C92" s="290">
        <f>'3A1 EMISIONES T1_3A2 '!H43</f>
        <v>0</v>
      </c>
      <c r="D92" s="290">
        <f>+'FACTORES DE CONVERSIÓN'!B354</f>
        <v>0</v>
      </c>
      <c r="E92" s="290">
        <f>'3A1_3A2_3C6 INFO PROC'!$B$94</f>
        <v>4319229</v>
      </c>
      <c r="F92" s="290">
        <f>+'FACTORES DE CONVERSIÓN'!C174</f>
        <v>0</v>
      </c>
      <c r="G92" s="548"/>
      <c r="H92" s="290">
        <f t="shared" si="10"/>
        <v>0</v>
      </c>
    </row>
    <row r="93" spans="1:8" ht="15.75" thickBot="1">
      <c r="A93" s="1326"/>
      <c r="B93" s="296" t="s">
        <v>44</v>
      </c>
      <c r="C93" s="290">
        <f>'3A1 EMISIONES T1_3A2 '!H44</f>
        <v>0</v>
      </c>
      <c r="D93" s="290">
        <f>+'FACTORES DE CONVERSIÓN'!B355</f>
        <v>0</v>
      </c>
      <c r="E93" s="290">
        <f>'3A1_3A2_3C6 INFO PROC'!$B$95</f>
        <v>1105017</v>
      </c>
      <c r="F93" s="290">
        <f>+'FACTORES DE CONVERSIÓN'!C175</f>
        <v>0</v>
      </c>
      <c r="G93" s="548"/>
      <c r="H93" s="290">
        <f t="shared" si="10"/>
        <v>0</v>
      </c>
    </row>
    <row r="94" spans="1:8" ht="15.75" thickBot="1">
      <c r="A94" s="1326"/>
      <c r="B94" s="296" t="s">
        <v>42</v>
      </c>
      <c r="C94" s="290">
        <f>'3A1 EMISIONES T1_3A2 '!H45</f>
        <v>0</v>
      </c>
      <c r="D94" s="290">
        <f>+'FACTORES DE CONVERSIÓN'!B356</f>
        <v>0</v>
      </c>
      <c r="E94" s="290">
        <f>'3A1_3A2_3C6 INFO PROC'!$B$96</f>
        <v>49559797.50249963</v>
      </c>
      <c r="F94" s="290">
        <f>+'FACTORES DE CONVERSIÓN'!C176</f>
        <v>0</v>
      </c>
      <c r="G94" s="548"/>
      <c r="H94" s="290">
        <f t="shared" si="10"/>
        <v>0</v>
      </c>
    </row>
    <row r="95" spans="1:8" ht="15.75" thickBot="1">
      <c r="A95" s="1322"/>
      <c r="B95" s="296" t="s">
        <v>74</v>
      </c>
      <c r="C95" s="290">
        <f>'3A1 EMISIONES T1_3A2 '!H46</f>
        <v>3902384.141789883</v>
      </c>
      <c r="D95" s="290">
        <f>+'FACTORES DE CONVERSIÓN'!B357</f>
        <v>0</v>
      </c>
      <c r="E95" s="290">
        <f>'3A1_3A2_3C6 INFO PROC'!$B$97</f>
        <v>3584640.1025886</v>
      </c>
      <c r="F95" s="290">
        <f>+'FACTORES DE CONVERSIÓN'!C177</f>
        <v>1</v>
      </c>
      <c r="G95" s="548"/>
      <c r="H95" s="290">
        <f t="shared" si="10"/>
        <v>3902384.141789883</v>
      </c>
    </row>
    <row r="96" spans="1:8" ht="15.75" thickBot="1">
      <c r="A96" s="1334" t="s">
        <v>19</v>
      </c>
      <c r="B96" s="1335"/>
      <c r="C96" s="331"/>
      <c r="D96" s="299"/>
      <c r="E96" s="299"/>
      <c r="F96" s="299"/>
      <c r="G96" s="299"/>
      <c r="H96" s="364">
        <f>+SUM(H85:H95)</f>
        <v>3902384.141789883</v>
      </c>
    </row>
    <row r="97" spans="1:8" ht="27.75" thickBot="1" thickTop="1">
      <c r="A97" s="1330" t="s">
        <v>216</v>
      </c>
      <c r="B97" s="296" t="s">
        <v>161</v>
      </c>
      <c r="C97" s="290">
        <f>'3A1 EMISIONES T1_3A2 '!H48</f>
        <v>17136733.461120002</v>
      </c>
      <c r="D97" s="290">
        <f>'FACTORES DE CONVERSIÓN'!C347</f>
        <v>40</v>
      </c>
      <c r="E97" s="290">
        <f>'3A1_3A2_3C6 INFO PROC'!$B$87</f>
        <v>895718</v>
      </c>
      <c r="F97" s="290">
        <f>'3A1 EMISIONES T1_3A2 '!G48</f>
        <v>0.21</v>
      </c>
      <c r="G97" s="548"/>
      <c r="H97" s="290">
        <f>C97*(1-(D97/100))+E97*F97*G97</f>
        <v>10282040.076672</v>
      </c>
    </row>
    <row r="98" spans="1:8" ht="27" thickBot="1">
      <c r="A98" s="1326"/>
      <c r="B98" s="296" t="s">
        <v>162</v>
      </c>
      <c r="C98" s="290">
        <f>'3A1 EMISIONES T1_3A2 '!H49</f>
        <v>16801327.464633234</v>
      </c>
      <c r="D98" s="290">
        <f>'FACTORES DE CONVERSIÓN'!C348</f>
        <v>50</v>
      </c>
      <c r="E98" s="290">
        <f>'3A1_3A2_3C6 INFO PROC'!$B$88</f>
        <v>4639737</v>
      </c>
      <c r="F98" s="290">
        <f>'3A1 EMISIONES T1_3A2 '!G49</f>
        <v>0.09</v>
      </c>
      <c r="G98" s="548"/>
      <c r="H98" s="290">
        <f aca="true" t="shared" si="11" ref="H98:H107">C98*(1-(D98/100))+E98*F98*G98</f>
        <v>8400663.732316617</v>
      </c>
    </row>
    <row r="99" spans="1:8" ht="15.75" thickBot="1">
      <c r="A99" s="1326"/>
      <c r="B99" s="296" t="s">
        <v>46</v>
      </c>
      <c r="C99" s="290">
        <f>'3A1 EMISIONES T1_3A2 '!H50</f>
        <v>0</v>
      </c>
      <c r="D99" s="290">
        <f>'FACTORES DE CONVERSIÓN'!C349</f>
        <v>15</v>
      </c>
      <c r="E99" s="290">
        <f>'3A1_3A2_3C6 INFO PROC'!$B$89</f>
        <v>11450659</v>
      </c>
      <c r="F99" s="290">
        <f>'3A1 EMISIONES T1_3A2 '!G50</f>
        <v>0</v>
      </c>
      <c r="G99" s="548"/>
      <c r="H99" s="290">
        <f t="shared" si="11"/>
        <v>0</v>
      </c>
    </row>
    <row r="100" spans="1:8" ht="15.75" thickBot="1">
      <c r="A100" s="1326"/>
      <c r="B100" s="296" t="s">
        <v>45</v>
      </c>
      <c r="C100" s="290">
        <f>'3A1 EMISIONES T1_3A2 '!H51</f>
        <v>0</v>
      </c>
      <c r="D100" s="290">
        <f>'FACTORES DE CONVERSIÓN'!C350</f>
        <v>15</v>
      </c>
      <c r="E100" s="290">
        <f>'3A1_3A2_3C6 INFO PROC'!$B$90</f>
        <v>1879713</v>
      </c>
      <c r="F100" s="290">
        <f>'3A1 EMISIONES T1_3A2 '!G51</f>
        <v>0</v>
      </c>
      <c r="G100" s="548"/>
      <c r="H100" s="290">
        <f t="shared" si="11"/>
        <v>0</v>
      </c>
    </row>
    <row r="101" spans="1:8" ht="15.75" thickBot="1">
      <c r="A101" s="1326"/>
      <c r="B101" s="296" t="s">
        <v>72</v>
      </c>
      <c r="C101" s="290">
        <f>'3A1 EMISIONES T1_3A2 '!H52</f>
        <v>0</v>
      </c>
      <c r="D101" s="290">
        <f>'FACTORES DE CONVERSIÓN'!C351</f>
        <v>15</v>
      </c>
      <c r="E101" s="290">
        <f>'3A1_3A2_3C6 INFO PROC'!$B$91</f>
        <v>526290.5573110435</v>
      </c>
      <c r="F101" s="290">
        <f>'3A1 EMISIONES T1_3A2 '!G52</f>
        <v>0</v>
      </c>
      <c r="G101" s="548"/>
      <c r="H101" s="290">
        <f t="shared" si="11"/>
        <v>0</v>
      </c>
    </row>
    <row r="102" spans="1:8" ht="15.75" thickBot="1">
      <c r="A102" s="1326"/>
      <c r="B102" s="296" t="s">
        <v>150</v>
      </c>
      <c r="C102" s="290">
        <f>'3A1 EMISIONES T1_3A2 '!H53</f>
        <v>0</v>
      </c>
      <c r="D102" s="290">
        <f>'FACTORES DE CONVERSIÓN'!C352</f>
        <v>15</v>
      </c>
      <c r="E102" s="290">
        <f>'3A1_3A2_3C6 INFO PROC'!$B$92</f>
        <v>590007.7086570447</v>
      </c>
      <c r="F102" s="290">
        <f>'3A1 EMISIONES T1_3A2 '!G53</f>
        <v>0</v>
      </c>
      <c r="G102" s="548"/>
      <c r="H102" s="290">
        <f t="shared" si="11"/>
        <v>0</v>
      </c>
    </row>
    <row r="103" spans="1:8" ht="15.75" thickBot="1">
      <c r="A103" s="1326"/>
      <c r="B103" s="296" t="s">
        <v>47</v>
      </c>
      <c r="C103" s="290">
        <f>'3A1 EMISIONES T1_3A2 '!H54</f>
        <v>5003955.949607999</v>
      </c>
      <c r="D103" s="290">
        <f>'FACTORES DE CONVERSIÓN'!C353</f>
        <v>50</v>
      </c>
      <c r="E103" s="290">
        <f>'3A1_3A2_3C6 INFO PROC'!$B$93</f>
        <v>904700.4246575341</v>
      </c>
      <c r="F103" s="290">
        <f>'3A1 EMISIONES T1_3A2 '!G54</f>
        <v>0.33</v>
      </c>
      <c r="G103" s="548"/>
      <c r="H103" s="290">
        <f t="shared" si="11"/>
        <v>2501977.9748039995</v>
      </c>
    </row>
    <row r="104" spans="1:8" ht="15.75" thickBot="1">
      <c r="A104" s="1326"/>
      <c r="B104" s="296" t="s">
        <v>43</v>
      </c>
      <c r="C104" s="290">
        <f>'3A1 EMISIONES T1_3A2 '!H55</f>
        <v>17946357.26909813</v>
      </c>
      <c r="D104" s="290">
        <f>'FACTORES DE CONVERSIÓN'!C354</f>
        <v>15</v>
      </c>
      <c r="E104" s="290">
        <f>'3A1_3A2_3C6 INFO PROC'!$B$94</f>
        <v>4319229</v>
      </c>
      <c r="F104" s="290">
        <f>'3A1 EMISIONES T1_3A2 '!G55</f>
        <v>0.11</v>
      </c>
      <c r="G104" s="548"/>
      <c r="H104" s="290">
        <f t="shared" si="11"/>
        <v>15254403.678733408</v>
      </c>
    </row>
    <row r="105" spans="1:8" ht="15.75" thickBot="1">
      <c r="A105" s="1326"/>
      <c r="B105" s="296" t="s">
        <v>44</v>
      </c>
      <c r="C105" s="290">
        <f>'3A1 EMISIONES T1_3A2 '!H56</f>
        <v>14444177.693713421</v>
      </c>
      <c r="D105" s="290">
        <f>'FACTORES DE CONVERSIÓN'!C355</f>
        <v>15</v>
      </c>
      <c r="E105" s="290">
        <f>'3A1_3A2_3C6 INFO PROC'!$B$95</f>
        <v>1105017</v>
      </c>
      <c r="F105" s="290">
        <f>'3A1 EMISIONES T1_3A2 '!G56</f>
        <v>0.11</v>
      </c>
      <c r="G105" s="548"/>
      <c r="H105" s="290">
        <f t="shared" si="11"/>
        <v>12277551.039656408</v>
      </c>
    </row>
    <row r="106" spans="1:8" ht="15.75" thickBot="1">
      <c r="A106" s="1326"/>
      <c r="B106" s="296" t="s">
        <v>42</v>
      </c>
      <c r="C106" s="290">
        <f>'3A1 EMISIONES T1_3A2 '!H57</f>
        <v>0</v>
      </c>
      <c r="D106" s="290">
        <f>'FACTORES DE CONVERSIÓN'!C356</f>
        <v>0</v>
      </c>
      <c r="E106" s="290">
        <f>'3A1_3A2_3C6 INFO PROC'!$B$96</f>
        <v>49559797.50249963</v>
      </c>
      <c r="F106" s="290">
        <f>'3A1 EMISIONES T1_3A2 '!G57</f>
        <v>0</v>
      </c>
      <c r="G106" s="548"/>
      <c r="H106" s="290">
        <f t="shared" si="11"/>
        <v>0</v>
      </c>
    </row>
    <row r="107" spans="1:8" ht="15.75" thickBot="1">
      <c r="A107" s="1322"/>
      <c r="B107" s="296" t="s">
        <v>74</v>
      </c>
      <c r="C107" s="290">
        <f>'3A1 EMISIONES T1_3A2 '!H58</f>
        <v>0</v>
      </c>
      <c r="D107" s="290">
        <f>'FACTORES DE CONVERSIÓN'!C357</f>
        <v>15</v>
      </c>
      <c r="E107" s="290">
        <f>'3A1_3A2_3C6 INFO PROC'!$B$97</f>
        <v>3584640.1025886</v>
      </c>
      <c r="F107" s="290">
        <f>'3A1 EMISIONES T1_3A2 '!G58</f>
        <v>0</v>
      </c>
      <c r="G107" s="548"/>
      <c r="H107" s="290">
        <f t="shared" si="11"/>
        <v>0</v>
      </c>
    </row>
    <row r="108" spans="1:8" ht="15.75" thickBot="1">
      <c r="A108" s="1334" t="s">
        <v>19</v>
      </c>
      <c r="B108" s="1335"/>
      <c r="C108" s="331"/>
      <c r="D108" s="299"/>
      <c r="E108" s="299"/>
      <c r="F108" s="299"/>
      <c r="G108" s="299"/>
      <c r="H108" s="364">
        <f>+SUM(H97:H107)</f>
        <v>48716636.50218243</v>
      </c>
    </row>
    <row r="109" spans="1:8" ht="27.75" thickBot="1" thickTop="1">
      <c r="A109" s="1330" t="s">
        <v>187</v>
      </c>
      <c r="B109" s="296" t="s">
        <v>161</v>
      </c>
      <c r="C109" s="290">
        <f>'3A1 EMISIONES T1_3A2 '!H60</f>
        <v>0</v>
      </c>
      <c r="D109" s="290">
        <f>'FACTORES DE CONVERSIÓN'!D347</f>
        <v>0</v>
      </c>
      <c r="E109" s="290">
        <f>'3A1_3A2_3C6 INFO PROC'!$B$87</f>
        <v>895718</v>
      </c>
      <c r="F109" s="290">
        <f>'3A1 EMISIONES T1_3A2 '!G60</f>
        <v>0</v>
      </c>
      <c r="G109" s="548"/>
      <c r="H109" s="290">
        <f>C109*(1-(D109/100))+E109*F109*G109</f>
        <v>0</v>
      </c>
    </row>
    <row r="110" spans="1:8" ht="27" thickBot="1">
      <c r="A110" s="1326"/>
      <c r="B110" s="296" t="s">
        <v>162</v>
      </c>
      <c r="C110" s="290">
        <f>'3A1 EMISIONES T1_3A2 '!H61</f>
        <v>0</v>
      </c>
      <c r="D110" s="290">
        <f>'FACTORES DE CONVERSIÓN'!D348</f>
        <v>0</v>
      </c>
      <c r="E110" s="290">
        <f>'3A1_3A2_3C6 INFO PROC'!$B$88</f>
        <v>4639737</v>
      </c>
      <c r="F110" s="290">
        <f>'3A1 EMISIONES T1_3A2 '!G61</f>
        <v>0</v>
      </c>
      <c r="G110" s="548"/>
      <c r="H110" s="290">
        <f aca="true" t="shared" si="12" ref="H110:H119">C110*(1-(D110/100))+E110*F110*G110</f>
        <v>0</v>
      </c>
    </row>
    <row r="111" spans="1:8" ht="15.75" thickBot="1">
      <c r="A111" s="1326"/>
      <c r="B111" s="296" t="s">
        <v>46</v>
      </c>
      <c r="C111" s="290">
        <f>'3A1 EMISIONES T1_3A2 '!H62</f>
        <v>0</v>
      </c>
      <c r="D111" s="290">
        <f>'FACTORES DE CONVERSIÓN'!D349</f>
        <v>0</v>
      </c>
      <c r="E111" s="290">
        <f>'3A1_3A2_3C6 INFO PROC'!$B$89</f>
        <v>11450659</v>
      </c>
      <c r="F111" s="290">
        <f>'3A1 EMISIONES T1_3A2 '!G62</f>
        <v>0</v>
      </c>
      <c r="G111" s="548"/>
      <c r="H111" s="290">
        <f t="shared" si="12"/>
        <v>0</v>
      </c>
    </row>
    <row r="112" spans="1:8" ht="15.75" thickBot="1">
      <c r="A112" s="1326"/>
      <c r="B112" s="296" t="s">
        <v>45</v>
      </c>
      <c r="C112" s="290">
        <f>'3A1 EMISIONES T1_3A2 '!H63</f>
        <v>0</v>
      </c>
      <c r="D112" s="290">
        <f>'FACTORES DE CONVERSIÓN'!D350</f>
        <v>0</v>
      </c>
      <c r="E112" s="290">
        <f>'3A1_3A2_3C6 INFO PROC'!$B$90</f>
        <v>1879713</v>
      </c>
      <c r="F112" s="290">
        <f>'3A1 EMISIONES T1_3A2 '!G63</f>
        <v>0</v>
      </c>
      <c r="G112" s="548"/>
      <c r="H112" s="290">
        <f t="shared" si="12"/>
        <v>0</v>
      </c>
    </row>
    <row r="113" spans="1:8" ht="15.75" thickBot="1">
      <c r="A113" s="1326"/>
      <c r="B113" s="296" t="s">
        <v>72</v>
      </c>
      <c r="C113" s="290">
        <f>'3A1 EMISIONES T1_3A2 '!H64</f>
        <v>0</v>
      </c>
      <c r="D113" s="290">
        <f>'FACTORES DE CONVERSIÓN'!D351</f>
        <v>0</v>
      </c>
      <c r="E113" s="290">
        <f>'3A1_3A2_3C6 INFO PROC'!$B$91</f>
        <v>526290.5573110435</v>
      </c>
      <c r="F113" s="290">
        <f>'3A1 EMISIONES T1_3A2 '!G64</f>
        <v>0</v>
      </c>
      <c r="G113" s="548"/>
      <c r="H113" s="290">
        <f t="shared" si="12"/>
        <v>0</v>
      </c>
    </row>
    <row r="114" spans="1:8" ht="15.75" thickBot="1">
      <c r="A114" s="1326"/>
      <c r="B114" s="296" t="s">
        <v>150</v>
      </c>
      <c r="C114" s="290">
        <f>'3A1 EMISIONES T1_3A2 '!H65</f>
        <v>0</v>
      </c>
      <c r="D114" s="290">
        <f>'FACTORES DE CONVERSIÓN'!D352</f>
        <v>0</v>
      </c>
      <c r="E114" s="290">
        <f>'3A1_3A2_3C6 INFO PROC'!$B$92</f>
        <v>590007.7086570447</v>
      </c>
      <c r="F114" s="290">
        <f>'3A1 EMISIONES T1_3A2 '!G65</f>
        <v>0</v>
      </c>
      <c r="G114" s="548"/>
      <c r="H114" s="290">
        <f t="shared" si="12"/>
        <v>0</v>
      </c>
    </row>
    <row r="115" spans="1:8" ht="15.75" thickBot="1">
      <c r="A115" s="1326"/>
      <c r="B115" s="296" t="s">
        <v>47</v>
      </c>
      <c r="C115" s="290">
        <f>'3A1 EMISIONES T1_3A2 '!H66</f>
        <v>0</v>
      </c>
      <c r="D115" s="290">
        <f>'FACTORES DE CONVERSIÓN'!D353</f>
        <v>0</v>
      </c>
      <c r="E115" s="290">
        <f>'3A1_3A2_3C6 INFO PROC'!$B$93</f>
        <v>904700.4246575341</v>
      </c>
      <c r="F115" s="290">
        <f>'3A1 EMISIONES T1_3A2 '!G66</f>
        <v>0</v>
      </c>
      <c r="G115" s="548"/>
      <c r="H115" s="290">
        <f t="shared" si="12"/>
        <v>0</v>
      </c>
    </row>
    <row r="116" spans="1:8" ht="15.75" thickBot="1">
      <c r="A116" s="1326"/>
      <c r="B116" s="296" t="s">
        <v>43</v>
      </c>
      <c r="C116" s="290">
        <f>'3A1 EMISIONES T1_3A2 '!H67</f>
        <v>0</v>
      </c>
      <c r="D116" s="290">
        <f>'FACTORES DE CONVERSIÓN'!D354</f>
        <v>0</v>
      </c>
      <c r="E116" s="290">
        <f>'3A1_3A2_3C6 INFO PROC'!$B$94</f>
        <v>4319229</v>
      </c>
      <c r="F116" s="290">
        <f>'3A1 EMISIONES T1_3A2 '!G67</f>
        <v>0</v>
      </c>
      <c r="G116" s="548"/>
      <c r="H116" s="290">
        <f t="shared" si="12"/>
        <v>0</v>
      </c>
    </row>
    <row r="117" spans="1:8" ht="15.75" thickBot="1">
      <c r="A117" s="1326"/>
      <c r="B117" s="296" t="s">
        <v>44</v>
      </c>
      <c r="C117" s="290">
        <f>'3A1 EMISIONES T1_3A2 '!H68</f>
        <v>0</v>
      </c>
      <c r="D117" s="290">
        <f>'FACTORES DE CONVERSIÓN'!D355</f>
        <v>0</v>
      </c>
      <c r="E117" s="290">
        <f>'3A1_3A2_3C6 INFO PROC'!$B$95</f>
        <v>1105017</v>
      </c>
      <c r="F117" s="290">
        <f>'3A1 EMISIONES T1_3A2 '!G68</f>
        <v>0</v>
      </c>
      <c r="G117" s="548"/>
      <c r="H117" s="290">
        <f t="shared" si="12"/>
        <v>0</v>
      </c>
    </row>
    <row r="118" spans="1:8" ht="15.75" thickBot="1">
      <c r="A118" s="1326"/>
      <c r="B118" s="296" t="s">
        <v>42</v>
      </c>
      <c r="C118" s="290">
        <f>'3A1 EMISIONES T1_3A2 '!H69</f>
        <v>0</v>
      </c>
      <c r="D118" s="290">
        <f>'FACTORES DE CONVERSIÓN'!D356</f>
        <v>0</v>
      </c>
      <c r="E118" s="290">
        <f>'3A1_3A2_3C6 INFO PROC'!$B$96</f>
        <v>49559797.50249963</v>
      </c>
      <c r="F118" s="290">
        <f>'3A1 EMISIONES T1_3A2 '!G69</f>
        <v>0</v>
      </c>
      <c r="G118" s="548"/>
      <c r="H118" s="290">
        <f t="shared" si="12"/>
        <v>0</v>
      </c>
    </row>
    <row r="119" spans="1:8" ht="15.75" thickBot="1">
      <c r="A119" s="1322"/>
      <c r="B119" s="296" t="s">
        <v>74</v>
      </c>
      <c r="C119" s="290">
        <f>'3A1 EMISIONES T1_3A2 '!H70</f>
        <v>0</v>
      </c>
      <c r="D119" s="290">
        <f>'FACTORES DE CONVERSIÓN'!D357</f>
        <v>0</v>
      </c>
      <c r="E119" s="290">
        <f>'3A1_3A2_3C6 INFO PROC'!$B$97</f>
        <v>3584640.1025886</v>
      </c>
      <c r="F119" s="290">
        <f>'3A1 EMISIONES T1_3A2 '!G70</f>
        <v>0</v>
      </c>
      <c r="G119" s="548"/>
      <c r="H119" s="290">
        <f t="shared" si="12"/>
        <v>0</v>
      </c>
    </row>
    <row r="120" spans="1:8" ht="15.75" thickBot="1">
      <c r="A120" s="1334" t="s">
        <v>19</v>
      </c>
      <c r="B120" s="1335"/>
      <c r="C120" s="331"/>
      <c r="D120" s="299"/>
      <c r="E120" s="299"/>
      <c r="F120" s="299"/>
      <c r="G120" s="299"/>
      <c r="H120" s="364">
        <f>+SUM(H109:H119)</f>
        <v>0</v>
      </c>
    </row>
    <row r="121" spans="1:8" ht="27.75" thickBot="1" thickTop="1">
      <c r="A121" s="1330" t="s">
        <v>188</v>
      </c>
      <c r="B121" s="296" t="s">
        <v>161</v>
      </c>
      <c r="C121" s="290">
        <f>'3A1 EMISIONES T1_3A2 '!H72</f>
        <v>0</v>
      </c>
      <c r="D121" s="290">
        <f>'FACTORES DE CONVERSIÓN'!E347</f>
        <v>0</v>
      </c>
      <c r="E121" s="290">
        <f>'3A1_3A2_3C6 INFO PROC'!$B$87</f>
        <v>895718</v>
      </c>
      <c r="F121" s="290">
        <f>'3A1 EMISIONES T1_3A2 '!G72</f>
        <v>0</v>
      </c>
      <c r="G121" s="548"/>
      <c r="H121" s="290">
        <f>C121*(1-(D121/100))+E121*F121*G121</f>
        <v>0</v>
      </c>
    </row>
    <row r="122" spans="1:8" ht="27" thickBot="1">
      <c r="A122" s="1326"/>
      <c r="B122" s="296" t="s">
        <v>162</v>
      </c>
      <c r="C122" s="290">
        <f>'3A1 EMISIONES T1_3A2 '!H73</f>
        <v>0</v>
      </c>
      <c r="D122" s="290">
        <f>'FACTORES DE CONVERSIÓN'!E348</f>
        <v>0</v>
      </c>
      <c r="E122" s="290">
        <f>'3A1_3A2_3C6 INFO PROC'!$B$88</f>
        <v>4639737</v>
      </c>
      <c r="F122" s="290">
        <f>'3A1 EMISIONES T1_3A2 '!G73</f>
        <v>0</v>
      </c>
      <c r="G122" s="548"/>
      <c r="H122" s="290">
        <f aca="true" t="shared" si="13" ref="H122:H131">C122*(1-(D122/100))+E122*F122*G122</f>
        <v>0</v>
      </c>
    </row>
    <row r="123" spans="1:8" ht="15.75" thickBot="1">
      <c r="A123" s="1326"/>
      <c r="B123" s="296" t="s">
        <v>46</v>
      </c>
      <c r="C123" s="290">
        <f>'3A1 EMISIONES T1_3A2 '!H74</f>
        <v>0</v>
      </c>
      <c r="D123" s="290">
        <f>'FACTORES DE CONVERSIÓN'!E349</f>
        <v>0</v>
      </c>
      <c r="E123" s="290">
        <f>'3A1_3A2_3C6 INFO PROC'!$B$89</f>
        <v>11450659</v>
      </c>
      <c r="F123" s="290">
        <f>'3A1 EMISIONES T1_3A2 '!G74</f>
        <v>0</v>
      </c>
      <c r="G123" s="548"/>
      <c r="H123" s="290">
        <f t="shared" si="13"/>
        <v>0</v>
      </c>
    </row>
    <row r="124" spans="1:8" ht="15.75" thickBot="1">
      <c r="A124" s="1326"/>
      <c r="B124" s="296" t="s">
        <v>45</v>
      </c>
      <c r="C124" s="290">
        <f>'3A1 EMISIONES T1_3A2 '!H75</f>
        <v>0</v>
      </c>
      <c r="D124" s="290">
        <f>'FACTORES DE CONVERSIÓN'!E350</f>
        <v>0</v>
      </c>
      <c r="E124" s="290">
        <f>'3A1_3A2_3C6 INFO PROC'!$B$90</f>
        <v>1879713</v>
      </c>
      <c r="F124" s="290">
        <f>'3A1 EMISIONES T1_3A2 '!G75</f>
        <v>0</v>
      </c>
      <c r="G124" s="548"/>
      <c r="H124" s="290">
        <f t="shared" si="13"/>
        <v>0</v>
      </c>
    </row>
    <row r="125" spans="1:8" ht="15.75" thickBot="1">
      <c r="A125" s="1326"/>
      <c r="B125" s="296" t="s">
        <v>72</v>
      </c>
      <c r="C125" s="290">
        <f>'3A1 EMISIONES T1_3A2 '!H76</f>
        <v>0</v>
      </c>
      <c r="D125" s="290">
        <f>'FACTORES DE CONVERSIÓN'!E351</f>
        <v>0</v>
      </c>
      <c r="E125" s="290">
        <f>'3A1_3A2_3C6 INFO PROC'!$B$91</f>
        <v>526290.5573110435</v>
      </c>
      <c r="F125" s="290">
        <f>'3A1 EMISIONES T1_3A2 '!G76</f>
        <v>0</v>
      </c>
      <c r="G125" s="548"/>
      <c r="H125" s="290">
        <f t="shared" si="13"/>
        <v>0</v>
      </c>
    </row>
    <row r="126" spans="1:8" ht="15.75" thickBot="1">
      <c r="A126" s="1326"/>
      <c r="B126" s="296" t="s">
        <v>150</v>
      </c>
      <c r="C126" s="290">
        <f>'3A1 EMISIONES T1_3A2 '!H77</f>
        <v>0</v>
      </c>
      <c r="D126" s="290">
        <f>'FACTORES DE CONVERSIÓN'!E352</f>
        <v>0</v>
      </c>
      <c r="E126" s="290">
        <f>'3A1_3A2_3C6 INFO PROC'!$B$92</f>
        <v>590007.7086570447</v>
      </c>
      <c r="F126" s="290">
        <f>'3A1 EMISIONES T1_3A2 '!G77</f>
        <v>0</v>
      </c>
      <c r="G126" s="548"/>
      <c r="H126" s="290">
        <f t="shared" si="13"/>
        <v>0</v>
      </c>
    </row>
    <row r="127" spans="1:8" ht="15.75" thickBot="1">
      <c r="A127" s="1326"/>
      <c r="B127" s="296" t="s">
        <v>47</v>
      </c>
      <c r="C127" s="290">
        <f>'3A1 EMISIONES T1_3A2 '!H78</f>
        <v>0</v>
      </c>
      <c r="D127" s="290">
        <f>'FACTORES DE CONVERSIÓN'!E353</f>
        <v>0</v>
      </c>
      <c r="E127" s="290">
        <f>'3A1_3A2_3C6 INFO PROC'!$B$93</f>
        <v>904700.4246575341</v>
      </c>
      <c r="F127" s="290">
        <f>'3A1 EMISIONES T1_3A2 '!G78</f>
        <v>0</v>
      </c>
      <c r="G127" s="548"/>
      <c r="H127" s="290">
        <f t="shared" si="13"/>
        <v>0</v>
      </c>
    </row>
    <row r="128" spans="1:8" ht="15.75" thickBot="1">
      <c r="A128" s="1326"/>
      <c r="B128" s="296" t="s">
        <v>43</v>
      </c>
      <c r="C128" s="290">
        <f>'3A1 EMISIONES T1_3A2 '!H79</f>
        <v>0</v>
      </c>
      <c r="D128" s="290">
        <f>'FACTORES DE CONVERSIÓN'!E354</f>
        <v>0</v>
      </c>
      <c r="E128" s="290">
        <f>'3A1_3A2_3C6 INFO PROC'!$B$94</f>
        <v>4319229</v>
      </c>
      <c r="F128" s="290">
        <f>'3A1 EMISIONES T1_3A2 '!G79</f>
        <v>0</v>
      </c>
      <c r="G128" s="548"/>
      <c r="H128" s="290">
        <f t="shared" si="13"/>
        <v>0</v>
      </c>
    </row>
    <row r="129" spans="1:8" ht="15.75" thickBot="1">
      <c r="A129" s="1326"/>
      <c r="B129" s="296" t="s">
        <v>44</v>
      </c>
      <c r="C129" s="290">
        <f>'3A1 EMISIONES T1_3A2 '!H80</f>
        <v>0</v>
      </c>
      <c r="D129" s="290">
        <f>'FACTORES DE CONVERSIÓN'!E355</f>
        <v>0</v>
      </c>
      <c r="E129" s="290">
        <f>'3A1_3A2_3C6 INFO PROC'!$B$95</f>
        <v>1105017</v>
      </c>
      <c r="F129" s="290">
        <f>'3A1 EMISIONES T1_3A2 '!G80</f>
        <v>0</v>
      </c>
      <c r="G129" s="548"/>
      <c r="H129" s="290">
        <f t="shared" si="13"/>
        <v>0</v>
      </c>
    </row>
    <row r="130" spans="1:8" ht="15.75" thickBot="1">
      <c r="A130" s="1326"/>
      <c r="B130" s="296" t="s">
        <v>42</v>
      </c>
      <c r="C130" s="290">
        <f>'3A1 EMISIONES T1_3A2 '!H81</f>
        <v>52319310.274560325</v>
      </c>
      <c r="D130" s="290">
        <f>'FACTORES DE CONVERSIÓN'!E356</f>
        <v>50</v>
      </c>
      <c r="E130" s="290">
        <f>'3A1_3A2_3C6 INFO PROC'!$B$96/3</f>
        <v>16519932.500833211</v>
      </c>
      <c r="F130" s="290">
        <f>'3A1 EMISIONES T1_3A2 '!G81</f>
        <v>0.9</v>
      </c>
      <c r="G130" s="548"/>
      <c r="H130" s="290">
        <f t="shared" si="13"/>
        <v>26159655.137280162</v>
      </c>
    </row>
    <row r="131" spans="1:8" ht="15.75" thickBot="1">
      <c r="A131" s="1322"/>
      <c r="B131" s="296" t="s">
        <v>74</v>
      </c>
      <c r="C131" s="290">
        <f>'3A1 EMISIONES T1_3A2 '!H82</f>
        <v>0</v>
      </c>
      <c r="D131" s="290">
        <f>'FACTORES DE CONVERSIÓN'!E357</f>
        <v>0</v>
      </c>
      <c r="E131" s="290">
        <f>'3A1_3A2_3C6 INFO PROC'!$B$97</f>
        <v>3584640.1025886</v>
      </c>
      <c r="F131" s="290">
        <f>'3A1 EMISIONES T1_3A2 '!G82</f>
        <v>0</v>
      </c>
      <c r="G131" s="548"/>
      <c r="H131" s="290">
        <f t="shared" si="13"/>
        <v>0</v>
      </c>
    </row>
    <row r="132" spans="1:8" ht="15.75" thickBot="1">
      <c r="A132" s="1334" t="s">
        <v>19</v>
      </c>
      <c r="B132" s="1335"/>
      <c r="C132" s="331"/>
      <c r="D132" s="299"/>
      <c r="E132" s="299"/>
      <c r="F132" s="299"/>
      <c r="G132" s="299"/>
      <c r="H132" s="364">
        <f>+SUM(H121:H131)</f>
        <v>26159655.137280162</v>
      </c>
    </row>
    <row r="133" spans="1:8" ht="27.75" thickBot="1" thickTop="1">
      <c r="A133" s="1330" t="s">
        <v>189</v>
      </c>
      <c r="B133" s="296" t="s">
        <v>161</v>
      </c>
      <c r="C133" s="290">
        <f>'3A1 EMISIONES T1_3A2 '!H84</f>
        <v>0</v>
      </c>
      <c r="D133" s="290">
        <f>'FACTORES DE CONVERSIÓN'!F347</f>
        <v>0</v>
      </c>
      <c r="E133" s="290">
        <f>'3A1_3A2_3C6 INFO PROC'!$B$87</f>
        <v>895718</v>
      </c>
      <c r="F133" s="290">
        <f>'3A1 EMISIONES T1_3A2 '!G84</f>
        <v>0</v>
      </c>
      <c r="G133" s="548"/>
      <c r="H133" s="290">
        <f>C133*(1-(D133/100))+E133*F133*G133</f>
        <v>0</v>
      </c>
    </row>
    <row r="134" spans="1:8" ht="27" thickBot="1">
      <c r="A134" s="1326"/>
      <c r="B134" s="296" t="s">
        <v>162</v>
      </c>
      <c r="C134" s="290">
        <f>'3A1 EMISIONES T1_3A2 '!H85</f>
        <v>0</v>
      </c>
      <c r="D134" s="290">
        <f>'FACTORES DE CONVERSIÓN'!F348</f>
        <v>0</v>
      </c>
      <c r="E134" s="290">
        <f>'3A1_3A2_3C6 INFO PROC'!$B$88</f>
        <v>4639737</v>
      </c>
      <c r="F134" s="290">
        <f>'3A1 EMISIONES T1_3A2 '!G85</f>
        <v>0</v>
      </c>
      <c r="G134" s="548"/>
      <c r="H134" s="290">
        <f aca="true" t="shared" si="14" ref="H134:H143">C134*(1-(D134/100))+E134*F134*G134</f>
        <v>0</v>
      </c>
    </row>
    <row r="135" spans="1:8" ht="15.75" thickBot="1">
      <c r="A135" s="1326"/>
      <c r="B135" s="296" t="s">
        <v>46</v>
      </c>
      <c r="C135" s="290">
        <f>'3A1 EMISIONES T1_3A2 '!H86</f>
        <v>0</v>
      </c>
      <c r="D135" s="290">
        <f>'FACTORES DE CONVERSIÓN'!F349</f>
        <v>0</v>
      </c>
      <c r="E135" s="290">
        <f>'3A1_3A2_3C6 INFO PROC'!$B$89</f>
        <v>11450659</v>
      </c>
      <c r="F135" s="290">
        <f>'3A1 EMISIONES T1_3A2 '!G86</f>
        <v>0</v>
      </c>
      <c r="G135" s="548"/>
      <c r="H135" s="290">
        <f t="shared" si="14"/>
        <v>0</v>
      </c>
    </row>
    <row r="136" spans="1:8" ht="15.75" thickBot="1">
      <c r="A136" s="1326"/>
      <c r="B136" s="296" t="s">
        <v>45</v>
      </c>
      <c r="C136" s="290">
        <f>'3A1 EMISIONES T1_3A2 '!H87</f>
        <v>0</v>
      </c>
      <c r="D136" s="290">
        <f>'FACTORES DE CONVERSIÓN'!F350</f>
        <v>0</v>
      </c>
      <c r="E136" s="290">
        <f>'3A1_3A2_3C6 INFO PROC'!$B$90</f>
        <v>1879713</v>
      </c>
      <c r="F136" s="290">
        <f>'3A1 EMISIONES T1_3A2 '!G87</f>
        <v>0</v>
      </c>
      <c r="G136" s="548"/>
      <c r="H136" s="290">
        <f t="shared" si="14"/>
        <v>0</v>
      </c>
    </row>
    <row r="137" spans="1:8" ht="15.75" thickBot="1">
      <c r="A137" s="1326"/>
      <c r="B137" s="296" t="s">
        <v>72</v>
      </c>
      <c r="C137" s="290">
        <f>'3A1 EMISIONES T1_3A2 '!H88</f>
        <v>0</v>
      </c>
      <c r="D137" s="290">
        <f>'FACTORES DE CONVERSIÓN'!F351</f>
        <v>0</v>
      </c>
      <c r="E137" s="290">
        <f>'3A1_3A2_3C6 INFO PROC'!$B$91</f>
        <v>526290.5573110435</v>
      </c>
      <c r="F137" s="290">
        <f>'3A1 EMISIONES T1_3A2 '!G88</f>
        <v>0</v>
      </c>
      <c r="G137" s="548"/>
      <c r="H137" s="290">
        <f t="shared" si="14"/>
        <v>0</v>
      </c>
    </row>
    <row r="138" spans="1:8" ht="15.75" thickBot="1">
      <c r="A138" s="1326"/>
      <c r="B138" s="296" t="s">
        <v>150</v>
      </c>
      <c r="C138" s="290">
        <f>'3A1 EMISIONES T1_3A2 '!H89</f>
        <v>0</v>
      </c>
      <c r="D138" s="290">
        <f>'FACTORES DE CONVERSIÓN'!F352</f>
        <v>0</v>
      </c>
      <c r="E138" s="290">
        <f>'3A1_3A2_3C6 INFO PROC'!$B$92</f>
        <v>590007.7086570447</v>
      </c>
      <c r="F138" s="290">
        <f>'3A1 EMISIONES T1_3A2 '!G89</f>
        <v>0</v>
      </c>
      <c r="G138" s="548"/>
      <c r="H138" s="290">
        <f t="shared" si="14"/>
        <v>0</v>
      </c>
    </row>
    <row r="139" spans="1:8" ht="15.75" thickBot="1">
      <c r="A139" s="1326"/>
      <c r="B139" s="296" t="s">
        <v>47</v>
      </c>
      <c r="C139" s="290">
        <f>'3A1 EMISIONES T1_3A2 '!H90</f>
        <v>0</v>
      </c>
      <c r="D139" s="290">
        <f>'FACTORES DE CONVERSIÓN'!F353</f>
        <v>0</v>
      </c>
      <c r="E139" s="290">
        <f>'3A1_3A2_3C6 INFO PROC'!$B$93</f>
        <v>904700.4246575341</v>
      </c>
      <c r="F139" s="290">
        <f>'3A1 EMISIONES T1_3A2 '!G90</f>
        <v>0</v>
      </c>
      <c r="G139" s="548"/>
      <c r="H139" s="290">
        <f t="shared" si="14"/>
        <v>0</v>
      </c>
    </row>
    <row r="140" spans="1:8" ht="15.75" thickBot="1">
      <c r="A140" s="1326"/>
      <c r="B140" s="296" t="s">
        <v>43</v>
      </c>
      <c r="C140" s="290">
        <f>'3A1 EMISIONES T1_3A2 '!H91</f>
        <v>0</v>
      </c>
      <c r="D140" s="290">
        <f>'FACTORES DE CONVERSIÓN'!F354</f>
        <v>0</v>
      </c>
      <c r="E140" s="290">
        <f>'3A1_3A2_3C6 INFO PROC'!$B$94</f>
        <v>4319229</v>
      </c>
      <c r="F140" s="290">
        <f>'3A1 EMISIONES T1_3A2 '!G91</f>
        <v>0</v>
      </c>
      <c r="G140" s="548"/>
      <c r="H140" s="290">
        <f t="shared" si="14"/>
        <v>0</v>
      </c>
    </row>
    <row r="141" spans="1:8" ht="15.75" thickBot="1">
      <c r="A141" s="1326"/>
      <c r="B141" s="296" t="s">
        <v>44</v>
      </c>
      <c r="C141" s="290">
        <f>'3A1 EMISIONES T1_3A2 '!H92</f>
        <v>0</v>
      </c>
      <c r="D141" s="290">
        <f>'FACTORES DE CONVERSIÓN'!F355</f>
        <v>0</v>
      </c>
      <c r="E141" s="290">
        <f>'3A1_3A2_3C6 INFO PROC'!$B$95</f>
        <v>1105017</v>
      </c>
      <c r="F141" s="290">
        <f>'3A1 EMISIONES T1_3A2 '!G92</f>
        <v>0</v>
      </c>
      <c r="G141" s="548"/>
      <c r="H141" s="290">
        <f t="shared" si="14"/>
        <v>0</v>
      </c>
    </row>
    <row r="142" spans="1:8" ht="15.75" thickBot="1">
      <c r="A142" s="1326"/>
      <c r="B142" s="296" t="s">
        <v>42</v>
      </c>
      <c r="C142" s="290">
        <f>'3A1 EMISIONES T1_3A2 '!H93</f>
        <v>5813256.69717337</v>
      </c>
      <c r="D142" s="290">
        <f>'FACTORES DE CONVERSIÓN'!F356</f>
        <v>55.00000000000001</v>
      </c>
      <c r="E142" s="290">
        <f>'3A1_3A2_3C6 INFO PROC'!$B$96</f>
        <v>49559797.50249963</v>
      </c>
      <c r="F142" s="290">
        <f>'3A1 EMISIONES T1_3A2 '!G93</f>
        <v>0.1</v>
      </c>
      <c r="G142" s="548"/>
      <c r="H142" s="290">
        <f t="shared" si="14"/>
        <v>2615965.513728016</v>
      </c>
    </row>
    <row r="143" spans="1:8" ht="15.75" thickBot="1">
      <c r="A143" s="1322"/>
      <c r="B143" s="296" t="s">
        <v>74</v>
      </c>
      <c r="C143" s="290">
        <f>'3A1 EMISIONES T1_3A2 '!H94</f>
        <v>0</v>
      </c>
      <c r="D143" s="290">
        <f>'FACTORES DE CONVERSIÓN'!F357</f>
        <v>0</v>
      </c>
      <c r="E143" s="290">
        <f>'3A1_3A2_3C6 INFO PROC'!$B$97</f>
        <v>3584640.1025886</v>
      </c>
      <c r="F143" s="290">
        <f>'3A1 EMISIONES T1_3A2 '!G94</f>
        <v>0</v>
      </c>
      <c r="G143" s="548"/>
      <c r="H143" s="290">
        <f t="shared" si="14"/>
        <v>0</v>
      </c>
    </row>
    <row r="144" spans="1:8" ht="15.75" thickBot="1">
      <c r="A144" s="1334" t="s">
        <v>19</v>
      </c>
      <c r="B144" s="1335"/>
      <c r="C144" s="331"/>
      <c r="D144" s="299"/>
      <c r="E144" s="299"/>
      <c r="F144" s="299"/>
      <c r="G144" s="299"/>
      <c r="H144" s="364">
        <f>+SUM(H133:H143)</f>
        <v>2615965.513728016</v>
      </c>
    </row>
    <row r="145" spans="1:8" ht="15.75" thickBot="1">
      <c r="A145" s="1334" t="s">
        <v>4</v>
      </c>
      <c r="B145" s="1335"/>
      <c r="C145" s="331"/>
      <c r="D145" s="299"/>
      <c r="E145" s="299"/>
      <c r="F145" s="299"/>
      <c r="G145" s="299"/>
      <c r="H145" s="364">
        <f>+H96+H108+H120+H132+H144</f>
        <v>81394641.2949805</v>
      </c>
    </row>
    <row r="146" spans="1:8" ht="25.5" customHeight="1">
      <c r="A146" s="1331" t="s">
        <v>1590</v>
      </c>
      <c r="B146" s="1332"/>
      <c r="C146" s="1332"/>
      <c r="D146" s="1332"/>
      <c r="E146" s="1332"/>
      <c r="F146" s="1332"/>
      <c r="G146" s="1332"/>
      <c r="H146" s="1333"/>
    </row>
    <row r="147" spans="1:8" ht="27.75" customHeight="1">
      <c r="A147" s="1315" t="s">
        <v>1591</v>
      </c>
      <c r="B147" s="1316"/>
      <c r="C147" s="1316"/>
      <c r="D147" s="1316"/>
      <c r="E147" s="1316"/>
      <c r="F147" s="1316"/>
      <c r="G147" s="1316"/>
      <c r="H147" s="1317"/>
    </row>
    <row r="148" spans="1:8" ht="26.25" customHeight="1" thickBot="1">
      <c r="A148" s="1318" t="s">
        <v>1592</v>
      </c>
      <c r="B148" s="1319"/>
      <c r="C148" s="1319"/>
      <c r="D148" s="1319"/>
      <c r="E148" s="1319"/>
      <c r="F148" s="1319"/>
      <c r="G148" s="1319"/>
      <c r="H148" s="1320"/>
    </row>
  </sheetData>
  <mergeCells count="58">
    <mergeCell ref="A76:B76"/>
    <mergeCell ref="C76:H76"/>
    <mergeCell ref="A81:A83"/>
    <mergeCell ref="B81:B83"/>
    <mergeCell ref="A148:H148"/>
    <mergeCell ref="A133:A143"/>
    <mergeCell ref="A144:B144"/>
    <mergeCell ref="A145:B145"/>
    <mergeCell ref="A78:B78"/>
    <mergeCell ref="C78:H78"/>
    <mergeCell ref="A79:B79"/>
    <mergeCell ref="C79:H79"/>
    <mergeCell ref="A85:A95"/>
    <mergeCell ref="A96:B96"/>
    <mergeCell ref="A109:A119"/>
    <mergeCell ref="A120:B120"/>
    <mergeCell ref="A121:A131"/>
    <mergeCell ref="A132:B132"/>
    <mergeCell ref="A97:A107"/>
    <mergeCell ref="A108:B108"/>
    <mergeCell ref="C77:H77"/>
    <mergeCell ref="A146:H146"/>
    <mergeCell ref="A147:H147"/>
    <mergeCell ref="H7:H10"/>
    <mergeCell ref="A71:B71"/>
    <mergeCell ref="A80:B80"/>
    <mergeCell ref="A77:B77"/>
    <mergeCell ref="A74:G74"/>
    <mergeCell ref="C80:H80"/>
    <mergeCell ref="A23:A33"/>
    <mergeCell ref="A34:B34"/>
    <mergeCell ref="A72:G72"/>
    <mergeCell ref="A73:G73"/>
    <mergeCell ref="A6:A9"/>
    <mergeCell ref="B6:B9"/>
    <mergeCell ref="C8:C9"/>
    <mergeCell ref="D8:D9"/>
    <mergeCell ref="A4:B4"/>
    <mergeCell ref="C4:G4"/>
    <mergeCell ref="A5:B5"/>
    <mergeCell ref="D5:E5"/>
    <mergeCell ref="F5:G5"/>
    <mergeCell ref="A1:B1"/>
    <mergeCell ref="A2:B2"/>
    <mergeCell ref="A3:B3"/>
    <mergeCell ref="C1:H1"/>
    <mergeCell ref="C2:H2"/>
    <mergeCell ref="C3:H3"/>
    <mergeCell ref="G8:G9"/>
    <mergeCell ref="A59:A69"/>
    <mergeCell ref="A70:B70"/>
    <mergeCell ref="F8:F9"/>
    <mergeCell ref="A35:A45"/>
    <mergeCell ref="A46:B46"/>
    <mergeCell ref="A47:A57"/>
    <mergeCell ref="A58:B58"/>
    <mergeCell ref="A11:A21"/>
    <mergeCell ref="A22:B22"/>
  </mergeCell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D9D9D9"/>
  </sheetPr>
  <dimension ref="A1:L44"/>
  <sheetViews>
    <sheetView zoomScale="95" zoomScaleNormal="95" workbookViewId="0" topLeftCell="A29">
      <selection activeCell="A44" sqref="A44:XFD44"/>
    </sheetView>
  </sheetViews>
  <sheetFormatPr defaultColWidth="10.8515625" defaultRowHeight="15"/>
  <cols>
    <col min="1" max="1" width="18.8515625" style="103" customWidth="1"/>
    <col min="2" max="2" width="26.7109375" style="103" customWidth="1"/>
    <col min="3" max="10" width="16.7109375" style="103" customWidth="1"/>
    <col min="11" max="27" width="10.8515625" style="103" customWidth="1"/>
  </cols>
  <sheetData>
    <row r="1" spans="1:10" ht="13.5" thickBot="1">
      <c r="A1" s="325" t="s">
        <v>0</v>
      </c>
      <c r="B1" s="1340" t="s">
        <v>574</v>
      </c>
      <c r="C1" s="1341"/>
      <c r="D1" s="1341"/>
      <c r="E1" s="1341"/>
      <c r="F1" s="1341"/>
      <c r="G1" s="1341"/>
      <c r="H1" s="1341"/>
      <c r="I1" s="1341"/>
      <c r="J1" s="1342"/>
    </row>
    <row r="2" spans="1:10" ht="15" thickBot="1">
      <c r="A2" s="326" t="s">
        <v>521</v>
      </c>
      <c r="B2" s="1340" t="s">
        <v>1593</v>
      </c>
      <c r="C2" s="1341"/>
      <c r="D2" s="1341"/>
      <c r="E2" s="1341"/>
      <c r="F2" s="1341"/>
      <c r="G2" s="1341"/>
      <c r="H2" s="1341"/>
      <c r="I2" s="1341"/>
      <c r="J2" s="1342"/>
    </row>
    <row r="3" spans="1:10" ht="26.25" thickBot="1">
      <c r="A3" s="326" t="s">
        <v>1452</v>
      </c>
      <c r="B3" s="1374" t="s">
        <v>36</v>
      </c>
      <c r="C3" s="1375"/>
      <c r="D3" s="1375"/>
      <c r="E3" s="1375"/>
      <c r="F3" s="1375"/>
      <c r="G3" s="1375"/>
      <c r="H3" s="1375"/>
      <c r="I3" s="1375"/>
      <c r="J3" s="1376"/>
    </row>
    <row r="4" spans="1:10" ht="13.5" thickBot="1">
      <c r="A4" s="326" t="s">
        <v>1347</v>
      </c>
      <c r="B4" s="1340" t="s">
        <v>1398</v>
      </c>
      <c r="C4" s="1341"/>
      <c r="D4" s="1341"/>
      <c r="E4" s="1341"/>
      <c r="F4" s="1341"/>
      <c r="G4" s="1341"/>
      <c r="H4" s="1341"/>
      <c r="I4" s="1341"/>
      <c r="J4" s="1342"/>
    </row>
    <row r="5" spans="1:12" ht="15.75" thickBot="1">
      <c r="A5" s="327" t="s">
        <v>1349</v>
      </c>
      <c r="B5" s="285" t="s">
        <v>1400</v>
      </c>
      <c r="C5" s="1307" t="s">
        <v>1594</v>
      </c>
      <c r="D5" s="1380"/>
      <c r="E5" s="1486" t="s">
        <v>1595</v>
      </c>
      <c r="F5" s="1379"/>
      <c r="G5" s="1308"/>
      <c r="H5" s="1307" t="s">
        <v>1596</v>
      </c>
      <c r="I5" s="1379"/>
      <c r="J5" s="1380"/>
      <c r="L5" s="508" t="s">
        <v>989</v>
      </c>
    </row>
    <row r="6" spans="1:10" ht="90" thickBot="1">
      <c r="A6" s="1321" t="s">
        <v>1597</v>
      </c>
      <c r="B6" s="1321" t="s">
        <v>1598</v>
      </c>
      <c r="C6" s="286" t="s">
        <v>1599</v>
      </c>
      <c r="D6" s="286" t="s">
        <v>1600</v>
      </c>
      <c r="E6" s="286" t="s">
        <v>1601</v>
      </c>
      <c r="F6" s="286" t="s">
        <v>1602</v>
      </c>
      <c r="G6" s="286" t="s">
        <v>1603</v>
      </c>
      <c r="H6" s="286" t="s">
        <v>1604</v>
      </c>
      <c r="I6" s="286" t="s">
        <v>1605</v>
      </c>
      <c r="J6" s="286" t="s">
        <v>1606</v>
      </c>
    </row>
    <row r="7" spans="1:10" ht="30.75" thickBot="1">
      <c r="A7" s="1326"/>
      <c r="B7" s="1326"/>
      <c r="C7" s="1047" t="s">
        <v>1607</v>
      </c>
      <c r="D7" s="1047" t="s">
        <v>1608</v>
      </c>
      <c r="E7" s="1047" t="s">
        <v>1609</v>
      </c>
      <c r="F7" s="1047" t="s">
        <v>8</v>
      </c>
      <c r="G7" s="1047" t="s">
        <v>1610</v>
      </c>
      <c r="H7" s="1047" t="s">
        <v>1417</v>
      </c>
      <c r="I7" s="1047" t="s">
        <v>8</v>
      </c>
      <c r="J7" s="1047" t="s">
        <v>8</v>
      </c>
    </row>
    <row r="8" spans="1:10" ht="14.25">
      <c r="A8" s="1326"/>
      <c r="B8" s="1326"/>
      <c r="C8" s="1321"/>
      <c r="D8" s="1321"/>
      <c r="E8" s="1321" t="s">
        <v>1611</v>
      </c>
      <c r="F8" s="1321" t="s">
        <v>1612</v>
      </c>
      <c r="G8" s="1321" t="s">
        <v>1613</v>
      </c>
      <c r="H8" s="1321"/>
      <c r="I8" s="1321" t="s">
        <v>1614</v>
      </c>
      <c r="J8" s="1045" t="s">
        <v>871</v>
      </c>
    </row>
    <row r="9" spans="1:10" ht="30.75" thickBot="1">
      <c r="A9" s="1326"/>
      <c r="B9" s="1326"/>
      <c r="C9" s="1322"/>
      <c r="D9" s="1322"/>
      <c r="E9" s="1322"/>
      <c r="F9" s="1322"/>
      <c r="G9" s="1322"/>
      <c r="H9" s="1322"/>
      <c r="I9" s="1322"/>
      <c r="J9" s="1047" t="s">
        <v>872</v>
      </c>
    </row>
    <row r="10" spans="1:10" ht="15" thickBot="1">
      <c r="A10" s="1369"/>
      <c r="B10" s="1369"/>
      <c r="C10" s="288" t="s">
        <v>14</v>
      </c>
      <c r="D10" s="288" t="s">
        <v>39</v>
      </c>
      <c r="E10" s="288" t="s">
        <v>873</v>
      </c>
      <c r="F10" s="288" t="s">
        <v>874</v>
      </c>
      <c r="G10" s="288" t="s">
        <v>875</v>
      </c>
      <c r="H10" s="288" t="s">
        <v>876</v>
      </c>
      <c r="I10" s="288" t="s">
        <v>877</v>
      </c>
      <c r="J10" s="288" t="s">
        <v>878</v>
      </c>
    </row>
    <row r="11" spans="1:10" ht="27" thickBot="1" thickTop="1">
      <c r="A11" s="1489" t="s">
        <v>1615</v>
      </c>
      <c r="B11" s="371" t="str">
        <f>+'[2]3C7 FACTORES DE EMISIÓN'!B12</f>
        <v xml:space="preserve">Inundados permanentemente </v>
      </c>
      <c r="C11" s="372">
        <f>'3C7 INFO PROC'!G37</f>
        <v>0</v>
      </c>
      <c r="D11" s="373">
        <f>'FACTORES DE CONVERSIÓN'!$C$373</f>
        <v>147.18545521859198</v>
      </c>
      <c r="E11" s="372">
        <f>'3C7 FACTORES DE EMISIÓN'!B3</f>
        <v>1.27</v>
      </c>
      <c r="F11" s="372">
        <f>'FACTORES DE CONVERSIÓN'!C382</f>
        <v>1</v>
      </c>
      <c r="G11" s="296">
        <f>'FACTORES DE CONVERSIÓN'!C392</f>
        <v>1.22</v>
      </c>
      <c r="H11" s="372">
        <v>0</v>
      </c>
      <c r="I11" s="372">
        <v>0</v>
      </c>
      <c r="J11" s="338">
        <f>+POWER((1+H11*I11),0.59)</f>
        <v>1</v>
      </c>
    </row>
    <row r="12" spans="1:10" ht="13.5" thickBot="1">
      <c r="A12" s="1490"/>
      <c r="B12" s="371" t="str">
        <f>+'[2]3C7 FACTORES DE EMISIÓN'!B13</f>
        <v xml:space="preserve">Periodo de drenaje simple </v>
      </c>
      <c r="C12" s="374">
        <f>'3C7 INFO PROC'!G38</f>
        <v>71248.71</v>
      </c>
      <c r="D12" s="373">
        <f>'FACTORES DE CONVERSIÓN'!$C$373</f>
        <v>147.18545521859198</v>
      </c>
      <c r="E12" s="372">
        <f>'3C7 FACTORES DE EMISIÓN'!B3</f>
        <v>1.27</v>
      </c>
      <c r="F12" s="372">
        <f>'FACTORES DE CONVERSIÓN'!C383</f>
        <v>0.71</v>
      </c>
      <c r="G12" s="296">
        <f>'FACTORES DE CONVERSIÓN'!C392</f>
        <v>1.22</v>
      </c>
      <c r="H12" s="372">
        <v>0</v>
      </c>
      <c r="I12" s="372">
        <v>0</v>
      </c>
      <c r="J12" s="338">
        <f aca="true" t="shared" si="0" ref="J12:J19">+POWER((1+H12*I12),0.59)</f>
        <v>1</v>
      </c>
    </row>
    <row r="13" spans="1:10" ht="26.25" thickBot="1">
      <c r="A13" s="1490"/>
      <c r="B13" s="371" t="str">
        <f>+'[2]3C7 FACTORES DE EMISIÓN'!B14</f>
        <v>Periodo de drenaje multiple</v>
      </c>
      <c r="C13" s="374">
        <f>'3C7 INFO PROC'!G39</f>
        <v>309950.6</v>
      </c>
      <c r="D13" s="373">
        <f>'FACTORES DE CONVERSIÓN'!$C$373</f>
        <v>147.18545521859198</v>
      </c>
      <c r="E13" s="372">
        <f>'3C7 FACTORES DE EMISIÓN'!B3</f>
        <v>1.27</v>
      </c>
      <c r="F13" s="372">
        <f>'FACTORES DE CONVERSIÓN'!C384</f>
        <v>0.55</v>
      </c>
      <c r="G13" s="296">
        <f>'FACTORES DE CONVERSIÓN'!C392</f>
        <v>1.22</v>
      </c>
      <c r="H13" s="372">
        <v>0</v>
      </c>
      <c r="I13" s="372">
        <v>0</v>
      </c>
      <c r="J13" s="338">
        <f t="shared" si="0"/>
        <v>1</v>
      </c>
    </row>
    <row r="14" spans="1:10" ht="13.5" thickBot="1">
      <c r="A14" s="1491"/>
      <c r="B14" s="298" t="s">
        <v>40</v>
      </c>
      <c r="C14" s="375">
        <f>SUM(C11:C13)</f>
        <v>381199.31</v>
      </c>
      <c r="D14" s="298"/>
      <c r="E14" s="298"/>
      <c r="F14" s="376"/>
      <c r="G14" s="298"/>
      <c r="H14" s="376"/>
      <c r="I14" s="298"/>
      <c r="J14" s="370"/>
    </row>
    <row r="15" spans="1:10" ht="15.75" customHeight="1" thickBot="1">
      <c r="A15" s="1492" t="s">
        <v>1616</v>
      </c>
      <c r="B15" s="371" t="str">
        <f>+'[2]3C7 INFO PROCESADA'!C11</f>
        <v>Anegadizos</v>
      </c>
      <c r="C15" s="372">
        <f>'3C7 INFO PROC'!G40</f>
        <v>5480.67</v>
      </c>
      <c r="D15" s="373">
        <f>'FACTORES DE CONVERSIÓN'!$C$373</f>
        <v>147.18545521859198</v>
      </c>
      <c r="E15" s="372">
        <f>'3C7 FACTORES DE EMISIÓN'!B3</f>
        <v>1.27</v>
      </c>
      <c r="F15" s="372">
        <f>'FACTORES DE CONVERSIÓN'!C385</f>
        <v>0.54</v>
      </c>
      <c r="G15" s="296">
        <f>'FACTORES DE CONVERSIÓN'!C392</f>
        <v>1.22</v>
      </c>
      <c r="H15" s="372">
        <v>0</v>
      </c>
      <c r="I15" s="372">
        <v>0</v>
      </c>
      <c r="J15" s="338">
        <f t="shared" si="0"/>
        <v>1</v>
      </c>
    </row>
    <row r="16" spans="1:10" ht="13.5" thickBot="1">
      <c r="A16" s="1490"/>
      <c r="B16" s="371" t="str">
        <f>+'[2]3C7 INFO PROCESADA'!C12</f>
        <v>Expuesto a la sequía</v>
      </c>
      <c r="C16" s="372">
        <f>'3C7 INFO PROC'!G41</f>
        <v>5480.67</v>
      </c>
      <c r="D16" s="373">
        <f>'FACTORES DE CONVERSIÓN'!$C$373</f>
        <v>147.18545521859198</v>
      </c>
      <c r="E16" s="372">
        <f>'3C7 FACTORES DE EMISIÓN'!B3</f>
        <v>1.27</v>
      </c>
      <c r="F16" s="372">
        <f>'FACTORES DE CONVERSIÓN'!C386</f>
        <v>0.16</v>
      </c>
      <c r="G16" s="296">
        <f>'FACTORES DE CONVERSIÓN'!C392</f>
        <v>1.22</v>
      </c>
      <c r="H16" s="372">
        <v>0</v>
      </c>
      <c r="I16" s="372">
        <v>0</v>
      </c>
      <c r="J16" s="338">
        <f t="shared" si="0"/>
        <v>1</v>
      </c>
    </row>
    <row r="17" spans="1:10" ht="13.5" thickBot="1">
      <c r="A17" s="1490"/>
      <c r="B17" s="371" t="str">
        <f>+'[2]3C7 INFO PROCESADA'!C13</f>
        <v>Aguas profundas</v>
      </c>
      <c r="C17" s="372">
        <f>'3C7 INFO PROC'!G42</f>
        <v>27403.35</v>
      </c>
      <c r="D17" s="373">
        <f>'FACTORES DE CONVERSIÓN'!$C$373</f>
        <v>147.18545521859198</v>
      </c>
      <c r="E17" s="377">
        <f>'3C7 FACTORES DE EMISIÓN'!B3</f>
        <v>1.27</v>
      </c>
      <c r="F17" s="372">
        <f>'FACTORES DE CONVERSIÓN'!C387</f>
        <v>0.06</v>
      </c>
      <c r="G17" s="296">
        <f>'FACTORES DE CONVERSIÓN'!C392</f>
        <v>1.22</v>
      </c>
      <c r="H17" s="372">
        <v>0</v>
      </c>
      <c r="I17" s="372">
        <v>0</v>
      </c>
      <c r="J17" s="338">
        <f t="shared" si="0"/>
        <v>1</v>
      </c>
    </row>
    <row r="18" spans="1:10" ht="13.5" thickBot="1">
      <c r="A18" s="1491"/>
      <c r="B18" s="298" t="s">
        <v>40</v>
      </c>
      <c r="C18" s="375">
        <f>SUM(C15:C17)</f>
        <v>38364.69</v>
      </c>
      <c r="D18" s="378"/>
      <c r="E18" s="345"/>
      <c r="F18" s="379"/>
      <c r="G18" s="345"/>
      <c r="H18" s="379"/>
      <c r="I18" s="345"/>
      <c r="J18" s="370"/>
    </row>
    <row r="19" spans="1:10" ht="13.5" thickBot="1">
      <c r="A19" s="1487" t="s">
        <v>452</v>
      </c>
      <c r="B19" s="296" t="s">
        <v>195</v>
      </c>
      <c r="C19" s="380">
        <f>'3C7 INFO PROC'!G36</f>
        <v>0</v>
      </c>
      <c r="D19" s="373">
        <f>'FACTORES DE CONVERSIÓN'!$C$373</f>
        <v>147.18545521859198</v>
      </c>
      <c r="E19" s="380">
        <f>'3C7 FACTORES DE EMISIÓN'!B3</f>
        <v>1.27</v>
      </c>
      <c r="F19" s="380">
        <f>'FACTORES DE CONVERSIÓN'!C381</f>
        <v>0</v>
      </c>
      <c r="G19" s="296">
        <f>'FACTORES DE CONVERSIÓN'!C392</f>
        <v>1.22</v>
      </c>
      <c r="H19" s="372">
        <v>0</v>
      </c>
      <c r="I19" s="372">
        <v>0</v>
      </c>
      <c r="J19" s="338">
        <f t="shared" si="0"/>
        <v>1</v>
      </c>
    </row>
    <row r="20" spans="1:10" ht="13.5" thickBot="1">
      <c r="A20" s="1488"/>
      <c r="B20" s="298" t="s">
        <v>40</v>
      </c>
      <c r="C20" s="375">
        <f>SUM(C19)</f>
        <v>0</v>
      </c>
      <c r="D20" s="298"/>
      <c r="E20" s="298"/>
      <c r="F20" s="298"/>
      <c r="G20" s="298"/>
      <c r="H20" s="298"/>
      <c r="I20" s="298"/>
      <c r="J20" s="298"/>
    </row>
    <row r="21" spans="1:10" ht="13.5" thickBot="1">
      <c r="A21" s="1481" t="s">
        <v>4</v>
      </c>
      <c r="B21" s="1482"/>
      <c r="C21" s="368">
        <f>C14+C18+C20</f>
        <v>419564</v>
      </c>
      <c r="D21" s="297"/>
      <c r="E21" s="297"/>
      <c r="F21" s="297"/>
      <c r="G21" s="297"/>
      <c r="H21" s="297"/>
      <c r="I21" s="297"/>
      <c r="J21" s="297"/>
    </row>
    <row r="22" spans="1:10" ht="13.5" thickBot="1">
      <c r="A22" s="1483" t="s">
        <v>1617</v>
      </c>
      <c r="B22" s="1484"/>
      <c r="C22" s="1484"/>
      <c r="D22" s="1484"/>
      <c r="E22" s="1484"/>
      <c r="F22" s="1484"/>
      <c r="G22" s="1484"/>
      <c r="H22" s="1484"/>
      <c r="I22" s="1484"/>
      <c r="J22" s="1485"/>
    </row>
    <row r="23" ht="13.5" thickBot="1"/>
    <row r="24" spans="1:5" ht="13.5" thickBot="1">
      <c r="A24" s="325" t="s">
        <v>0</v>
      </c>
      <c r="B24" s="1340" t="s">
        <v>574</v>
      </c>
      <c r="C24" s="1341"/>
      <c r="D24" s="1341"/>
      <c r="E24" s="1342"/>
    </row>
    <row r="25" spans="1:5" ht="15" thickBot="1">
      <c r="A25" s="326" t="s">
        <v>521</v>
      </c>
      <c r="B25" s="1340" t="s">
        <v>1618</v>
      </c>
      <c r="C25" s="1341"/>
      <c r="D25" s="1341"/>
      <c r="E25" s="1342"/>
    </row>
    <row r="26" spans="1:7" ht="26.25" thickBot="1">
      <c r="A26" s="326" t="s">
        <v>1452</v>
      </c>
      <c r="B26" s="1340" t="s">
        <v>36</v>
      </c>
      <c r="C26" s="1341"/>
      <c r="D26" s="1341"/>
      <c r="E26" s="1434"/>
      <c r="G26" s="508" t="s">
        <v>989</v>
      </c>
    </row>
    <row r="27" spans="1:5" ht="13.5" thickBot="1">
      <c r="A27" s="326" t="s">
        <v>1347</v>
      </c>
      <c r="B27" s="1340" t="s">
        <v>1439</v>
      </c>
      <c r="C27" s="1341"/>
      <c r="D27" s="1341"/>
      <c r="E27" s="1342"/>
    </row>
    <row r="28" spans="1:5" ht="13.5" thickBot="1">
      <c r="A28" s="327" t="s">
        <v>1</v>
      </c>
      <c r="B28" s="285" t="s">
        <v>12</v>
      </c>
      <c r="C28" s="1307" t="s">
        <v>38</v>
      </c>
      <c r="D28" s="1380"/>
      <c r="E28" s="285" t="s">
        <v>37</v>
      </c>
    </row>
    <row r="29" spans="1:5" ht="64.5" thickBot="1">
      <c r="A29" s="1321" t="s">
        <v>1597</v>
      </c>
      <c r="B29" s="1321" t="s">
        <v>1598</v>
      </c>
      <c r="C29" s="286" t="s">
        <v>1619</v>
      </c>
      <c r="D29" s="286" t="s">
        <v>1620</v>
      </c>
      <c r="E29" s="286" t="s">
        <v>1621</v>
      </c>
    </row>
    <row r="30" spans="1:5" ht="16.5" thickBot="1">
      <c r="A30" s="1326"/>
      <c r="B30" s="1326"/>
      <c r="C30" s="287" t="s">
        <v>8</v>
      </c>
      <c r="D30" s="287" t="s">
        <v>1622</v>
      </c>
      <c r="E30" s="287" t="s">
        <v>1623</v>
      </c>
    </row>
    <row r="31" spans="1:5" ht="30.75" thickBot="1">
      <c r="A31" s="1326"/>
      <c r="B31" s="1326"/>
      <c r="C31" s="287"/>
      <c r="D31" s="287" t="s">
        <v>879</v>
      </c>
      <c r="E31" s="287" t="s">
        <v>880</v>
      </c>
    </row>
    <row r="32" spans="1:5" ht="15.75" thickBot="1">
      <c r="A32" s="1369"/>
      <c r="B32" s="1369"/>
      <c r="C32" s="381" t="s">
        <v>881</v>
      </c>
      <c r="D32" s="288" t="s">
        <v>882</v>
      </c>
      <c r="E32" s="288" t="s">
        <v>1624</v>
      </c>
    </row>
    <row r="33" spans="1:5" ht="16.5" thickBot="1" thickTop="1">
      <c r="A33" s="1494" t="s">
        <v>420</v>
      </c>
      <c r="B33" s="382" t="str">
        <f>B11</f>
        <v xml:space="preserve">Inundados permanentemente </v>
      </c>
      <c r="C33" s="369"/>
      <c r="D33" s="338">
        <f>E11*F11*G11*J11</f>
        <v>1.5493999999999999</v>
      </c>
      <c r="E33" s="338">
        <f>C11*D11*D33*POWER(10,-6)</f>
        <v>0</v>
      </c>
    </row>
    <row r="34" spans="1:5" ht="15.75" thickBot="1">
      <c r="A34" s="1495"/>
      <c r="B34" s="382" t="str">
        <f aca="true" t="shared" si="1" ref="B34:B42">B12</f>
        <v xml:space="preserve">Periodo de drenaje simple </v>
      </c>
      <c r="C34" s="369"/>
      <c r="D34" s="338">
        <f aca="true" t="shared" si="2" ref="D34:D39">E12*F12*G12*J12</f>
        <v>1.100074</v>
      </c>
      <c r="E34" s="338">
        <f>C12*D12*D34*POWER(10,-6)</f>
        <v>11.536227217858508</v>
      </c>
    </row>
    <row r="35" spans="1:5" ht="15.75" thickBot="1">
      <c r="A35" s="1495"/>
      <c r="B35" s="382" t="str">
        <f t="shared" si="1"/>
        <v>Periodo de drenaje multiple</v>
      </c>
      <c r="C35" s="369"/>
      <c r="D35" s="338">
        <f t="shared" si="2"/>
        <v>0.8521700000000001</v>
      </c>
      <c r="E35" s="338">
        <f>C13*D13*D35*POWER(10,-6)</f>
        <v>38.87618301057348</v>
      </c>
    </row>
    <row r="36" spans="1:5" ht="15.75" thickBot="1">
      <c r="A36" s="1488"/>
      <c r="B36" s="382" t="str">
        <f t="shared" si="1"/>
        <v>Sub-total</v>
      </c>
      <c r="C36" s="369"/>
      <c r="D36" s="370"/>
      <c r="E36" s="370">
        <f>SUM(E33:E35)</f>
        <v>50.41241022843199</v>
      </c>
    </row>
    <row r="37" spans="1:5" ht="15.75" customHeight="1" thickBot="1">
      <c r="A37" s="1487" t="s">
        <v>1625</v>
      </c>
      <c r="B37" s="382" t="str">
        <f t="shared" si="1"/>
        <v>Anegadizos</v>
      </c>
      <c r="C37" s="369"/>
      <c r="D37" s="338">
        <f t="shared" si="2"/>
        <v>0.8366760000000001</v>
      </c>
      <c r="E37" s="338">
        <f>C15*D15*D37*POWER(10,-6)</f>
        <v>0.6749255360393928</v>
      </c>
    </row>
    <row r="38" spans="1:5" ht="15.75" thickBot="1">
      <c r="A38" s="1495"/>
      <c r="B38" s="382" t="str">
        <f t="shared" si="1"/>
        <v>Expuesto a la sequía</v>
      </c>
      <c r="C38" s="369"/>
      <c r="D38" s="338">
        <f t="shared" si="2"/>
        <v>0.247904</v>
      </c>
      <c r="E38" s="338">
        <f>C16*D16*D38*POWER(10,-6)</f>
        <v>0.1999779366042645</v>
      </c>
    </row>
    <row r="39" spans="1:5" ht="15.75" thickBot="1">
      <c r="A39" s="1495"/>
      <c r="B39" s="382" t="str">
        <f t="shared" si="1"/>
        <v>Aguas profundas</v>
      </c>
      <c r="C39" s="369"/>
      <c r="D39" s="338">
        <f t="shared" si="2"/>
        <v>0.092964</v>
      </c>
      <c r="E39" s="338">
        <f>C17*D17*D39*POWER(10,-6)</f>
        <v>0.3749586311329959</v>
      </c>
    </row>
    <row r="40" spans="1:5" ht="15.75" thickBot="1">
      <c r="A40" s="1488"/>
      <c r="B40" s="382" t="str">
        <f t="shared" si="1"/>
        <v>Sub-total</v>
      </c>
      <c r="C40" s="369"/>
      <c r="D40" s="370"/>
      <c r="E40" s="370">
        <f>SUM(E37:E39)</f>
        <v>1.2498621037766533</v>
      </c>
    </row>
    <row r="41" spans="1:5" ht="15.75" thickBot="1">
      <c r="A41" s="1487" t="s">
        <v>452</v>
      </c>
      <c r="B41" s="382" t="str">
        <f t="shared" si="1"/>
        <v>-</v>
      </c>
      <c r="C41" s="369"/>
      <c r="D41" s="338">
        <f>E19*F19*G19*J19</f>
        <v>0</v>
      </c>
      <c r="E41" s="338">
        <f>C19*D19*D41*POWER(10,-6)</f>
        <v>0</v>
      </c>
    </row>
    <row r="42" spans="1:5" ht="15.75" thickBot="1">
      <c r="A42" s="1488"/>
      <c r="B42" s="382" t="str">
        <f t="shared" si="1"/>
        <v>Sub-total</v>
      </c>
      <c r="C42" s="369"/>
      <c r="D42" s="369"/>
      <c r="E42" s="338">
        <f>SUM(E41)</f>
        <v>0</v>
      </c>
    </row>
    <row r="43" spans="1:5" ht="15.75" thickBot="1">
      <c r="A43" s="1481" t="s">
        <v>4</v>
      </c>
      <c r="B43" s="1482"/>
      <c r="C43" s="369"/>
      <c r="D43" s="369"/>
      <c r="E43" s="339">
        <f>E36+E40+E42</f>
        <v>51.662272332208644</v>
      </c>
    </row>
    <row r="44" spans="1:5" ht="52.5" customHeight="1" thickBot="1">
      <c r="A44" s="1483" t="s">
        <v>1626</v>
      </c>
      <c r="B44" s="1484"/>
      <c r="C44" s="1484"/>
      <c r="D44" s="1484"/>
      <c r="E44" s="1493"/>
    </row>
  </sheetData>
  <mergeCells count="33">
    <mergeCell ref="B25:E25"/>
    <mergeCell ref="B26:E26"/>
    <mergeCell ref="A43:B43"/>
    <mergeCell ref="A44:E44"/>
    <mergeCell ref="C28:D28"/>
    <mergeCell ref="A29:A32"/>
    <mergeCell ref="B29:B32"/>
    <mergeCell ref="A33:A36"/>
    <mergeCell ref="A37:A40"/>
    <mergeCell ref="A41:A42"/>
    <mergeCell ref="B27:E27"/>
    <mergeCell ref="H8:H9"/>
    <mergeCell ref="I8:I9"/>
    <mergeCell ref="A11:A14"/>
    <mergeCell ref="A15:A18"/>
    <mergeCell ref="E8:E9"/>
    <mergeCell ref="F8:F9"/>
    <mergeCell ref="A21:B21"/>
    <mergeCell ref="A22:J22"/>
    <mergeCell ref="B24:E24"/>
    <mergeCell ref="B1:J1"/>
    <mergeCell ref="B2:J2"/>
    <mergeCell ref="B3:J3"/>
    <mergeCell ref="B4:J4"/>
    <mergeCell ref="C5:D5"/>
    <mergeCell ref="E5:G5"/>
    <mergeCell ref="H5:J5"/>
    <mergeCell ref="A19:A20"/>
    <mergeCell ref="A6:A10"/>
    <mergeCell ref="B6:B10"/>
    <mergeCell ref="C8:C9"/>
    <mergeCell ref="D8:D9"/>
    <mergeCell ref="G8:G9"/>
  </mergeCell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A6A6A6"/>
  </sheetPr>
  <dimension ref="B1:Z55"/>
  <sheetViews>
    <sheetView tabSelected="1" zoomScale="85" zoomScaleNormal="85" workbookViewId="0" topLeftCell="J1">
      <pane ySplit="4" topLeftCell="A12" activePane="bottomLeft" state="frozen"/>
      <selection pane="bottomLeft" activeCell="P25" sqref="P25"/>
    </sheetView>
  </sheetViews>
  <sheetFormatPr defaultColWidth="10.8515625" defaultRowHeight="15"/>
  <cols>
    <col min="1" max="1" width="4.7109375" style="6" customWidth="1"/>
    <col min="2" max="2" width="2.00390625" style="6" bestFit="1" customWidth="1"/>
    <col min="3" max="3" width="3.7109375" style="6" customWidth="1"/>
    <col min="4" max="4" width="4.57421875" style="6" bestFit="1" customWidth="1"/>
    <col min="5" max="5" width="5.8515625" style="6" customWidth="1"/>
    <col min="6" max="6" width="7.00390625" style="6" bestFit="1" customWidth="1"/>
    <col min="7" max="7" width="45.28125" style="6" customWidth="1"/>
    <col min="8" max="8" width="14.57421875" style="6" customWidth="1"/>
    <col min="9" max="9" width="14.8515625" style="6" customWidth="1"/>
    <col min="10" max="14" width="11.140625" style="6" customWidth="1"/>
    <col min="15" max="15" width="8.57421875" style="6" customWidth="1"/>
    <col min="16" max="16" width="2.00390625" style="6" bestFit="1" customWidth="1"/>
    <col min="17" max="17" width="3.28125" style="6" bestFit="1" customWidth="1"/>
    <col min="18" max="18" width="4.8515625" style="6" bestFit="1" customWidth="1"/>
    <col min="19" max="19" width="6.00390625" style="6" bestFit="1" customWidth="1"/>
    <col min="20" max="20" width="7.57421875" style="6" bestFit="1" customWidth="1"/>
    <col min="21" max="21" width="49.57421875" style="6" customWidth="1"/>
    <col min="22" max="22" width="13.7109375" style="6" customWidth="1"/>
    <col min="23" max="24" width="11.421875" style="6" customWidth="1"/>
    <col min="25" max="25" width="10.421875" style="6" customWidth="1"/>
    <col min="26" max="260" width="11.421875" style="6" customWidth="1"/>
    <col min="261" max="261" width="4.7109375" style="6" customWidth="1"/>
    <col min="262" max="262" width="5.8515625" style="6" customWidth="1"/>
    <col min="263" max="263" width="6.28125" style="6" customWidth="1"/>
    <col min="264" max="264" width="19.7109375" style="6" customWidth="1"/>
    <col min="265" max="265" width="16.28125" style="6" customWidth="1"/>
    <col min="266" max="266" width="11.140625" style="6" customWidth="1"/>
    <col min="267" max="269" width="10.8515625" style="6" hidden="1" customWidth="1"/>
    <col min="270" max="270" width="11.140625" style="6" customWidth="1"/>
    <col min="271" max="271" width="11.421875" style="6" customWidth="1"/>
    <col min="272" max="272" width="13.57421875" style="6" customWidth="1"/>
    <col min="273" max="273" width="11.421875" style="6" customWidth="1"/>
    <col min="274" max="274" width="41.140625" style="6" customWidth="1"/>
    <col min="275" max="275" width="13.7109375" style="6" customWidth="1"/>
    <col min="276" max="280" width="11.421875" style="6" customWidth="1"/>
    <col min="281" max="281" width="10.421875" style="6" customWidth="1"/>
    <col min="282" max="516" width="11.421875" style="6" customWidth="1"/>
    <col min="517" max="517" width="4.7109375" style="6" customWidth="1"/>
    <col min="518" max="518" width="5.8515625" style="6" customWidth="1"/>
    <col min="519" max="519" width="6.28125" style="6" customWidth="1"/>
    <col min="520" max="520" width="19.7109375" style="6" customWidth="1"/>
    <col min="521" max="521" width="16.28125" style="6" customWidth="1"/>
    <col min="522" max="522" width="11.140625" style="6" customWidth="1"/>
    <col min="523" max="525" width="10.8515625" style="6" hidden="1" customWidth="1"/>
    <col min="526" max="526" width="11.140625" style="6" customWidth="1"/>
    <col min="527" max="527" width="11.421875" style="6" customWidth="1"/>
    <col min="528" max="528" width="13.57421875" style="6" customWidth="1"/>
    <col min="529" max="529" width="11.421875" style="6" customWidth="1"/>
    <col min="530" max="530" width="41.140625" style="6" customWidth="1"/>
    <col min="531" max="531" width="13.7109375" style="6" customWidth="1"/>
    <col min="532" max="536" width="11.421875" style="6" customWidth="1"/>
    <col min="537" max="537" width="10.421875" style="6" customWidth="1"/>
    <col min="538" max="772" width="11.421875" style="6" customWidth="1"/>
    <col min="773" max="773" width="4.7109375" style="6" customWidth="1"/>
    <col min="774" max="774" width="5.8515625" style="6" customWidth="1"/>
    <col min="775" max="775" width="6.28125" style="6" customWidth="1"/>
    <col min="776" max="776" width="19.7109375" style="6" customWidth="1"/>
    <col min="777" max="777" width="16.28125" style="6" customWidth="1"/>
    <col min="778" max="778" width="11.140625" style="6" customWidth="1"/>
    <col min="779" max="781" width="10.8515625" style="6" hidden="1" customWidth="1"/>
    <col min="782" max="782" width="11.140625" style="6" customWidth="1"/>
    <col min="783" max="783" width="11.421875" style="6" customWidth="1"/>
    <col min="784" max="784" width="13.57421875" style="6" customWidth="1"/>
    <col min="785" max="785" width="11.421875" style="6" customWidth="1"/>
    <col min="786" max="786" width="41.140625" style="6" customWidth="1"/>
    <col min="787" max="787" width="13.7109375" style="6" customWidth="1"/>
    <col min="788" max="792" width="11.421875" style="6" customWidth="1"/>
    <col min="793" max="793" width="10.421875" style="6" customWidth="1"/>
    <col min="794" max="1028" width="11.421875" style="6" customWidth="1"/>
    <col min="1029" max="1029" width="4.7109375" style="6" customWidth="1"/>
    <col min="1030" max="1030" width="5.8515625" style="6" customWidth="1"/>
    <col min="1031" max="1031" width="6.28125" style="6" customWidth="1"/>
    <col min="1032" max="1032" width="19.7109375" style="6" customWidth="1"/>
    <col min="1033" max="1033" width="16.28125" style="6" customWidth="1"/>
    <col min="1034" max="1034" width="11.140625" style="6" customWidth="1"/>
    <col min="1035" max="1037" width="10.8515625" style="6" hidden="1" customWidth="1"/>
    <col min="1038" max="1038" width="11.140625" style="6" customWidth="1"/>
    <col min="1039" max="1039" width="11.421875" style="6" customWidth="1"/>
    <col min="1040" max="1040" width="13.57421875" style="6" customWidth="1"/>
    <col min="1041" max="1041" width="11.421875" style="6" customWidth="1"/>
    <col min="1042" max="1042" width="41.140625" style="6" customWidth="1"/>
    <col min="1043" max="1043" width="13.7109375" style="6" customWidth="1"/>
    <col min="1044" max="1048" width="11.421875" style="6" customWidth="1"/>
    <col min="1049" max="1049" width="10.421875" style="6" customWidth="1"/>
    <col min="1050" max="1284" width="11.421875" style="6" customWidth="1"/>
    <col min="1285" max="1285" width="4.7109375" style="6" customWidth="1"/>
    <col min="1286" max="1286" width="5.8515625" style="6" customWidth="1"/>
    <col min="1287" max="1287" width="6.28125" style="6" customWidth="1"/>
    <col min="1288" max="1288" width="19.7109375" style="6" customWidth="1"/>
    <col min="1289" max="1289" width="16.28125" style="6" customWidth="1"/>
    <col min="1290" max="1290" width="11.140625" style="6" customWidth="1"/>
    <col min="1291" max="1293" width="10.8515625" style="6" hidden="1" customWidth="1"/>
    <col min="1294" max="1294" width="11.140625" style="6" customWidth="1"/>
    <col min="1295" max="1295" width="11.421875" style="6" customWidth="1"/>
    <col min="1296" max="1296" width="13.57421875" style="6" customWidth="1"/>
    <col min="1297" max="1297" width="11.421875" style="6" customWidth="1"/>
    <col min="1298" max="1298" width="41.140625" style="6" customWidth="1"/>
    <col min="1299" max="1299" width="13.7109375" style="6" customWidth="1"/>
    <col min="1300" max="1304" width="11.421875" style="6" customWidth="1"/>
    <col min="1305" max="1305" width="10.421875" style="6" customWidth="1"/>
    <col min="1306" max="1540" width="11.421875" style="6" customWidth="1"/>
    <col min="1541" max="1541" width="4.7109375" style="6" customWidth="1"/>
    <col min="1542" max="1542" width="5.8515625" style="6" customWidth="1"/>
    <col min="1543" max="1543" width="6.28125" style="6" customWidth="1"/>
    <col min="1544" max="1544" width="19.7109375" style="6" customWidth="1"/>
    <col min="1545" max="1545" width="16.28125" style="6" customWidth="1"/>
    <col min="1546" max="1546" width="11.140625" style="6" customWidth="1"/>
    <col min="1547" max="1549" width="10.8515625" style="6" hidden="1" customWidth="1"/>
    <col min="1550" max="1550" width="11.140625" style="6" customWidth="1"/>
    <col min="1551" max="1551" width="11.421875" style="6" customWidth="1"/>
    <col min="1552" max="1552" width="13.57421875" style="6" customWidth="1"/>
    <col min="1553" max="1553" width="11.421875" style="6" customWidth="1"/>
    <col min="1554" max="1554" width="41.140625" style="6" customWidth="1"/>
    <col min="1555" max="1555" width="13.7109375" style="6" customWidth="1"/>
    <col min="1556" max="1560" width="11.421875" style="6" customWidth="1"/>
    <col min="1561" max="1561" width="10.421875" style="6" customWidth="1"/>
    <col min="1562" max="1796" width="11.421875" style="6" customWidth="1"/>
    <col min="1797" max="1797" width="4.7109375" style="6" customWidth="1"/>
    <col min="1798" max="1798" width="5.8515625" style="6" customWidth="1"/>
    <col min="1799" max="1799" width="6.28125" style="6" customWidth="1"/>
    <col min="1800" max="1800" width="19.7109375" style="6" customWidth="1"/>
    <col min="1801" max="1801" width="16.28125" style="6" customWidth="1"/>
    <col min="1802" max="1802" width="11.140625" style="6" customWidth="1"/>
    <col min="1803" max="1805" width="10.8515625" style="6" hidden="1" customWidth="1"/>
    <col min="1806" max="1806" width="11.140625" style="6" customWidth="1"/>
    <col min="1807" max="1807" width="11.421875" style="6" customWidth="1"/>
    <col min="1808" max="1808" width="13.57421875" style="6" customWidth="1"/>
    <col min="1809" max="1809" width="11.421875" style="6" customWidth="1"/>
    <col min="1810" max="1810" width="41.140625" style="6" customWidth="1"/>
    <col min="1811" max="1811" width="13.7109375" style="6" customWidth="1"/>
    <col min="1812" max="1816" width="11.421875" style="6" customWidth="1"/>
    <col min="1817" max="1817" width="10.421875" style="6" customWidth="1"/>
    <col min="1818" max="2052" width="11.421875" style="6" customWidth="1"/>
    <col min="2053" max="2053" width="4.7109375" style="6" customWidth="1"/>
    <col min="2054" max="2054" width="5.8515625" style="6" customWidth="1"/>
    <col min="2055" max="2055" width="6.28125" style="6" customWidth="1"/>
    <col min="2056" max="2056" width="19.7109375" style="6" customWidth="1"/>
    <col min="2057" max="2057" width="16.28125" style="6" customWidth="1"/>
    <col min="2058" max="2058" width="11.140625" style="6" customWidth="1"/>
    <col min="2059" max="2061" width="10.8515625" style="6" hidden="1" customWidth="1"/>
    <col min="2062" max="2062" width="11.140625" style="6" customWidth="1"/>
    <col min="2063" max="2063" width="11.421875" style="6" customWidth="1"/>
    <col min="2064" max="2064" width="13.57421875" style="6" customWidth="1"/>
    <col min="2065" max="2065" width="11.421875" style="6" customWidth="1"/>
    <col min="2066" max="2066" width="41.140625" style="6" customWidth="1"/>
    <col min="2067" max="2067" width="13.7109375" style="6" customWidth="1"/>
    <col min="2068" max="2072" width="11.421875" style="6" customWidth="1"/>
    <col min="2073" max="2073" width="10.421875" style="6" customWidth="1"/>
    <col min="2074" max="2308" width="11.421875" style="6" customWidth="1"/>
    <col min="2309" max="2309" width="4.7109375" style="6" customWidth="1"/>
    <col min="2310" max="2310" width="5.8515625" style="6" customWidth="1"/>
    <col min="2311" max="2311" width="6.28125" style="6" customWidth="1"/>
    <col min="2312" max="2312" width="19.7109375" style="6" customWidth="1"/>
    <col min="2313" max="2313" width="16.28125" style="6" customWidth="1"/>
    <col min="2314" max="2314" width="11.140625" style="6" customWidth="1"/>
    <col min="2315" max="2317" width="10.8515625" style="6" hidden="1" customWidth="1"/>
    <col min="2318" max="2318" width="11.140625" style="6" customWidth="1"/>
    <col min="2319" max="2319" width="11.421875" style="6" customWidth="1"/>
    <col min="2320" max="2320" width="13.57421875" style="6" customWidth="1"/>
    <col min="2321" max="2321" width="11.421875" style="6" customWidth="1"/>
    <col min="2322" max="2322" width="41.140625" style="6" customWidth="1"/>
    <col min="2323" max="2323" width="13.7109375" style="6" customWidth="1"/>
    <col min="2324" max="2328" width="11.421875" style="6" customWidth="1"/>
    <col min="2329" max="2329" width="10.421875" style="6" customWidth="1"/>
    <col min="2330" max="2564" width="11.421875" style="6" customWidth="1"/>
    <col min="2565" max="2565" width="4.7109375" style="6" customWidth="1"/>
    <col min="2566" max="2566" width="5.8515625" style="6" customWidth="1"/>
    <col min="2567" max="2567" width="6.28125" style="6" customWidth="1"/>
    <col min="2568" max="2568" width="19.7109375" style="6" customWidth="1"/>
    <col min="2569" max="2569" width="16.28125" style="6" customWidth="1"/>
    <col min="2570" max="2570" width="11.140625" style="6" customWidth="1"/>
    <col min="2571" max="2573" width="10.8515625" style="6" hidden="1" customWidth="1"/>
    <col min="2574" max="2574" width="11.140625" style="6" customWidth="1"/>
    <col min="2575" max="2575" width="11.421875" style="6" customWidth="1"/>
    <col min="2576" max="2576" width="13.57421875" style="6" customWidth="1"/>
    <col min="2577" max="2577" width="11.421875" style="6" customWidth="1"/>
    <col min="2578" max="2578" width="41.140625" style="6" customWidth="1"/>
    <col min="2579" max="2579" width="13.7109375" style="6" customWidth="1"/>
    <col min="2580" max="2584" width="11.421875" style="6" customWidth="1"/>
    <col min="2585" max="2585" width="10.421875" style="6" customWidth="1"/>
    <col min="2586" max="2820" width="11.421875" style="6" customWidth="1"/>
    <col min="2821" max="2821" width="4.7109375" style="6" customWidth="1"/>
    <col min="2822" max="2822" width="5.8515625" style="6" customWidth="1"/>
    <col min="2823" max="2823" width="6.28125" style="6" customWidth="1"/>
    <col min="2824" max="2824" width="19.7109375" style="6" customWidth="1"/>
    <col min="2825" max="2825" width="16.28125" style="6" customWidth="1"/>
    <col min="2826" max="2826" width="11.140625" style="6" customWidth="1"/>
    <col min="2827" max="2829" width="10.8515625" style="6" hidden="1" customWidth="1"/>
    <col min="2830" max="2830" width="11.140625" style="6" customWidth="1"/>
    <col min="2831" max="2831" width="11.421875" style="6" customWidth="1"/>
    <col min="2832" max="2832" width="13.57421875" style="6" customWidth="1"/>
    <col min="2833" max="2833" width="11.421875" style="6" customWidth="1"/>
    <col min="2834" max="2834" width="41.140625" style="6" customWidth="1"/>
    <col min="2835" max="2835" width="13.7109375" style="6" customWidth="1"/>
    <col min="2836" max="2840" width="11.421875" style="6" customWidth="1"/>
    <col min="2841" max="2841" width="10.421875" style="6" customWidth="1"/>
    <col min="2842" max="3076" width="11.421875" style="6" customWidth="1"/>
    <col min="3077" max="3077" width="4.7109375" style="6" customWidth="1"/>
    <col min="3078" max="3078" width="5.8515625" style="6" customWidth="1"/>
    <col min="3079" max="3079" width="6.28125" style="6" customWidth="1"/>
    <col min="3080" max="3080" width="19.7109375" style="6" customWidth="1"/>
    <col min="3081" max="3081" width="16.28125" style="6" customWidth="1"/>
    <col min="3082" max="3082" width="11.140625" style="6" customWidth="1"/>
    <col min="3083" max="3085" width="10.8515625" style="6" hidden="1" customWidth="1"/>
    <col min="3086" max="3086" width="11.140625" style="6" customWidth="1"/>
    <col min="3087" max="3087" width="11.421875" style="6" customWidth="1"/>
    <col min="3088" max="3088" width="13.57421875" style="6" customWidth="1"/>
    <col min="3089" max="3089" width="11.421875" style="6" customWidth="1"/>
    <col min="3090" max="3090" width="41.140625" style="6" customWidth="1"/>
    <col min="3091" max="3091" width="13.7109375" style="6" customWidth="1"/>
    <col min="3092" max="3096" width="11.421875" style="6" customWidth="1"/>
    <col min="3097" max="3097" width="10.421875" style="6" customWidth="1"/>
    <col min="3098" max="3332" width="11.421875" style="6" customWidth="1"/>
    <col min="3333" max="3333" width="4.7109375" style="6" customWidth="1"/>
    <col min="3334" max="3334" width="5.8515625" style="6" customWidth="1"/>
    <col min="3335" max="3335" width="6.28125" style="6" customWidth="1"/>
    <col min="3336" max="3336" width="19.7109375" style="6" customWidth="1"/>
    <col min="3337" max="3337" width="16.28125" style="6" customWidth="1"/>
    <col min="3338" max="3338" width="11.140625" style="6" customWidth="1"/>
    <col min="3339" max="3341" width="10.8515625" style="6" hidden="1" customWidth="1"/>
    <col min="3342" max="3342" width="11.140625" style="6" customWidth="1"/>
    <col min="3343" max="3343" width="11.421875" style="6" customWidth="1"/>
    <col min="3344" max="3344" width="13.57421875" style="6" customWidth="1"/>
    <col min="3345" max="3345" width="11.421875" style="6" customWidth="1"/>
    <col min="3346" max="3346" width="41.140625" style="6" customWidth="1"/>
    <col min="3347" max="3347" width="13.7109375" style="6" customWidth="1"/>
    <col min="3348" max="3352" width="11.421875" style="6" customWidth="1"/>
    <col min="3353" max="3353" width="10.421875" style="6" customWidth="1"/>
    <col min="3354" max="3588" width="11.421875" style="6" customWidth="1"/>
    <col min="3589" max="3589" width="4.7109375" style="6" customWidth="1"/>
    <col min="3590" max="3590" width="5.8515625" style="6" customWidth="1"/>
    <col min="3591" max="3591" width="6.28125" style="6" customWidth="1"/>
    <col min="3592" max="3592" width="19.7109375" style="6" customWidth="1"/>
    <col min="3593" max="3593" width="16.28125" style="6" customWidth="1"/>
    <col min="3594" max="3594" width="11.140625" style="6" customWidth="1"/>
    <col min="3595" max="3597" width="10.8515625" style="6" hidden="1" customWidth="1"/>
    <col min="3598" max="3598" width="11.140625" style="6" customWidth="1"/>
    <col min="3599" max="3599" width="11.421875" style="6" customWidth="1"/>
    <col min="3600" max="3600" width="13.57421875" style="6" customWidth="1"/>
    <col min="3601" max="3601" width="11.421875" style="6" customWidth="1"/>
    <col min="3602" max="3602" width="41.140625" style="6" customWidth="1"/>
    <col min="3603" max="3603" width="13.7109375" style="6" customWidth="1"/>
    <col min="3604" max="3608" width="11.421875" style="6" customWidth="1"/>
    <col min="3609" max="3609" width="10.421875" style="6" customWidth="1"/>
    <col min="3610" max="3844" width="11.421875" style="6" customWidth="1"/>
    <col min="3845" max="3845" width="4.7109375" style="6" customWidth="1"/>
    <col min="3846" max="3846" width="5.8515625" style="6" customWidth="1"/>
    <col min="3847" max="3847" width="6.28125" style="6" customWidth="1"/>
    <col min="3848" max="3848" width="19.7109375" style="6" customWidth="1"/>
    <col min="3849" max="3849" width="16.28125" style="6" customWidth="1"/>
    <col min="3850" max="3850" width="11.140625" style="6" customWidth="1"/>
    <col min="3851" max="3853" width="10.8515625" style="6" hidden="1" customWidth="1"/>
    <col min="3854" max="3854" width="11.140625" style="6" customWidth="1"/>
    <col min="3855" max="3855" width="11.421875" style="6" customWidth="1"/>
    <col min="3856" max="3856" width="13.57421875" style="6" customWidth="1"/>
    <col min="3857" max="3857" width="11.421875" style="6" customWidth="1"/>
    <col min="3858" max="3858" width="41.140625" style="6" customWidth="1"/>
    <col min="3859" max="3859" width="13.7109375" style="6" customWidth="1"/>
    <col min="3860" max="3864" width="11.421875" style="6" customWidth="1"/>
    <col min="3865" max="3865" width="10.421875" style="6" customWidth="1"/>
    <col min="3866" max="4100" width="11.421875" style="6" customWidth="1"/>
    <col min="4101" max="4101" width="4.7109375" style="6" customWidth="1"/>
    <col min="4102" max="4102" width="5.8515625" style="6" customWidth="1"/>
    <col min="4103" max="4103" width="6.28125" style="6" customWidth="1"/>
    <col min="4104" max="4104" width="19.7109375" style="6" customWidth="1"/>
    <col min="4105" max="4105" width="16.28125" style="6" customWidth="1"/>
    <col min="4106" max="4106" width="11.140625" style="6" customWidth="1"/>
    <col min="4107" max="4109" width="10.8515625" style="6" hidden="1" customWidth="1"/>
    <col min="4110" max="4110" width="11.140625" style="6" customWidth="1"/>
    <col min="4111" max="4111" width="11.421875" style="6" customWidth="1"/>
    <col min="4112" max="4112" width="13.57421875" style="6" customWidth="1"/>
    <col min="4113" max="4113" width="11.421875" style="6" customWidth="1"/>
    <col min="4114" max="4114" width="41.140625" style="6" customWidth="1"/>
    <col min="4115" max="4115" width="13.7109375" style="6" customWidth="1"/>
    <col min="4116" max="4120" width="11.421875" style="6" customWidth="1"/>
    <col min="4121" max="4121" width="10.421875" style="6" customWidth="1"/>
    <col min="4122" max="4356" width="11.421875" style="6" customWidth="1"/>
    <col min="4357" max="4357" width="4.7109375" style="6" customWidth="1"/>
    <col min="4358" max="4358" width="5.8515625" style="6" customWidth="1"/>
    <col min="4359" max="4359" width="6.28125" style="6" customWidth="1"/>
    <col min="4360" max="4360" width="19.7109375" style="6" customWidth="1"/>
    <col min="4361" max="4361" width="16.28125" style="6" customWidth="1"/>
    <col min="4362" max="4362" width="11.140625" style="6" customWidth="1"/>
    <col min="4363" max="4365" width="10.8515625" style="6" hidden="1" customWidth="1"/>
    <col min="4366" max="4366" width="11.140625" style="6" customWidth="1"/>
    <col min="4367" max="4367" width="11.421875" style="6" customWidth="1"/>
    <col min="4368" max="4368" width="13.57421875" style="6" customWidth="1"/>
    <col min="4369" max="4369" width="11.421875" style="6" customWidth="1"/>
    <col min="4370" max="4370" width="41.140625" style="6" customWidth="1"/>
    <col min="4371" max="4371" width="13.7109375" style="6" customWidth="1"/>
    <col min="4372" max="4376" width="11.421875" style="6" customWidth="1"/>
    <col min="4377" max="4377" width="10.421875" style="6" customWidth="1"/>
    <col min="4378" max="4612" width="11.421875" style="6" customWidth="1"/>
    <col min="4613" max="4613" width="4.7109375" style="6" customWidth="1"/>
    <col min="4614" max="4614" width="5.8515625" style="6" customWidth="1"/>
    <col min="4615" max="4615" width="6.28125" style="6" customWidth="1"/>
    <col min="4616" max="4616" width="19.7109375" style="6" customWidth="1"/>
    <col min="4617" max="4617" width="16.28125" style="6" customWidth="1"/>
    <col min="4618" max="4618" width="11.140625" style="6" customWidth="1"/>
    <col min="4619" max="4621" width="10.8515625" style="6" hidden="1" customWidth="1"/>
    <col min="4622" max="4622" width="11.140625" style="6" customWidth="1"/>
    <col min="4623" max="4623" width="11.421875" style="6" customWidth="1"/>
    <col min="4624" max="4624" width="13.57421875" style="6" customWidth="1"/>
    <col min="4625" max="4625" width="11.421875" style="6" customWidth="1"/>
    <col min="4626" max="4626" width="41.140625" style="6" customWidth="1"/>
    <col min="4627" max="4627" width="13.7109375" style="6" customWidth="1"/>
    <col min="4628" max="4632" width="11.421875" style="6" customWidth="1"/>
    <col min="4633" max="4633" width="10.421875" style="6" customWidth="1"/>
    <col min="4634" max="4868" width="11.421875" style="6" customWidth="1"/>
    <col min="4869" max="4869" width="4.7109375" style="6" customWidth="1"/>
    <col min="4870" max="4870" width="5.8515625" style="6" customWidth="1"/>
    <col min="4871" max="4871" width="6.28125" style="6" customWidth="1"/>
    <col min="4872" max="4872" width="19.7109375" style="6" customWidth="1"/>
    <col min="4873" max="4873" width="16.28125" style="6" customWidth="1"/>
    <col min="4874" max="4874" width="11.140625" style="6" customWidth="1"/>
    <col min="4875" max="4877" width="10.8515625" style="6" hidden="1" customWidth="1"/>
    <col min="4878" max="4878" width="11.140625" style="6" customWidth="1"/>
    <col min="4879" max="4879" width="11.421875" style="6" customWidth="1"/>
    <col min="4880" max="4880" width="13.57421875" style="6" customWidth="1"/>
    <col min="4881" max="4881" width="11.421875" style="6" customWidth="1"/>
    <col min="4882" max="4882" width="41.140625" style="6" customWidth="1"/>
    <col min="4883" max="4883" width="13.7109375" style="6" customWidth="1"/>
    <col min="4884" max="4888" width="11.421875" style="6" customWidth="1"/>
    <col min="4889" max="4889" width="10.421875" style="6" customWidth="1"/>
    <col min="4890" max="5124" width="11.421875" style="6" customWidth="1"/>
    <col min="5125" max="5125" width="4.7109375" style="6" customWidth="1"/>
    <col min="5126" max="5126" width="5.8515625" style="6" customWidth="1"/>
    <col min="5127" max="5127" width="6.28125" style="6" customWidth="1"/>
    <col min="5128" max="5128" width="19.7109375" style="6" customWidth="1"/>
    <col min="5129" max="5129" width="16.28125" style="6" customWidth="1"/>
    <col min="5130" max="5130" width="11.140625" style="6" customWidth="1"/>
    <col min="5131" max="5133" width="10.8515625" style="6" hidden="1" customWidth="1"/>
    <col min="5134" max="5134" width="11.140625" style="6" customWidth="1"/>
    <col min="5135" max="5135" width="11.421875" style="6" customWidth="1"/>
    <col min="5136" max="5136" width="13.57421875" style="6" customWidth="1"/>
    <col min="5137" max="5137" width="11.421875" style="6" customWidth="1"/>
    <col min="5138" max="5138" width="41.140625" style="6" customWidth="1"/>
    <col min="5139" max="5139" width="13.7109375" style="6" customWidth="1"/>
    <col min="5140" max="5144" width="11.421875" style="6" customWidth="1"/>
    <col min="5145" max="5145" width="10.421875" style="6" customWidth="1"/>
    <col min="5146" max="5380" width="11.421875" style="6" customWidth="1"/>
    <col min="5381" max="5381" width="4.7109375" style="6" customWidth="1"/>
    <col min="5382" max="5382" width="5.8515625" style="6" customWidth="1"/>
    <col min="5383" max="5383" width="6.28125" style="6" customWidth="1"/>
    <col min="5384" max="5384" width="19.7109375" style="6" customWidth="1"/>
    <col min="5385" max="5385" width="16.28125" style="6" customWidth="1"/>
    <col min="5386" max="5386" width="11.140625" style="6" customWidth="1"/>
    <col min="5387" max="5389" width="10.8515625" style="6" hidden="1" customWidth="1"/>
    <col min="5390" max="5390" width="11.140625" style="6" customWidth="1"/>
    <col min="5391" max="5391" width="11.421875" style="6" customWidth="1"/>
    <col min="5392" max="5392" width="13.57421875" style="6" customWidth="1"/>
    <col min="5393" max="5393" width="11.421875" style="6" customWidth="1"/>
    <col min="5394" max="5394" width="41.140625" style="6" customWidth="1"/>
    <col min="5395" max="5395" width="13.7109375" style="6" customWidth="1"/>
    <col min="5396" max="5400" width="11.421875" style="6" customWidth="1"/>
    <col min="5401" max="5401" width="10.421875" style="6" customWidth="1"/>
    <col min="5402" max="5636" width="11.421875" style="6" customWidth="1"/>
    <col min="5637" max="5637" width="4.7109375" style="6" customWidth="1"/>
    <col min="5638" max="5638" width="5.8515625" style="6" customWidth="1"/>
    <col min="5639" max="5639" width="6.28125" style="6" customWidth="1"/>
    <col min="5640" max="5640" width="19.7109375" style="6" customWidth="1"/>
    <col min="5641" max="5641" width="16.28125" style="6" customWidth="1"/>
    <col min="5642" max="5642" width="11.140625" style="6" customWidth="1"/>
    <col min="5643" max="5645" width="10.8515625" style="6" hidden="1" customWidth="1"/>
    <col min="5646" max="5646" width="11.140625" style="6" customWidth="1"/>
    <col min="5647" max="5647" width="11.421875" style="6" customWidth="1"/>
    <col min="5648" max="5648" width="13.57421875" style="6" customWidth="1"/>
    <col min="5649" max="5649" width="11.421875" style="6" customWidth="1"/>
    <col min="5650" max="5650" width="41.140625" style="6" customWidth="1"/>
    <col min="5651" max="5651" width="13.7109375" style="6" customWidth="1"/>
    <col min="5652" max="5656" width="11.421875" style="6" customWidth="1"/>
    <col min="5657" max="5657" width="10.421875" style="6" customWidth="1"/>
    <col min="5658" max="5892" width="11.421875" style="6" customWidth="1"/>
    <col min="5893" max="5893" width="4.7109375" style="6" customWidth="1"/>
    <col min="5894" max="5894" width="5.8515625" style="6" customWidth="1"/>
    <col min="5895" max="5895" width="6.28125" style="6" customWidth="1"/>
    <col min="5896" max="5896" width="19.7109375" style="6" customWidth="1"/>
    <col min="5897" max="5897" width="16.28125" style="6" customWidth="1"/>
    <col min="5898" max="5898" width="11.140625" style="6" customWidth="1"/>
    <col min="5899" max="5901" width="10.8515625" style="6" hidden="1" customWidth="1"/>
    <col min="5902" max="5902" width="11.140625" style="6" customWidth="1"/>
    <col min="5903" max="5903" width="11.421875" style="6" customWidth="1"/>
    <col min="5904" max="5904" width="13.57421875" style="6" customWidth="1"/>
    <col min="5905" max="5905" width="11.421875" style="6" customWidth="1"/>
    <col min="5906" max="5906" width="41.140625" style="6" customWidth="1"/>
    <col min="5907" max="5907" width="13.7109375" style="6" customWidth="1"/>
    <col min="5908" max="5912" width="11.421875" style="6" customWidth="1"/>
    <col min="5913" max="5913" width="10.421875" style="6" customWidth="1"/>
    <col min="5914" max="6148" width="11.421875" style="6" customWidth="1"/>
    <col min="6149" max="6149" width="4.7109375" style="6" customWidth="1"/>
    <col min="6150" max="6150" width="5.8515625" style="6" customWidth="1"/>
    <col min="6151" max="6151" width="6.28125" style="6" customWidth="1"/>
    <col min="6152" max="6152" width="19.7109375" style="6" customWidth="1"/>
    <col min="6153" max="6153" width="16.28125" style="6" customWidth="1"/>
    <col min="6154" max="6154" width="11.140625" style="6" customWidth="1"/>
    <col min="6155" max="6157" width="10.8515625" style="6" hidden="1" customWidth="1"/>
    <col min="6158" max="6158" width="11.140625" style="6" customWidth="1"/>
    <col min="6159" max="6159" width="11.421875" style="6" customWidth="1"/>
    <col min="6160" max="6160" width="13.57421875" style="6" customWidth="1"/>
    <col min="6161" max="6161" width="11.421875" style="6" customWidth="1"/>
    <col min="6162" max="6162" width="41.140625" style="6" customWidth="1"/>
    <col min="6163" max="6163" width="13.7109375" style="6" customWidth="1"/>
    <col min="6164" max="6168" width="11.421875" style="6" customWidth="1"/>
    <col min="6169" max="6169" width="10.421875" style="6" customWidth="1"/>
    <col min="6170" max="6404" width="11.421875" style="6" customWidth="1"/>
    <col min="6405" max="6405" width="4.7109375" style="6" customWidth="1"/>
    <col min="6406" max="6406" width="5.8515625" style="6" customWidth="1"/>
    <col min="6407" max="6407" width="6.28125" style="6" customWidth="1"/>
    <col min="6408" max="6408" width="19.7109375" style="6" customWidth="1"/>
    <col min="6409" max="6409" width="16.28125" style="6" customWidth="1"/>
    <col min="6410" max="6410" width="11.140625" style="6" customWidth="1"/>
    <col min="6411" max="6413" width="10.8515625" style="6" hidden="1" customWidth="1"/>
    <col min="6414" max="6414" width="11.140625" style="6" customWidth="1"/>
    <col min="6415" max="6415" width="11.421875" style="6" customWidth="1"/>
    <col min="6416" max="6416" width="13.57421875" style="6" customWidth="1"/>
    <col min="6417" max="6417" width="11.421875" style="6" customWidth="1"/>
    <col min="6418" max="6418" width="41.140625" style="6" customWidth="1"/>
    <col min="6419" max="6419" width="13.7109375" style="6" customWidth="1"/>
    <col min="6420" max="6424" width="11.421875" style="6" customWidth="1"/>
    <col min="6425" max="6425" width="10.421875" style="6" customWidth="1"/>
    <col min="6426" max="6660" width="11.421875" style="6" customWidth="1"/>
    <col min="6661" max="6661" width="4.7109375" style="6" customWidth="1"/>
    <col min="6662" max="6662" width="5.8515625" style="6" customWidth="1"/>
    <col min="6663" max="6663" width="6.28125" style="6" customWidth="1"/>
    <col min="6664" max="6664" width="19.7109375" style="6" customWidth="1"/>
    <col min="6665" max="6665" width="16.28125" style="6" customWidth="1"/>
    <col min="6666" max="6666" width="11.140625" style="6" customWidth="1"/>
    <col min="6667" max="6669" width="10.8515625" style="6" hidden="1" customWidth="1"/>
    <col min="6670" max="6670" width="11.140625" style="6" customWidth="1"/>
    <col min="6671" max="6671" width="11.421875" style="6" customWidth="1"/>
    <col min="6672" max="6672" width="13.57421875" style="6" customWidth="1"/>
    <col min="6673" max="6673" width="11.421875" style="6" customWidth="1"/>
    <col min="6674" max="6674" width="41.140625" style="6" customWidth="1"/>
    <col min="6675" max="6675" width="13.7109375" style="6" customWidth="1"/>
    <col min="6676" max="6680" width="11.421875" style="6" customWidth="1"/>
    <col min="6681" max="6681" width="10.421875" style="6" customWidth="1"/>
    <col min="6682" max="6916" width="11.421875" style="6" customWidth="1"/>
    <col min="6917" max="6917" width="4.7109375" style="6" customWidth="1"/>
    <col min="6918" max="6918" width="5.8515625" style="6" customWidth="1"/>
    <col min="6919" max="6919" width="6.28125" style="6" customWidth="1"/>
    <col min="6920" max="6920" width="19.7109375" style="6" customWidth="1"/>
    <col min="6921" max="6921" width="16.28125" style="6" customWidth="1"/>
    <col min="6922" max="6922" width="11.140625" style="6" customWidth="1"/>
    <col min="6923" max="6925" width="10.8515625" style="6" hidden="1" customWidth="1"/>
    <col min="6926" max="6926" width="11.140625" style="6" customWidth="1"/>
    <col min="6927" max="6927" width="11.421875" style="6" customWidth="1"/>
    <col min="6928" max="6928" width="13.57421875" style="6" customWidth="1"/>
    <col min="6929" max="6929" width="11.421875" style="6" customWidth="1"/>
    <col min="6930" max="6930" width="41.140625" style="6" customWidth="1"/>
    <col min="6931" max="6931" width="13.7109375" style="6" customWidth="1"/>
    <col min="6932" max="6936" width="11.421875" style="6" customWidth="1"/>
    <col min="6937" max="6937" width="10.421875" style="6" customWidth="1"/>
    <col min="6938" max="7172" width="11.421875" style="6" customWidth="1"/>
    <col min="7173" max="7173" width="4.7109375" style="6" customWidth="1"/>
    <col min="7174" max="7174" width="5.8515625" style="6" customWidth="1"/>
    <col min="7175" max="7175" width="6.28125" style="6" customWidth="1"/>
    <col min="7176" max="7176" width="19.7109375" style="6" customWidth="1"/>
    <col min="7177" max="7177" width="16.28125" style="6" customWidth="1"/>
    <col min="7178" max="7178" width="11.140625" style="6" customWidth="1"/>
    <col min="7179" max="7181" width="10.8515625" style="6" hidden="1" customWidth="1"/>
    <col min="7182" max="7182" width="11.140625" style="6" customWidth="1"/>
    <col min="7183" max="7183" width="11.421875" style="6" customWidth="1"/>
    <col min="7184" max="7184" width="13.57421875" style="6" customWidth="1"/>
    <col min="7185" max="7185" width="11.421875" style="6" customWidth="1"/>
    <col min="7186" max="7186" width="41.140625" style="6" customWidth="1"/>
    <col min="7187" max="7187" width="13.7109375" style="6" customWidth="1"/>
    <col min="7188" max="7192" width="11.421875" style="6" customWidth="1"/>
    <col min="7193" max="7193" width="10.421875" style="6" customWidth="1"/>
    <col min="7194" max="7428" width="11.421875" style="6" customWidth="1"/>
    <col min="7429" max="7429" width="4.7109375" style="6" customWidth="1"/>
    <col min="7430" max="7430" width="5.8515625" style="6" customWidth="1"/>
    <col min="7431" max="7431" width="6.28125" style="6" customWidth="1"/>
    <col min="7432" max="7432" width="19.7109375" style="6" customWidth="1"/>
    <col min="7433" max="7433" width="16.28125" style="6" customWidth="1"/>
    <col min="7434" max="7434" width="11.140625" style="6" customWidth="1"/>
    <col min="7435" max="7437" width="10.8515625" style="6" hidden="1" customWidth="1"/>
    <col min="7438" max="7438" width="11.140625" style="6" customWidth="1"/>
    <col min="7439" max="7439" width="11.421875" style="6" customWidth="1"/>
    <col min="7440" max="7440" width="13.57421875" style="6" customWidth="1"/>
    <col min="7441" max="7441" width="11.421875" style="6" customWidth="1"/>
    <col min="7442" max="7442" width="41.140625" style="6" customWidth="1"/>
    <col min="7443" max="7443" width="13.7109375" style="6" customWidth="1"/>
    <col min="7444" max="7448" width="11.421875" style="6" customWidth="1"/>
    <col min="7449" max="7449" width="10.421875" style="6" customWidth="1"/>
    <col min="7450" max="7684" width="11.421875" style="6" customWidth="1"/>
    <col min="7685" max="7685" width="4.7109375" style="6" customWidth="1"/>
    <col min="7686" max="7686" width="5.8515625" style="6" customWidth="1"/>
    <col min="7687" max="7687" width="6.28125" style="6" customWidth="1"/>
    <col min="7688" max="7688" width="19.7109375" style="6" customWidth="1"/>
    <col min="7689" max="7689" width="16.28125" style="6" customWidth="1"/>
    <col min="7690" max="7690" width="11.140625" style="6" customWidth="1"/>
    <col min="7691" max="7693" width="10.8515625" style="6" hidden="1" customWidth="1"/>
    <col min="7694" max="7694" width="11.140625" style="6" customWidth="1"/>
    <col min="7695" max="7695" width="11.421875" style="6" customWidth="1"/>
    <col min="7696" max="7696" width="13.57421875" style="6" customWidth="1"/>
    <col min="7697" max="7697" width="11.421875" style="6" customWidth="1"/>
    <col min="7698" max="7698" width="41.140625" style="6" customWidth="1"/>
    <col min="7699" max="7699" width="13.7109375" style="6" customWidth="1"/>
    <col min="7700" max="7704" width="11.421875" style="6" customWidth="1"/>
    <col min="7705" max="7705" width="10.421875" style="6" customWidth="1"/>
    <col min="7706" max="7940" width="11.421875" style="6" customWidth="1"/>
    <col min="7941" max="7941" width="4.7109375" style="6" customWidth="1"/>
    <col min="7942" max="7942" width="5.8515625" style="6" customWidth="1"/>
    <col min="7943" max="7943" width="6.28125" style="6" customWidth="1"/>
    <col min="7944" max="7944" width="19.7109375" style="6" customWidth="1"/>
    <col min="7945" max="7945" width="16.28125" style="6" customWidth="1"/>
    <col min="7946" max="7946" width="11.140625" style="6" customWidth="1"/>
    <col min="7947" max="7949" width="10.8515625" style="6" hidden="1" customWidth="1"/>
    <col min="7950" max="7950" width="11.140625" style="6" customWidth="1"/>
    <col min="7951" max="7951" width="11.421875" style="6" customWidth="1"/>
    <col min="7952" max="7952" width="13.57421875" style="6" customWidth="1"/>
    <col min="7953" max="7953" width="11.421875" style="6" customWidth="1"/>
    <col min="7954" max="7954" width="41.140625" style="6" customWidth="1"/>
    <col min="7955" max="7955" width="13.7109375" style="6" customWidth="1"/>
    <col min="7956" max="7960" width="11.421875" style="6" customWidth="1"/>
    <col min="7961" max="7961" width="10.421875" style="6" customWidth="1"/>
    <col min="7962" max="8196" width="11.421875" style="6" customWidth="1"/>
    <col min="8197" max="8197" width="4.7109375" style="6" customWidth="1"/>
    <col min="8198" max="8198" width="5.8515625" style="6" customWidth="1"/>
    <col min="8199" max="8199" width="6.28125" style="6" customWidth="1"/>
    <col min="8200" max="8200" width="19.7109375" style="6" customWidth="1"/>
    <col min="8201" max="8201" width="16.28125" style="6" customWidth="1"/>
    <col min="8202" max="8202" width="11.140625" style="6" customWidth="1"/>
    <col min="8203" max="8205" width="10.8515625" style="6" hidden="1" customWidth="1"/>
    <col min="8206" max="8206" width="11.140625" style="6" customWidth="1"/>
    <col min="8207" max="8207" width="11.421875" style="6" customWidth="1"/>
    <col min="8208" max="8208" width="13.57421875" style="6" customWidth="1"/>
    <col min="8209" max="8209" width="11.421875" style="6" customWidth="1"/>
    <col min="8210" max="8210" width="41.140625" style="6" customWidth="1"/>
    <col min="8211" max="8211" width="13.7109375" style="6" customWidth="1"/>
    <col min="8212" max="8216" width="11.421875" style="6" customWidth="1"/>
    <col min="8217" max="8217" width="10.421875" style="6" customWidth="1"/>
    <col min="8218" max="8452" width="11.421875" style="6" customWidth="1"/>
    <col min="8453" max="8453" width="4.7109375" style="6" customWidth="1"/>
    <col min="8454" max="8454" width="5.8515625" style="6" customWidth="1"/>
    <col min="8455" max="8455" width="6.28125" style="6" customWidth="1"/>
    <col min="8456" max="8456" width="19.7109375" style="6" customWidth="1"/>
    <col min="8457" max="8457" width="16.28125" style="6" customWidth="1"/>
    <col min="8458" max="8458" width="11.140625" style="6" customWidth="1"/>
    <col min="8459" max="8461" width="10.8515625" style="6" hidden="1" customWidth="1"/>
    <col min="8462" max="8462" width="11.140625" style="6" customWidth="1"/>
    <col min="8463" max="8463" width="11.421875" style="6" customWidth="1"/>
    <col min="8464" max="8464" width="13.57421875" style="6" customWidth="1"/>
    <col min="8465" max="8465" width="11.421875" style="6" customWidth="1"/>
    <col min="8466" max="8466" width="41.140625" style="6" customWidth="1"/>
    <col min="8467" max="8467" width="13.7109375" style="6" customWidth="1"/>
    <col min="8468" max="8472" width="11.421875" style="6" customWidth="1"/>
    <col min="8473" max="8473" width="10.421875" style="6" customWidth="1"/>
    <col min="8474" max="8708" width="11.421875" style="6" customWidth="1"/>
    <col min="8709" max="8709" width="4.7109375" style="6" customWidth="1"/>
    <col min="8710" max="8710" width="5.8515625" style="6" customWidth="1"/>
    <col min="8711" max="8711" width="6.28125" style="6" customWidth="1"/>
    <col min="8712" max="8712" width="19.7109375" style="6" customWidth="1"/>
    <col min="8713" max="8713" width="16.28125" style="6" customWidth="1"/>
    <col min="8714" max="8714" width="11.140625" style="6" customWidth="1"/>
    <col min="8715" max="8717" width="10.8515625" style="6" hidden="1" customWidth="1"/>
    <col min="8718" max="8718" width="11.140625" style="6" customWidth="1"/>
    <col min="8719" max="8719" width="11.421875" style="6" customWidth="1"/>
    <col min="8720" max="8720" width="13.57421875" style="6" customWidth="1"/>
    <col min="8721" max="8721" width="11.421875" style="6" customWidth="1"/>
    <col min="8722" max="8722" width="41.140625" style="6" customWidth="1"/>
    <col min="8723" max="8723" width="13.7109375" style="6" customWidth="1"/>
    <col min="8724" max="8728" width="11.421875" style="6" customWidth="1"/>
    <col min="8729" max="8729" width="10.421875" style="6" customWidth="1"/>
    <col min="8730" max="8964" width="11.421875" style="6" customWidth="1"/>
    <col min="8965" max="8965" width="4.7109375" style="6" customWidth="1"/>
    <col min="8966" max="8966" width="5.8515625" style="6" customWidth="1"/>
    <col min="8967" max="8967" width="6.28125" style="6" customWidth="1"/>
    <col min="8968" max="8968" width="19.7109375" style="6" customWidth="1"/>
    <col min="8969" max="8969" width="16.28125" style="6" customWidth="1"/>
    <col min="8970" max="8970" width="11.140625" style="6" customWidth="1"/>
    <col min="8971" max="8973" width="10.8515625" style="6" hidden="1" customWidth="1"/>
    <col min="8974" max="8974" width="11.140625" style="6" customWidth="1"/>
    <col min="8975" max="8975" width="11.421875" style="6" customWidth="1"/>
    <col min="8976" max="8976" width="13.57421875" style="6" customWidth="1"/>
    <col min="8977" max="8977" width="11.421875" style="6" customWidth="1"/>
    <col min="8978" max="8978" width="41.140625" style="6" customWidth="1"/>
    <col min="8979" max="8979" width="13.7109375" style="6" customWidth="1"/>
    <col min="8980" max="8984" width="11.421875" style="6" customWidth="1"/>
    <col min="8985" max="8985" width="10.421875" style="6" customWidth="1"/>
    <col min="8986" max="9220" width="11.421875" style="6" customWidth="1"/>
    <col min="9221" max="9221" width="4.7109375" style="6" customWidth="1"/>
    <col min="9222" max="9222" width="5.8515625" style="6" customWidth="1"/>
    <col min="9223" max="9223" width="6.28125" style="6" customWidth="1"/>
    <col min="9224" max="9224" width="19.7109375" style="6" customWidth="1"/>
    <col min="9225" max="9225" width="16.28125" style="6" customWidth="1"/>
    <col min="9226" max="9226" width="11.140625" style="6" customWidth="1"/>
    <col min="9227" max="9229" width="10.8515625" style="6" hidden="1" customWidth="1"/>
    <col min="9230" max="9230" width="11.140625" style="6" customWidth="1"/>
    <col min="9231" max="9231" width="11.421875" style="6" customWidth="1"/>
    <col min="9232" max="9232" width="13.57421875" style="6" customWidth="1"/>
    <col min="9233" max="9233" width="11.421875" style="6" customWidth="1"/>
    <col min="9234" max="9234" width="41.140625" style="6" customWidth="1"/>
    <col min="9235" max="9235" width="13.7109375" style="6" customWidth="1"/>
    <col min="9236" max="9240" width="11.421875" style="6" customWidth="1"/>
    <col min="9241" max="9241" width="10.421875" style="6" customWidth="1"/>
    <col min="9242" max="9476" width="11.421875" style="6" customWidth="1"/>
    <col min="9477" max="9477" width="4.7109375" style="6" customWidth="1"/>
    <col min="9478" max="9478" width="5.8515625" style="6" customWidth="1"/>
    <col min="9479" max="9479" width="6.28125" style="6" customWidth="1"/>
    <col min="9480" max="9480" width="19.7109375" style="6" customWidth="1"/>
    <col min="9481" max="9481" width="16.28125" style="6" customWidth="1"/>
    <col min="9482" max="9482" width="11.140625" style="6" customWidth="1"/>
    <col min="9483" max="9485" width="10.8515625" style="6" hidden="1" customWidth="1"/>
    <col min="9486" max="9486" width="11.140625" style="6" customWidth="1"/>
    <col min="9487" max="9487" width="11.421875" style="6" customWidth="1"/>
    <col min="9488" max="9488" width="13.57421875" style="6" customWidth="1"/>
    <col min="9489" max="9489" width="11.421875" style="6" customWidth="1"/>
    <col min="9490" max="9490" width="41.140625" style="6" customWidth="1"/>
    <col min="9491" max="9491" width="13.7109375" style="6" customWidth="1"/>
    <col min="9492" max="9496" width="11.421875" style="6" customWidth="1"/>
    <col min="9497" max="9497" width="10.421875" style="6" customWidth="1"/>
    <col min="9498" max="9732" width="11.421875" style="6" customWidth="1"/>
    <col min="9733" max="9733" width="4.7109375" style="6" customWidth="1"/>
    <col min="9734" max="9734" width="5.8515625" style="6" customWidth="1"/>
    <col min="9735" max="9735" width="6.28125" style="6" customWidth="1"/>
    <col min="9736" max="9736" width="19.7109375" style="6" customWidth="1"/>
    <col min="9737" max="9737" width="16.28125" style="6" customWidth="1"/>
    <col min="9738" max="9738" width="11.140625" style="6" customWidth="1"/>
    <col min="9739" max="9741" width="10.8515625" style="6" hidden="1" customWidth="1"/>
    <col min="9742" max="9742" width="11.140625" style="6" customWidth="1"/>
    <col min="9743" max="9743" width="11.421875" style="6" customWidth="1"/>
    <col min="9744" max="9744" width="13.57421875" style="6" customWidth="1"/>
    <col min="9745" max="9745" width="11.421875" style="6" customWidth="1"/>
    <col min="9746" max="9746" width="41.140625" style="6" customWidth="1"/>
    <col min="9747" max="9747" width="13.7109375" style="6" customWidth="1"/>
    <col min="9748" max="9752" width="11.421875" style="6" customWidth="1"/>
    <col min="9753" max="9753" width="10.421875" style="6" customWidth="1"/>
    <col min="9754" max="9988" width="11.421875" style="6" customWidth="1"/>
    <col min="9989" max="9989" width="4.7109375" style="6" customWidth="1"/>
    <col min="9990" max="9990" width="5.8515625" style="6" customWidth="1"/>
    <col min="9991" max="9991" width="6.28125" style="6" customWidth="1"/>
    <col min="9992" max="9992" width="19.7109375" style="6" customWidth="1"/>
    <col min="9993" max="9993" width="16.28125" style="6" customWidth="1"/>
    <col min="9994" max="9994" width="11.140625" style="6" customWidth="1"/>
    <col min="9995" max="9997" width="10.8515625" style="6" hidden="1" customWidth="1"/>
    <col min="9998" max="9998" width="11.140625" style="6" customWidth="1"/>
    <col min="9999" max="9999" width="11.421875" style="6" customWidth="1"/>
    <col min="10000" max="10000" width="13.57421875" style="6" customWidth="1"/>
    <col min="10001" max="10001" width="11.421875" style="6" customWidth="1"/>
    <col min="10002" max="10002" width="41.140625" style="6" customWidth="1"/>
    <col min="10003" max="10003" width="13.7109375" style="6" customWidth="1"/>
    <col min="10004" max="10008" width="11.421875" style="6" customWidth="1"/>
    <col min="10009" max="10009" width="10.421875" style="6" customWidth="1"/>
    <col min="10010" max="10244" width="11.421875" style="6" customWidth="1"/>
    <col min="10245" max="10245" width="4.7109375" style="6" customWidth="1"/>
    <col min="10246" max="10246" width="5.8515625" style="6" customWidth="1"/>
    <col min="10247" max="10247" width="6.28125" style="6" customWidth="1"/>
    <col min="10248" max="10248" width="19.7109375" style="6" customWidth="1"/>
    <col min="10249" max="10249" width="16.28125" style="6" customWidth="1"/>
    <col min="10250" max="10250" width="11.140625" style="6" customWidth="1"/>
    <col min="10251" max="10253" width="10.8515625" style="6" hidden="1" customWidth="1"/>
    <col min="10254" max="10254" width="11.140625" style="6" customWidth="1"/>
    <col min="10255" max="10255" width="11.421875" style="6" customWidth="1"/>
    <col min="10256" max="10256" width="13.57421875" style="6" customWidth="1"/>
    <col min="10257" max="10257" width="11.421875" style="6" customWidth="1"/>
    <col min="10258" max="10258" width="41.140625" style="6" customWidth="1"/>
    <col min="10259" max="10259" width="13.7109375" style="6" customWidth="1"/>
    <col min="10260" max="10264" width="11.421875" style="6" customWidth="1"/>
    <col min="10265" max="10265" width="10.421875" style="6" customWidth="1"/>
    <col min="10266" max="10500" width="11.421875" style="6" customWidth="1"/>
    <col min="10501" max="10501" width="4.7109375" style="6" customWidth="1"/>
    <col min="10502" max="10502" width="5.8515625" style="6" customWidth="1"/>
    <col min="10503" max="10503" width="6.28125" style="6" customWidth="1"/>
    <col min="10504" max="10504" width="19.7109375" style="6" customWidth="1"/>
    <col min="10505" max="10505" width="16.28125" style="6" customWidth="1"/>
    <col min="10506" max="10506" width="11.140625" style="6" customWidth="1"/>
    <col min="10507" max="10509" width="10.8515625" style="6" hidden="1" customWidth="1"/>
    <col min="10510" max="10510" width="11.140625" style="6" customWidth="1"/>
    <col min="10511" max="10511" width="11.421875" style="6" customWidth="1"/>
    <col min="10512" max="10512" width="13.57421875" style="6" customWidth="1"/>
    <col min="10513" max="10513" width="11.421875" style="6" customWidth="1"/>
    <col min="10514" max="10514" width="41.140625" style="6" customWidth="1"/>
    <col min="10515" max="10515" width="13.7109375" style="6" customWidth="1"/>
    <col min="10516" max="10520" width="11.421875" style="6" customWidth="1"/>
    <col min="10521" max="10521" width="10.421875" style="6" customWidth="1"/>
    <col min="10522" max="10756" width="11.421875" style="6" customWidth="1"/>
    <col min="10757" max="10757" width="4.7109375" style="6" customWidth="1"/>
    <col min="10758" max="10758" width="5.8515625" style="6" customWidth="1"/>
    <col min="10759" max="10759" width="6.28125" style="6" customWidth="1"/>
    <col min="10760" max="10760" width="19.7109375" style="6" customWidth="1"/>
    <col min="10761" max="10761" width="16.28125" style="6" customWidth="1"/>
    <col min="10762" max="10762" width="11.140625" style="6" customWidth="1"/>
    <col min="10763" max="10765" width="10.8515625" style="6" hidden="1" customWidth="1"/>
    <col min="10766" max="10766" width="11.140625" style="6" customWidth="1"/>
    <col min="10767" max="10767" width="11.421875" style="6" customWidth="1"/>
    <col min="10768" max="10768" width="13.57421875" style="6" customWidth="1"/>
    <col min="10769" max="10769" width="11.421875" style="6" customWidth="1"/>
    <col min="10770" max="10770" width="41.140625" style="6" customWidth="1"/>
    <col min="10771" max="10771" width="13.7109375" style="6" customWidth="1"/>
    <col min="10772" max="10776" width="11.421875" style="6" customWidth="1"/>
    <col min="10777" max="10777" width="10.421875" style="6" customWidth="1"/>
    <col min="10778" max="11012" width="11.421875" style="6" customWidth="1"/>
    <col min="11013" max="11013" width="4.7109375" style="6" customWidth="1"/>
    <col min="11014" max="11014" width="5.8515625" style="6" customWidth="1"/>
    <col min="11015" max="11015" width="6.28125" style="6" customWidth="1"/>
    <col min="11016" max="11016" width="19.7109375" style="6" customWidth="1"/>
    <col min="11017" max="11017" width="16.28125" style="6" customWidth="1"/>
    <col min="11018" max="11018" width="11.140625" style="6" customWidth="1"/>
    <col min="11019" max="11021" width="10.8515625" style="6" hidden="1" customWidth="1"/>
    <col min="11022" max="11022" width="11.140625" style="6" customWidth="1"/>
    <col min="11023" max="11023" width="11.421875" style="6" customWidth="1"/>
    <col min="11024" max="11024" width="13.57421875" style="6" customWidth="1"/>
    <col min="11025" max="11025" width="11.421875" style="6" customWidth="1"/>
    <col min="11026" max="11026" width="41.140625" style="6" customWidth="1"/>
    <col min="11027" max="11027" width="13.7109375" style="6" customWidth="1"/>
    <col min="11028" max="11032" width="11.421875" style="6" customWidth="1"/>
    <col min="11033" max="11033" width="10.421875" style="6" customWidth="1"/>
    <col min="11034" max="11268" width="11.421875" style="6" customWidth="1"/>
    <col min="11269" max="11269" width="4.7109375" style="6" customWidth="1"/>
    <col min="11270" max="11270" width="5.8515625" style="6" customWidth="1"/>
    <col min="11271" max="11271" width="6.28125" style="6" customWidth="1"/>
    <col min="11272" max="11272" width="19.7109375" style="6" customWidth="1"/>
    <col min="11273" max="11273" width="16.28125" style="6" customWidth="1"/>
    <col min="11274" max="11274" width="11.140625" style="6" customWidth="1"/>
    <col min="11275" max="11277" width="10.8515625" style="6" hidden="1" customWidth="1"/>
    <col min="11278" max="11278" width="11.140625" style="6" customWidth="1"/>
    <col min="11279" max="11279" width="11.421875" style="6" customWidth="1"/>
    <col min="11280" max="11280" width="13.57421875" style="6" customWidth="1"/>
    <col min="11281" max="11281" width="11.421875" style="6" customWidth="1"/>
    <col min="11282" max="11282" width="41.140625" style="6" customWidth="1"/>
    <col min="11283" max="11283" width="13.7109375" style="6" customWidth="1"/>
    <col min="11284" max="11288" width="11.421875" style="6" customWidth="1"/>
    <col min="11289" max="11289" width="10.421875" style="6" customWidth="1"/>
    <col min="11290" max="11524" width="11.421875" style="6" customWidth="1"/>
    <col min="11525" max="11525" width="4.7109375" style="6" customWidth="1"/>
    <col min="11526" max="11526" width="5.8515625" style="6" customWidth="1"/>
    <col min="11527" max="11527" width="6.28125" style="6" customWidth="1"/>
    <col min="11528" max="11528" width="19.7109375" style="6" customWidth="1"/>
    <col min="11529" max="11529" width="16.28125" style="6" customWidth="1"/>
    <col min="11530" max="11530" width="11.140625" style="6" customWidth="1"/>
    <col min="11531" max="11533" width="10.8515625" style="6" hidden="1" customWidth="1"/>
    <col min="11534" max="11534" width="11.140625" style="6" customWidth="1"/>
    <col min="11535" max="11535" width="11.421875" style="6" customWidth="1"/>
    <col min="11536" max="11536" width="13.57421875" style="6" customWidth="1"/>
    <col min="11537" max="11537" width="11.421875" style="6" customWidth="1"/>
    <col min="11538" max="11538" width="41.140625" style="6" customWidth="1"/>
    <col min="11539" max="11539" width="13.7109375" style="6" customWidth="1"/>
    <col min="11540" max="11544" width="11.421875" style="6" customWidth="1"/>
    <col min="11545" max="11545" width="10.421875" style="6" customWidth="1"/>
    <col min="11546" max="11780" width="11.421875" style="6" customWidth="1"/>
    <col min="11781" max="11781" width="4.7109375" style="6" customWidth="1"/>
    <col min="11782" max="11782" width="5.8515625" style="6" customWidth="1"/>
    <col min="11783" max="11783" width="6.28125" style="6" customWidth="1"/>
    <col min="11784" max="11784" width="19.7109375" style="6" customWidth="1"/>
    <col min="11785" max="11785" width="16.28125" style="6" customWidth="1"/>
    <col min="11786" max="11786" width="11.140625" style="6" customWidth="1"/>
    <col min="11787" max="11789" width="10.8515625" style="6" hidden="1" customWidth="1"/>
    <col min="11790" max="11790" width="11.140625" style="6" customWidth="1"/>
    <col min="11791" max="11791" width="11.421875" style="6" customWidth="1"/>
    <col min="11792" max="11792" width="13.57421875" style="6" customWidth="1"/>
    <col min="11793" max="11793" width="11.421875" style="6" customWidth="1"/>
    <col min="11794" max="11794" width="41.140625" style="6" customWidth="1"/>
    <col min="11795" max="11795" width="13.7109375" style="6" customWidth="1"/>
    <col min="11796" max="11800" width="11.421875" style="6" customWidth="1"/>
    <col min="11801" max="11801" width="10.421875" style="6" customWidth="1"/>
    <col min="11802" max="12036" width="11.421875" style="6" customWidth="1"/>
    <col min="12037" max="12037" width="4.7109375" style="6" customWidth="1"/>
    <col min="12038" max="12038" width="5.8515625" style="6" customWidth="1"/>
    <col min="12039" max="12039" width="6.28125" style="6" customWidth="1"/>
    <col min="12040" max="12040" width="19.7109375" style="6" customWidth="1"/>
    <col min="12041" max="12041" width="16.28125" style="6" customWidth="1"/>
    <col min="12042" max="12042" width="11.140625" style="6" customWidth="1"/>
    <col min="12043" max="12045" width="10.8515625" style="6" hidden="1" customWidth="1"/>
    <col min="12046" max="12046" width="11.140625" style="6" customWidth="1"/>
    <col min="12047" max="12047" width="11.421875" style="6" customWidth="1"/>
    <col min="12048" max="12048" width="13.57421875" style="6" customWidth="1"/>
    <col min="12049" max="12049" width="11.421875" style="6" customWidth="1"/>
    <col min="12050" max="12050" width="41.140625" style="6" customWidth="1"/>
    <col min="12051" max="12051" width="13.7109375" style="6" customWidth="1"/>
    <col min="12052" max="12056" width="11.421875" style="6" customWidth="1"/>
    <col min="12057" max="12057" width="10.421875" style="6" customWidth="1"/>
    <col min="12058" max="12292" width="11.421875" style="6" customWidth="1"/>
    <col min="12293" max="12293" width="4.7109375" style="6" customWidth="1"/>
    <col min="12294" max="12294" width="5.8515625" style="6" customWidth="1"/>
    <col min="12295" max="12295" width="6.28125" style="6" customWidth="1"/>
    <col min="12296" max="12296" width="19.7109375" style="6" customWidth="1"/>
    <col min="12297" max="12297" width="16.28125" style="6" customWidth="1"/>
    <col min="12298" max="12298" width="11.140625" style="6" customWidth="1"/>
    <col min="12299" max="12301" width="10.8515625" style="6" hidden="1" customWidth="1"/>
    <col min="12302" max="12302" width="11.140625" style="6" customWidth="1"/>
    <col min="12303" max="12303" width="11.421875" style="6" customWidth="1"/>
    <col min="12304" max="12304" width="13.57421875" style="6" customWidth="1"/>
    <col min="12305" max="12305" width="11.421875" style="6" customWidth="1"/>
    <col min="12306" max="12306" width="41.140625" style="6" customWidth="1"/>
    <col min="12307" max="12307" width="13.7109375" style="6" customWidth="1"/>
    <col min="12308" max="12312" width="11.421875" style="6" customWidth="1"/>
    <col min="12313" max="12313" width="10.421875" style="6" customWidth="1"/>
    <col min="12314" max="12548" width="11.421875" style="6" customWidth="1"/>
    <col min="12549" max="12549" width="4.7109375" style="6" customWidth="1"/>
    <col min="12550" max="12550" width="5.8515625" style="6" customWidth="1"/>
    <col min="12551" max="12551" width="6.28125" style="6" customWidth="1"/>
    <col min="12552" max="12552" width="19.7109375" style="6" customWidth="1"/>
    <col min="12553" max="12553" width="16.28125" style="6" customWidth="1"/>
    <col min="12554" max="12554" width="11.140625" style="6" customWidth="1"/>
    <col min="12555" max="12557" width="10.8515625" style="6" hidden="1" customWidth="1"/>
    <col min="12558" max="12558" width="11.140625" style="6" customWidth="1"/>
    <col min="12559" max="12559" width="11.421875" style="6" customWidth="1"/>
    <col min="12560" max="12560" width="13.57421875" style="6" customWidth="1"/>
    <col min="12561" max="12561" width="11.421875" style="6" customWidth="1"/>
    <col min="12562" max="12562" width="41.140625" style="6" customWidth="1"/>
    <col min="12563" max="12563" width="13.7109375" style="6" customWidth="1"/>
    <col min="12564" max="12568" width="11.421875" style="6" customWidth="1"/>
    <col min="12569" max="12569" width="10.421875" style="6" customWidth="1"/>
    <col min="12570" max="12804" width="11.421875" style="6" customWidth="1"/>
    <col min="12805" max="12805" width="4.7109375" style="6" customWidth="1"/>
    <col min="12806" max="12806" width="5.8515625" style="6" customWidth="1"/>
    <col min="12807" max="12807" width="6.28125" style="6" customWidth="1"/>
    <col min="12808" max="12808" width="19.7109375" style="6" customWidth="1"/>
    <col min="12809" max="12809" width="16.28125" style="6" customWidth="1"/>
    <col min="12810" max="12810" width="11.140625" style="6" customWidth="1"/>
    <col min="12811" max="12813" width="10.8515625" style="6" hidden="1" customWidth="1"/>
    <col min="12814" max="12814" width="11.140625" style="6" customWidth="1"/>
    <col min="12815" max="12815" width="11.421875" style="6" customWidth="1"/>
    <col min="12816" max="12816" width="13.57421875" style="6" customWidth="1"/>
    <col min="12817" max="12817" width="11.421875" style="6" customWidth="1"/>
    <col min="12818" max="12818" width="41.140625" style="6" customWidth="1"/>
    <col min="12819" max="12819" width="13.7109375" style="6" customWidth="1"/>
    <col min="12820" max="12824" width="11.421875" style="6" customWidth="1"/>
    <col min="12825" max="12825" width="10.421875" style="6" customWidth="1"/>
    <col min="12826" max="13060" width="11.421875" style="6" customWidth="1"/>
    <col min="13061" max="13061" width="4.7109375" style="6" customWidth="1"/>
    <col min="13062" max="13062" width="5.8515625" style="6" customWidth="1"/>
    <col min="13063" max="13063" width="6.28125" style="6" customWidth="1"/>
    <col min="13064" max="13064" width="19.7109375" style="6" customWidth="1"/>
    <col min="13065" max="13065" width="16.28125" style="6" customWidth="1"/>
    <col min="13066" max="13066" width="11.140625" style="6" customWidth="1"/>
    <col min="13067" max="13069" width="10.8515625" style="6" hidden="1" customWidth="1"/>
    <col min="13070" max="13070" width="11.140625" style="6" customWidth="1"/>
    <col min="13071" max="13071" width="11.421875" style="6" customWidth="1"/>
    <col min="13072" max="13072" width="13.57421875" style="6" customWidth="1"/>
    <col min="13073" max="13073" width="11.421875" style="6" customWidth="1"/>
    <col min="13074" max="13074" width="41.140625" style="6" customWidth="1"/>
    <col min="13075" max="13075" width="13.7109375" style="6" customWidth="1"/>
    <col min="13076" max="13080" width="11.421875" style="6" customWidth="1"/>
    <col min="13081" max="13081" width="10.421875" style="6" customWidth="1"/>
    <col min="13082" max="13316" width="11.421875" style="6" customWidth="1"/>
    <col min="13317" max="13317" width="4.7109375" style="6" customWidth="1"/>
    <col min="13318" max="13318" width="5.8515625" style="6" customWidth="1"/>
    <col min="13319" max="13319" width="6.28125" style="6" customWidth="1"/>
    <col min="13320" max="13320" width="19.7109375" style="6" customWidth="1"/>
    <col min="13321" max="13321" width="16.28125" style="6" customWidth="1"/>
    <col min="13322" max="13322" width="11.140625" style="6" customWidth="1"/>
    <col min="13323" max="13325" width="10.8515625" style="6" hidden="1" customWidth="1"/>
    <col min="13326" max="13326" width="11.140625" style="6" customWidth="1"/>
    <col min="13327" max="13327" width="11.421875" style="6" customWidth="1"/>
    <col min="13328" max="13328" width="13.57421875" style="6" customWidth="1"/>
    <col min="13329" max="13329" width="11.421875" style="6" customWidth="1"/>
    <col min="13330" max="13330" width="41.140625" style="6" customWidth="1"/>
    <col min="13331" max="13331" width="13.7109375" style="6" customWidth="1"/>
    <col min="13332" max="13336" width="11.421875" style="6" customWidth="1"/>
    <col min="13337" max="13337" width="10.421875" style="6" customWidth="1"/>
    <col min="13338" max="13572" width="11.421875" style="6" customWidth="1"/>
    <col min="13573" max="13573" width="4.7109375" style="6" customWidth="1"/>
    <col min="13574" max="13574" width="5.8515625" style="6" customWidth="1"/>
    <col min="13575" max="13575" width="6.28125" style="6" customWidth="1"/>
    <col min="13576" max="13576" width="19.7109375" style="6" customWidth="1"/>
    <col min="13577" max="13577" width="16.28125" style="6" customWidth="1"/>
    <col min="13578" max="13578" width="11.140625" style="6" customWidth="1"/>
    <col min="13579" max="13581" width="10.8515625" style="6" hidden="1" customWidth="1"/>
    <col min="13582" max="13582" width="11.140625" style="6" customWidth="1"/>
    <col min="13583" max="13583" width="11.421875" style="6" customWidth="1"/>
    <col min="13584" max="13584" width="13.57421875" style="6" customWidth="1"/>
    <col min="13585" max="13585" width="11.421875" style="6" customWidth="1"/>
    <col min="13586" max="13586" width="41.140625" style="6" customWidth="1"/>
    <col min="13587" max="13587" width="13.7109375" style="6" customWidth="1"/>
    <col min="13588" max="13592" width="11.421875" style="6" customWidth="1"/>
    <col min="13593" max="13593" width="10.421875" style="6" customWidth="1"/>
    <col min="13594" max="13828" width="11.421875" style="6" customWidth="1"/>
    <col min="13829" max="13829" width="4.7109375" style="6" customWidth="1"/>
    <col min="13830" max="13830" width="5.8515625" style="6" customWidth="1"/>
    <col min="13831" max="13831" width="6.28125" style="6" customWidth="1"/>
    <col min="13832" max="13832" width="19.7109375" style="6" customWidth="1"/>
    <col min="13833" max="13833" width="16.28125" style="6" customWidth="1"/>
    <col min="13834" max="13834" width="11.140625" style="6" customWidth="1"/>
    <col min="13835" max="13837" width="10.8515625" style="6" hidden="1" customWidth="1"/>
    <col min="13838" max="13838" width="11.140625" style="6" customWidth="1"/>
    <col min="13839" max="13839" width="11.421875" style="6" customWidth="1"/>
    <col min="13840" max="13840" width="13.57421875" style="6" customWidth="1"/>
    <col min="13841" max="13841" width="11.421875" style="6" customWidth="1"/>
    <col min="13842" max="13842" width="41.140625" style="6" customWidth="1"/>
    <col min="13843" max="13843" width="13.7109375" style="6" customWidth="1"/>
    <col min="13844" max="13848" width="11.421875" style="6" customWidth="1"/>
    <col min="13849" max="13849" width="10.421875" style="6" customWidth="1"/>
    <col min="13850" max="14084" width="11.421875" style="6" customWidth="1"/>
    <col min="14085" max="14085" width="4.7109375" style="6" customWidth="1"/>
    <col min="14086" max="14086" width="5.8515625" style="6" customWidth="1"/>
    <col min="14087" max="14087" width="6.28125" style="6" customWidth="1"/>
    <col min="14088" max="14088" width="19.7109375" style="6" customWidth="1"/>
    <col min="14089" max="14089" width="16.28125" style="6" customWidth="1"/>
    <col min="14090" max="14090" width="11.140625" style="6" customWidth="1"/>
    <col min="14091" max="14093" width="10.8515625" style="6" hidden="1" customWidth="1"/>
    <col min="14094" max="14094" width="11.140625" style="6" customWidth="1"/>
    <col min="14095" max="14095" width="11.421875" style="6" customWidth="1"/>
    <col min="14096" max="14096" width="13.57421875" style="6" customWidth="1"/>
    <col min="14097" max="14097" width="11.421875" style="6" customWidth="1"/>
    <col min="14098" max="14098" width="41.140625" style="6" customWidth="1"/>
    <col min="14099" max="14099" width="13.7109375" style="6" customWidth="1"/>
    <col min="14100" max="14104" width="11.421875" style="6" customWidth="1"/>
    <col min="14105" max="14105" width="10.421875" style="6" customWidth="1"/>
    <col min="14106" max="14340" width="11.421875" style="6" customWidth="1"/>
    <col min="14341" max="14341" width="4.7109375" style="6" customWidth="1"/>
    <col min="14342" max="14342" width="5.8515625" style="6" customWidth="1"/>
    <col min="14343" max="14343" width="6.28125" style="6" customWidth="1"/>
    <col min="14344" max="14344" width="19.7109375" style="6" customWidth="1"/>
    <col min="14345" max="14345" width="16.28125" style="6" customWidth="1"/>
    <col min="14346" max="14346" width="11.140625" style="6" customWidth="1"/>
    <col min="14347" max="14349" width="10.8515625" style="6" hidden="1" customWidth="1"/>
    <col min="14350" max="14350" width="11.140625" style="6" customWidth="1"/>
    <col min="14351" max="14351" width="11.421875" style="6" customWidth="1"/>
    <col min="14352" max="14352" width="13.57421875" style="6" customWidth="1"/>
    <col min="14353" max="14353" width="11.421875" style="6" customWidth="1"/>
    <col min="14354" max="14354" width="41.140625" style="6" customWidth="1"/>
    <col min="14355" max="14355" width="13.7109375" style="6" customWidth="1"/>
    <col min="14356" max="14360" width="11.421875" style="6" customWidth="1"/>
    <col min="14361" max="14361" width="10.421875" style="6" customWidth="1"/>
    <col min="14362" max="14596" width="11.421875" style="6" customWidth="1"/>
    <col min="14597" max="14597" width="4.7109375" style="6" customWidth="1"/>
    <col min="14598" max="14598" width="5.8515625" style="6" customWidth="1"/>
    <col min="14599" max="14599" width="6.28125" style="6" customWidth="1"/>
    <col min="14600" max="14600" width="19.7109375" style="6" customWidth="1"/>
    <col min="14601" max="14601" width="16.28125" style="6" customWidth="1"/>
    <col min="14602" max="14602" width="11.140625" style="6" customWidth="1"/>
    <col min="14603" max="14605" width="10.8515625" style="6" hidden="1" customWidth="1"/>
    <col min="14606" max="14606" width="11.140625" style="6" customWidth="1"/>
    <col min="14607" max="14607" width="11.421875" style="6" customWidth="1"/>
    <col min="14608" max="14608" width="13.57421875" style="6" customWidth="1"/>
    <col min="14609" max="14609" width="11.421875" style="6" customWidth="1"/>
    <col min="14610" max="14610" width="41.140625" style="6" customWidth="1"/>
    <col min="14611" max="14611" width="13.7109375" style="6" customWidth="1"/>
    <col min="14612" max="14616" width="11.421875" style="6" customWidth="1"/>
    <col min="14617" max="14617" width="10.421875" style="6" customWidth="1"/>
    <col min="14618" max="14852" width="11.421875" style="6" customWidth="1"/>
    <col min="14853" max="14853" width="4.7109375" style="6" customWidth="1"/>
    <col min="14854" max="14854" width="5.8515625" style="6" customWidth="1"/>
    <col min="14855" max="14855" width="6.28125" style="6" customWidth="1"/>
    <col min="14856" max="14856" width="19.7109375" style="6" customWidth="1"/>
    <col min="14857" max="14857" width="16.28125" style="6" customWidth="1"/>
    <col min="14858" max="14858" width="11.140625" style="6" customWidth="1"/>
    <col min="14859" max="14861" width="10.8515625" style="6" hidden="1" customWidth="1"/>
    <col min="14862" max="14862" width="11.140625" style="6" customWidth="1"/>
    <col min="14863" max="14863" width="11.421875" style="6" customWidth="1"/>
    <col min="14864" max="14864" width="13.57421875" style="6" customWidth="1"/>
    <col min="14865" max="14865" width="11.421875" style="6" customWidth="1"/>
    <col min="14866" max="14866" width="41.140625" style="6" customWidth="1"/>
    <col min="14867" max="14867" width="13.7109375" style="6" customWidth="1"/>
    <col min="14868" max="14872" width="11.421875" style="6" customWidth="1"/>
    <col min="14873" max="14873" width="10.421875" style="6" customWidth="1"/>
    <col min="14874" max="15108" width="11.421875" style="6" customWidth="1"/>
    <col min="15109" max="15109" width="4.7109375" style="6" customWidth="1"/>
    <col min="15110" max="15110" width="5.8515625" style="6" customWidth="1"/>
    <col min="15111" max="15111" width="6.28125" style="6" customWidth="1"/>
    <col min="15112" max="15112" width="19.7109375" style="6" customWidth="1"/>
    <col min="15113" max="15113" width="16.28125" style="6" customWidth="1"/>
    <col min="15114" max="15114" width="11.140625" style="6" customWidth="1"/>
    <col min="15115" max="15117" width="10.8515625" style="6" hidden="1" customWidth="1"/>
    <col min="15118" max="15118" width="11.140625" style="6" customWidth="1"/>
    <col min="15119" max="15119" width="11.421875" style="6" customWidth="1"/>
    <col min="15120" max="15120" width="13.57421875" style="6" customWidth="1"/>
    <col min="15121" max="15121" width="11.421875" style="6" customWidth="1"/>
    <col min="15122" max="15122" width="41.140625" style="6" customWidth="1"/>
    <col min="15123" max="15123" width="13.7109375" style="6" customWidth="1"/>
    <col min="15124" max="15128" width="11.421875" style="6" customWidth="1"/>
    <col min="15129" max="15129" width="10.421875" style="6" customWidth="1"/>
    <col min="15130" max="15364" width="11.421875" style="6" customWidth="1"/>
    <col min="15365" max="15365" width="4.7109375" style="6" customWidth="1"/>
    <col min="15366" max="15366" width="5.8515625" style="6" customWidth="1"/>
    <col min="15367" max="15367" width="6.28125" style="6" customWidth="1"/>
    <col min="15368" max="15368" width="19.7109375" style="6" customWidth="1"/>
    <col min="15369" max="15369" width="16.28125" style="6" customWidth="1"/>
    <col min="15370" max="15370" width="11.140625" style="6" customWidth="1"/>
    <col min="15371" max="15373" width="10.8515625" style="6" hidden="1" customWidth="1"/>
    <col min="15374" max="15374" width="11.140625" style="6" customWidth="1"/>
    <col min="15375" max="15375" width="11.421875" style="6" customWidth="1"/>
    <col min="15376" max="15376" width="13.57421875" style="6" customWidth="1"/>
    <col min="15377" max="15377" width="11.421875" style="6" customWidth="1"/>
    <col min="15378" max="15378" width="41.140625" style="6" customWidth="1"/>
    <col min="15379" max="15379" width="13.7109375" style="6" customWidth="1"/>
    <col min="15380" max="15384" width="11.421875" style="6" customWidth="1"/>
    <col min="15385" max="15385" width="10.421875" style="6" customWidth="1"/>
    <col min="15386" max="15620" width="11.421875" style="6" customWidth="1"/>
    <col min="15621" max="15621" width="4.7109375" style="6" customWidth="1"/>
    <col min="15622" max="15622" width="5.8515625" style="6" customWidth="1"/>
    <col min="15623" max="15623" width="6.28125" style="6" customWidth="1"/>
    <col min="15624" max="15624" width="19.7109375" style="6" customWidth="1"/>
    <col min="15625" max="15625" width="16.28125" style="6" customWidth="1"/>
    <col min="15626" max="15626" width="11.140625" style="6" customWidth="1"/>
    <col min="15627" max="15629" width="10.8515625" style="6" hidden="1" customWidth="1"/>
    <col min="15630" max="15630" width="11.140625" style="6" customWidth="1"/>
    <col min="15631" max="15631" width="11.421875" style="6" customWidth="1"/>
    <col min="15632" max="15632" width="13.57421875" style="6" customWidth="1"/>
    <col min="15633" max="15633" width="11.421875" style="6" customWidth="1"/>
    <col min="15634" max="15634" width="41.140625" style="6" customWidth="1"/>
    <col min="15635" max="15635" width="13.7109375" style="6" customWidth="1"/>
    <col min="15636" max="15640" width="11.421875" style="6" customWidth="1"/>
    <col min="15641" max="15641" width="10.421875" style="6" customWidth="1"/>
    <col min="15642" max="15876" width="11.421875" style="6" customWidth="1"/>
    <col min="15877" max="15877" width="4.7109375" style="6" customWidth="1"/>
    <col min="15878" max="15878" width="5.8515625" style="6" customWidth="1"/>
    <col min="15879" max="15879" width="6.28125" style="6" customWidth="1"/>
    <col min="15880" max="15880" width="19.7109375" style="6" customWidth="1"/>
    <col min="15881" max="15881" width="16.28125" style="6" customWidth="1"/>
    <col min="15882" max="15882" width="11.140625" style="6" customWidth="1"/>
    <col min="15883" max="15885" width="10.8515625" style="6" hidden="1" customWidth="1"/>
    <col min="15886" max="15886" width="11.140625" style="6" customWidth="1"/>
    <col min="15887" max="15887" width="11.421875" style="6" customWidth="1"/>
    <col min="15888" max="15888" width="13.57421875" style="6" customWidth="1"/>
    <col min="15889" max="15889" width="11.421875" style="6" customWidth="1"/>
    <col min="15890" max="15890" width="41.140625" style="6" customWidth="1"/>
    <col min="15891" max="15891" width="13.7109375" style="6" customWidth="1"/>
    <col min="15892" max="15896" width="11.421875" style="6" customWidth="1"/>
    <col min="15897" max="15897" width="10.421875" style="6" customWidth="1"/>
    <col min="15898" max="16132" width="11.421875" style="6" customWidth="1"/>
    <col min="16133" max="16133" width="4.7109375" style="6" customWidth="1"/>
    <col min="16134" max="16134" width="5.8515625" style="6" customWidth="1"/>
    <col min="16135" max="16135" width="6.28125" style="6" customWidth="1"/>
    <col min="16136" max="16136" width="19.7109375" style="6" customWidth="1"/>
    <col min="16137" max="16137" width="16.28125" style="6" customWidth="1"/>
    <col min="16138" max="16138" width="11.140625" style="6" customWidth="1"/>
    <col min="16139" max="16141" width="10.8515625" style="6" hidden="1" customWidth="1"/>
    <col min="16142" max="16142" width="11.140625" style="6" customWidth="1"/>
    <col min="16143" max="16143" width="11.421875" style="6" customWidth="1"/>
    <col min="16144" max="16144" width="13.57421875" style="6" customWidth="1"/>
    <col min="16145" max="16145" width="11.421875" style="6" customWidth="1"/>
    <col min="16146" max="16146" width="41.140625" style="6" customWidth="1"/>
    <col min="16147" max="16147" width="13.7109375" style="6" customWidth="1"/>
    <col min="16148" max="16152" width="11.421875" style="6" customWidth="1"/>
    <col min="16153" max="16153" width="10.421875" style="6" customWidth="1"/>
    <col min="16154" max="16377" width="11.421875" style="6" customWidth="1"/>
    <col min="16378" max="16384" width="11.421875" style="6" customWidth="1"/>
  </cols>
  <sheetData>
    <row r="1" spans="8:10" ht="15">
      <c r="H1" s="584"/>
      <c r="I1" s="584"/>
      <c r="J1" s="584"/>
    </row>
    <row r="2" spans="2:21" s="9" customFormat="1" ht="15.75" customHeight="1">
      <c r="B2" s="1496" t="s">
        <v>571</v>
      </c>
      <c r="C2" s="1496"/>
      <c r="D2" s="1496"/>
      <c r="E2" s="1496"/>
      <c r="F2" s="1496"/>
      <c r="G2" s="1496"/>
      <c r="H2" s="1496"/>
      <c r="I2" s="1496"/>
      <c r="J2" s="1496"/>
      <c r="K2" s="1496"/>
      <c r="L2" s="1496"/>
      <c r="M2" s="1496"/>
      <c r="N2" s="56"/>
      <c r="O2" s="6"/>
      <c r="P2" s="6"/>
      <c r="Q2" s="6"/>
      <c r="R2" s="6"/>
      <c r="S2" s="6"/>
      <c r="T2" s="6"/>
      <c r="U2" s="6"/>
    </row>
    <row r="3" spans="8:10" ht="13.5" customHeight="1" thickBot="1">
      <c r="H3" s="583"/>
      <c r="I3" s="583"/>
      <c r="J3" s="583"/>
    </row>
    <row r="4" spans="2:22" ht="43.5" customHeight="1">
      <c r="B4" s="1497" t="s">
        <v>625</v>
      </c>
      <c r="C4" s="1498"/>
      <c r="D4" s="1498"/>
      <c r="E4" s="1498"/>
      <c r="F4" s="1498"/>
      <c r="G4" s="399" t="s">
        <v>572</v>
      </c>
      <c r="H4" s="534" t="s">
        <v>1142</v>
      </c>
      <c r="I4" s="535" t="s">
        <v>1143</v>
      </c>
      <c r="J4" s="400" t="s">
        <v>1144</v>
      </c>
      <c r="K4" s="401" t="s">
        <v>357</v>
      </c>
      <c r="L4" s="535" t="s">
        <v>16</v>
      </c>
      <c r="M4" s="399" t="s">
        <v>573</v>
      </c>
      <c r="N4" s="402" t="s">
        <v>1145</v>
      </c>
      <c r="O4" s="383"/>
      <c r="V4" s="9"/>
    </row>
    <row r="5" spans="2:15" ht="15">
      <c r="B5" s="44">
        <v>3</v>
      </c>
      <c r="C5" s="17"/>
      <c r="D5" s="17"/>
      <c r="E5" s="17"/>
      <c r="F5" s="10"/>
      <c r="G5" s="27" t="s">
        <v>574</v>
      </c>
      <c r="H5" s="52">
        <f>+H6+H33</f>
        <v>262.53951122300003</v>
      </c>
      <c r="I5" s="49">
        <f>+I6+I33</f>
        <v>648.7109115221698</v>
      </c>
      <c r="J5" s="53">
        <f>+J6+J33</f>
        <v>38.78976148300782</v>
      </c>
      <c r="K5" s="50">
        <f>+K6+K33</f>
        <v>64.84721759002062</v>
      </c>
      <c r="L5" s="49">
        <f>+L6+L33</f>
        <v>1039.412699986634</v>
      </c>
      <c r="M5" s="43"/>
      <c r="N5" s="536">
        <f>H5+I5*'FACTORES DE CONVERSIÓN'!$B$2+J5*'FACTORES DE CONVERSIÓN'!$B$5</f>
        <v>25910.29471292099</v>
      </c>
      <c r="O5" s="1101"/>
    </row>
    <row r="6" spans="2:22" ht="15">
      <c r="B6" s="45"/>
      <c r="C6" s="403" t="s">
        <v>585</v>
      </c>
      <c r="D6" s="18"/>
      <c r="E6" s="18"/>
      <c r="F6" s="19"/>
      <c r="G6" s="27" t="s">
        <v>583</v>
      </c>
      <c r="H6" s="52">
        <f>+H7+H20</f>
        <v>0</v>
      </c>
      <c r="I6" s="619">
        <f>+I7+I20</f>
        <v>557.5658156846843</v>
      </c>
      <c r="J6" s="627">
        <f>+J7+J20</f>
        <v>1.2122912769840113</v>
      </c>
      <c r="K6" s="50">
        <f>+K7+K20</f>
        <v>0</v>
      </c>
      <c r="L6" s="49">
        <f>+L7+L20</f>
        <v>0</v>
      </c>
      <c r="M6" s="43"/>
      <c r="N6" s="536">
        <f>H6+I6*'FACTORES DE CONVERSIÓN'!$B$2+J6*'FACTORES DE CONVERSIÓN'!$B$5</f>
        <v>12084.692425243413</v>
      </c>
      <c r="O6" s="584"/>
      <c r="V6" s="9"/>
    </row>
    <row r="7" spans="2:15" ht="15">
      <c r="B7" s="404"/>
      <c r="C7" s="405"/>
      <c r="D7" s="403" t="s">
        <v>586</v>
      </c>
      <c r="E7" s="403"/>
      <c r="F7" s="406"/>
      <c r="G7" s="384" t="s">
        <v>575</v>
      </c>
      <c r="H7" s="32"/>
      <c r="I7" s="620">
        <f>+I8+SUM(I11:I19)</f>
        <v>545.8499050364398</v>
      </c>
      <c r="J7" s="33"/>
      <c r="K7" s="31"/>
      <c r="L7" s="11"/>
      <c r="M7" s="43"/>
      <c r="N7" s="615">
        <f>H7+I7*'FACTORES DE CONVERSIÓN'!$B$2+J7*'FACTORES DE CONVERSIÓN'!$B$5</f>
        <v>11462.848005765238</v>
      </c>
      <c r="O7" s="584"/>
    </row>
    <row r="8" spans="2:22" ht="12.75">
      <c r="B8" s="407"/>
      <c r="C8" s="405"/>
      <c r="D8" s="405"/>
      <c r="E8" s="405" t="s">
        <v>584</v>
      </c>
      <c r="F8" s="408"/>
      <c r="G8" s="57" t="s">
        <v>587</v>
      </c>
      <c r="H8" s="32"/>
      <c r="I8" s="621">
        <f>+I9+I10</f>
        <v>419.3732772779159</v>
      </c>
      <c r="J8" s="33"/>
      <c r="K8" s="31"/>
      <c r="L8" s="11"/>
      <c r="M8" s="43"/>
      <c r="N8" s="616">
        <f>H8+I8*'FACTORES DE CONVERSIÓN'!$B$2+J8*'FACTORES DE CONVERSIÓN'!$B$5</f>
        <v>8806.838822836235</v>
      </c>
      <c r="O8" s="584"/>
      <c r="V8" s="9"/>
    </row>
    <row r="9" spans="2:15" ht="12.75">
      <c r="B9" s="407"/>
      <c r="C9" s="405"/>
      <c r="D9" s="405"/>
      <c r="E9" s="405"/>
      <c r="F9" s="408" t="s">
        <v>588</v>
      </c>
      <c r="G9" s="387" t="s">
        <v>632</v>
      </c>
      <c r="H9" s="32"/>
      <c r="I9" s="622">
        <f>+'3A1 EMISIONES T2'!G4</f>
        <v>93.4507976056386</v>
      </c>
      <c r="J9" s="33"/>
      <c r="K9" s="31"/>
      <c r="L9" s="11"/>
      <c r="M9" s="43"/>
      <c r="N9" s="617">
        <f>H9+I9*'FACTORES DE CONVERSIÓN'!$B$2+J9*'FACTORES DE CONVERSIÓN'!$B$5</f>
        <v>1962.4667497184105</v>
      </c>
      <c r="O9" s="584"/>
    </row>
    <row r="10" spans="2:22" ht="12.75">
      <c r="B10" s="407"/>
      <c r="C10" s="405"/>
      <c r="D10" s="405"/>
      <c r="E10" s="405"/>
      <c r="F10" s="408" t="s">
        <v>590</v>
      </c>
      <c r="G10" s="387" t="s">
        <v>564</v>
      </c>
      <c r="H10" s="32"/>
      <c r="I10" s="622">
        <f>+'3A1 EMISIONES T2'!G15</f>
        <v>325.92247967227735</v>
      </c>
      <c r="J10" s="33"/>
      <c r="K10" s="31"/>
      <c r="L10" s="11"/>
      <c r="M10" s="43"/>
      <c r="N10" s="617">
        <f>H10+I10*'FACTORES DE CONVERSIÓN'!$B$2+J10*'FACTORES DE CONVERSIÓN'!$B$5</f>
        <v>6844.372073117825</v>
      </c>
      <c r="O10" s="584"/>
      <c r="V10" s="9"/>
    </row>
    <row r="11" spans="2:15" ht="12.75">
      <c r="B11" s="407"/>
      <c r="C11" s="405"/>
      <c r="D11" s="405"/>
      <c r="E11" s="405" t="s">
        <v>591</v>
      </c>
      <c r="F11" s="409"/>
      <c r="G11" s="58" t="s">
        <v>576</v>
      </c>
      <c r="H11" s="32"/>
      <c r="I11" s="11"/>
      <c r="J11" s="33"/>
      <c r="K11" s="31"/>
      <c r="L11" s="11"/>
      <c r="M11" s="43"/>
      <c r="N11" s="616">
        <f>H11+I11*'FACTORES DE CONVERSIÓN'!$B$2+J11*'FACTORES DE CONVERSIÓN'!$B$5</f>
        <v>0</v>
      </c>
      <c r="O11" s="584"/>
    </row>
    <row r="12" spans="2:22" ht="12.75">
      <c r="B12" s="407"/>
      <c r="C12" s="405"/>
      <c r="D12" s="405"/>
      <c r="E12" s="405" t="s">
        <v>592</v>
      </c>
      <c r="F12" s="408"/>
      <c r="G12" s="55" t="s">
        <v>46</v>
      </c>
      <c r="H12" s="32"/>
      <c r="I12" s="621">
        <f>+'3A1 EMISIONES T1_3A2 '!E12</f>
        <v>57.253295</v>
      </c>
      <c r="J12" s="33"/>
      <c r="K12" s="31"/>
      <c r="L12" s="11"/>
      <c r="M12" s="43"/>
      <c r="N12" s="616">
        <f>H12+I12*'FACTORES DE CONVERSIÓN'!$B$2+J12*'FACTORES DE CONVERSIÓN'!$B$5</f>
        <v>1202.319195</v>
      </c>
      <c r="O12" s="584"/>
      <c r="V12" s="9"/>
    </row>
    <row r="13" spans="2:15" ht="12.75">
      <c r="B13" s="407"/>
      <c r="C13" s="405"/>
      <c r="D13" s="405"/>
      <c r="E13" s="405" t="s">
        <v>593</v>
      </c>
      <c r="F13" s="410"/>
      <c r="G13" s="59" t="s">
        <v>45</v>
      </c>
      <c r="H13" s="32"/>
      <c r="I13" s="621">
        <f>+'3A1 EMISIONES T1_3A2 '!E13</f>
        <v>9.398565</v>
      </c>
      <c r="J13" s="33"/>
      <c r="K13" s="31"/>
      <c r="L13" s="11"/>
      <c r="M13" s="43"/>
      <c r="N13" s="616">
        <f>H13+I13*'FACTORES DE CONVERSIÓN'!$B$2+J13*'FACTORES DE CONVERSIÓN'!$B$5</f>
        <v>197.369865</v>
      </c>
      <c r="O13" s="584"/>
    </row>
    <row r="14" spans="2:22" ht="12.75">
      <c r="B14" s="407"/>
      <c r="C14" s="405"/>
      <c r="D14" s="405"/>
      <c r="E14" s="405" t="s">
        <v>594</v>
      </c>
      <c r="F14" s="408"/>
      <c r="G14" s="55" t="s">
        <v>577</v>
      </c>
      <c r="H14" s="32"/>
      <c r="I14" s="621">
        <f>+'3A1 EMISIONES T1_3A2 '!E17+'3A1 EMISIONES T1_3A2 '!E18</f>
        <v>43.393968</v>
      </c>
      <c r="J14" s="33"/>
      <c r="K14" s="31"/>
      <c r="L14" s="11"/>
      <c r="M14" s="43"/>
      <c r="N14" s="616">
        <f>H14+I14*'FACTORES DE CONVERSIÓN'!$B$2+J14*'FACTORES DE CONVERSIÓN'!$B$5</f>
        <v>911.273328</v>
      </c>
      <c r="O14" s="584"/>
      <c r="V14" s="9"/>
    </row>
    <row r="15" spans="2:15" ht="12.75">
      <c r="B15" s="407"/>
      <c r="C15" s="405"/>
      <c r="D15" s="405"/>
      <c r="E15" s="405" t="s">
        <v>595</v>
      </c>
      <c r="F15" s="408"/>
      <c r="G15" s="55" t="s">
        <v>72</v>
      </c>
      <c r="H15" s="32"/>
      <c r="I15" s="621">
        <f>+'3A1 EMISIONES T1_3A2 '!E14</f>
        <v>9.473230031598781</v>
      </c>
      <c r="J15" s="33"/>
      <c r="K15" s="31"/>
      <c r="L15" s="11"/>
      <c r="M15" s="43"/>
      <c r="N15" s="616">
        <f>H15+I15*'FACTORES DE CONVERSIÓN'!$B$2+J15*'FACTORES DE CONVERSIÓN'!$B$5</f>
        <v>198.9378306635744</v>
      </c>
      <c r="O15" s="584"/>
    </row>
    <row r="16" spans="2:22" ht="12.75">
      <c r="B16" s="407"/>
      <c r="C16" s="405"/>
      <c r="D16" s="405"/>
      <c r="E16" s="405" t="s">
        <v>596</v>
      </c>
      <c r="F16" s="408"/>
      <c r="G16" s="29" t="s">
        <v>578</v>
      </c>
      <c r="H16" s="32"/>
      <c r="I16" s="621">
        <f>+'3A1 EMISIONES T1_3A2 '!E15</f>
        <v>5.900077086570447</v>
      </c>
      <c r="J16" s="33"/>
      <c r="K16" s="31"/>
      <c r="L16" s="11"/>
      <c r="M16" s="43"/>
      <c r="N16" s="616">
        <f>H16+I16*'FACTORES DE CONVERSIÓN'!$B$2+J16*'FACTORES DE CONVERSIÓN'!$B$5</f>
        <v>123.9016188179794</v>
      </c>
      <c r="O16" s="584"/>
      <c r="V16" s="9"/>
    </row>
    <row r="17" spans="2:15" ht="12.75">
      <c r="B17" s="407"/>
      <c r="C17" s="405"/>
      <c r="D17" s="405"/>
      <c r="E17" s="405" t="s">
        <v>597</v>
      </c>
      <c r="F17" s="408"/>
      <c r="G17" s="29" t="s">
        <v>579</v>
      </c>
      <c r="H17" s="32"/>
      <c r="I17" s="621">
        <f>+'3A1 EMISIONES T1_3A2 '!E16</f>
        <v>0.9047004246575341</v>
      </c>
      <c r="J17" s="33"/>
      <c r="K17" s="31"/>
      <c r="L17" s="11"/>
      <c r="M17" s="43"/>
      <c r="N17" s="616">
        <f>H17+I17*'FACTORES DE CONVERSIÓN'!$B$2+J17*'FACTORES DE CONVERSIÓN'!$B$5</f>
        <v>18.998708917808216</v>
      </c>
      <c r="O17" s="584"/>
    </row>
    <row r="18" spans="2:22" ht="12.75">
      <c r="B18" s="407"/>
      <c r="C18" s="405"/>
      <c r="D18" s="405"/>
      <c r="E18" s="405" t="s">
        <v>598</v>
      </c>
      <c r="F18" s="408"/>
      <c r="G18" s="29" t="s">
        <v>580</v>
      </c>
      <c r="H18" s="32"/>
      <c r="I18" s="11"/>
      <c r="J18" s="33"/>
      <c r="K18" s="31"/>
      <c r="L18" s="11"/>
      <c r="M18" s="43"/>
      <c r="N18" s="616">
        <f>H18+I18*'FACTORES DE CONVERSIÓN'!$B$2+J18*'FACTORES DE CONVERSIÓN'!$B$5</f>
        <v>0</v>
      </c>
      <c r="O18" s="584"/>
      <c r="V18" s="9"/>
    </row>
    <row r="19" spans="2:15" ht="12.75">
      <c r="B19" s="407"/>
      <c r="C19" s="405"/>
      <c r="D19" s="405"/>
      <c r="E19" s="405" t="s">
        <v>599</v>
      </c>
      <c r="F19" s="408"/>
      <c r="G19" s="29" t="s">
        <v>581</v>
      </c>
      <c r="H19" s="32"/>
      <c r="I19" s="621">
        <f>+'3A1 EMISIONES T1_3A2 '!E20</f>
        <v>0.15279221569713072</v>
      </c>
      <c r="J19" s="33"/>
      <c r="K19" s="31"/>
      <c r="L19" s="11"/>
      <c r="M19" s="43"/>
      <c r="N19" s="616">
        <f>H19+I19*'FACTORES DE CONVERSIÓN'!$B$2+J19*'FACTORES DE CONVERSIÓN'!$B$5</f>
        <v>3.208636529639745</v>
      </c>
      <c r="O19" s="584"/>
    </row>
    <row r="20" spans="2:23" ht="12.75">
      <c r="B20" s="411"/>
      <c r="C20" s="412"/>
      <c r="D20" s="412" t="s">
        <v>600</v>
      </c>
      <c r="E20" s="412"/>
      <c r="F20" s="413"/>
      <c r="G20" s="384" t="s">
        <v>582</v>
      </c>
      <c r="H20" s="32"/>
      <c r="I20" s="620">
        <f>+I21+SUM(I24:I32)</f>
        <v>11.715910648244364</v>
      </c>
      <c r="J20" s="623">
        <f>+J21+SUM(J24:J32)</f>
        <v>1.2122912769840113</v>
      </c>
      <c r="K20" s="31"/>
      <c r="L20" s="11"/>
      <c r="M20" s="43"/>
      <c r="N20" s="615">
        <f>H20+I20*'FACTORES DE CONVERSIÓN'!$B$2+J20*'FACTORES DE CONVERSIÓN'!$B$5</f>
        <v>621.8444194781752</v>
      </c>
      <c r="O20" s="584"/>
      <c r="V20" s="9"/>
      <c r="W20" s="13"/>
    </row>
    <row r="21" spans="2:15" ht="12.75">
      <c r="B21" s="411"/>
      <c r="C21" s="405"/>
      <c r="D21" s="405"/>
      <c r="E21" s="405" t="s">
        <v>601</v>
      </c>
      <c r="F21" s="408"/>
      <c r="G21" s="55" t="s">
        <v>606</v>
      </c>
      <c r="H21" s="32"/>
      <c r="I21" s="621">
        <f>+I22+I23</f>
        <v>5.574096999999999</v>
      </c>
      <c r="J21" s="624">
        <f>+J22+J23</f>
        <v>0.5333123859761223</v>
      </c>
      <c r="K21" s="31"/>
      <c r="L21" s="11"/>
      <c r="M21" s="43"/>
      <c r="N21" s="616">
        <f>H21+I21*'FACTORES DE CONVERSIÓN'!$B$2+J21*'FACTORES DE CONVERSIÓN'!$B$5</f>
        <v>282.3828766525979</v>
      </c>
      <c r="O21" s="584"/>
    </row>
    <row r="22" spans="2:26" ht="12.75">
      <c r="B22" s="411"/>
      <c r="C22" s="405"/>
      <c r="D22" s="405"/>
      <c r="E22" s="405"/>
      <c r="F22" s="408" t="s">
        <v>602</v>
      </c>
      <c r="G22" s="387" t="s">
        <v>589</v>
      </c>
      <c r="H22" s="32"/>
      <c r="I22" s="622">
        <f>+'3A1 EMISIONES T1_3A2 '!G10</f>
        <v>0.93436</v>
      </c>
      <c r="J22" s="625">
        <f>+'3A1 EMISIONES T1_3A2 '!K48+'3A1 EMISIONES T1_3A2 '!K60+'3A1 EMISIONES T1_3A2 '!K72+'3A1 EMISIONES T1_3A2 '!K84</f>
        <v>0.2692915258176</v>
      </c>
      <c r="K22" s="31"/>
      <c r="L22" s="11"/>
      <c r="M22" s="43"/>
      <c r="N22" s="617">
        <f>H22+I22*'FACTORES DE CONVERSIÓN'!$B$2+J22*'FACTORES DE CONVERSIÓN'!$B$5</f>
        <v>103.10193300345601</v>
      </c>
      <c r="O22" s="584"/>
      <c r="V22" s="9"/>
      <c r="Z22" s="14"/>
    </row>
    <row r="23" spans="2:15" ht="12.75">
      <c r="B23" s="411"/>
      <c r="C23" s="405"/>
      <c r="D23" s="405"/>
      <c r="E23" s="405"/>
      <c r="F23" s="408" t="s">
        <v>603</v>
      </c>
      <c r="G23" s="387" t="s">
        <v>564</v>
      </c>
      <c r="H23" s="32"/>
      <c r="I23" s="622">
        <f>+'3A1 EMISIONES T1_3A2 '!G11</f>
        <v>4.639736999999999</v>
      </c>
      <c r="J23" s="625">
        <f>+'3A1 EMISIONES T1_3A2 '!K49+'3A1 EMISIONES T1_3A2 '!K61+'3A1 EMISIONES T1_3A2 '!K73+'3A1 EMISIONES T1_3A2 '!K85</f>
        <v>0.2640208601585223</v>
      </c>
      <c r="K23" s="31"/>
      <c r="L23" s="11"/>
      <c r="M23" s="43"/>
      <c r="N23" s="617">
        <f>H23+I23*'FACTORES DE CONVERSIÓN'!$B$2+J23*'FACTORES DE CONVERSIÓN'!$B$5</f>
        <v>179.28094364914188</v>
      </c>
      <c r="O23" s="584"/>
    </row>
    <row r="24" spans="2:22" ht="12.75">
      <c r="B24" s="411"/>
      <c r="C24" s="405"/>
      <c r="D24" s="405"/>
      <c r="E24" s="405" t="s">
        <v>604</v>
      </c>
      <c r="F24" s="409"/>
      <c r="G24" s="28" t="s">
        <v>576</v>
      </c>
      <c r="H24" s="32"/>
      <c r="I24" s="11"/>
      <c r="J24" s="624"/>
      <c r="K24" s="31"/>
      <c r="L24" s="11"/>
      <c r="M24" s="43"/>
      <c r="N24" s="616">
        <f>H24+I24*'FACTORES DE CONVERSIÓN'!$B$2+J24*'FACTORES DE CONVERSIÓN'!$B$5</f>
        <v>0</v>
      </c>
      <c r="O24" s="584"/>
      <c r="V24" s="9"/>
    </row>
    <row r="25" spans="2:15" ht="12.75">
      <c r="B25" s="411"/>
      <c r="C25" s="405"/>
      <c r="D25" s="405"/>
      <c r="E25" s="405" t="s">
        <v>605</v>
      </c>
      <c r="F25" s="408"/>
      <c r="G25" s="29" t="s">
        <v>46</v>
      </c>
      <c r="H25" s="32"/>
      <c r="I25" s="621">
        <f>+'3A1 EMISIONES T1_3A2 '!G12</f>
        <v>1.32982335</v>
      </c>
      <c r="J25" s="626">
        <f>+'3A1 EMISIONES T1_3A2 '!K50+'3A1 EMISIONES T1_3A2 '!K62+'3A1 EMISIONES T1_3A2 '!K74+'3A1 EMISIONES T1_3A2 '!K86</f>
        <v>0</v>
      </c>
      <c r="K25" s="31"/>
      <c r="L25" s="11"/>
      <c r="M25" s="43"/>
      <c r="N25" s="616">
        <f>H25+I25*'FACTORES DE CONVERSIÓN'!$B$2+J25*'FACTORES DE CONVERSIÓN'!$B$5</f>
        <v>27.926290350000002</v>
      </c>
      <c r="O25" s="584"/>
    </row>
    <row r="26" spans="2:25" ht="12.75">
      <c r="B26" s="411"/>
      <c r="C26" s="405"/>
      <c r="D26" s="405"/>
      <c r="E26" s="405" t="s">
        <v>593</v>
      </c>
      <c r="F26" s="410"/>
      <c r="G26" s="30" t="s">
        <v>45</v>
      </c>
      <c r="H26" s="32"/>
      <c r="I26" s="621">
        <f>+'3A1 EMISIONES T1_3A2 '!G13</f>
        <v>0.31028962</v>
      </c>
      <c r="J26" s="626">
        <f>+'3A1 EMISIONES T1_3A2 '!K51+'3A1 EMISIONES T1_3A2 '!K63+'3A1 EMISIONES T1_3A2 '!K75+'3A1 EMISIONES T1_3A2 '!K87</f>
        <v>0</v>
      </c>
      <c r="K26" s="31"/>
      <c r="L26" s="11"/>
      <c r="M26" s="43"/>
      <c r="N26" s="616">
        <f>H26+I26*'FACTORES DE CONVERSIÓN'!$B$2+J26*'FACTORES DE CONVERSIÓN'!$B$5</f>
        <v>6.51608202</v>
      </c>
      <c r="O26" s="584"/>
      <c r="V26" s="9"/>
      <c r="Y26" s="414"/>
    </row>
    <row r="27" spans="2:15" ht="12.75">
      <c r="B27" s="411"/>
      <c r="C27" s="405"/>
      <c r="D27" s="405"/>
      <c r="E27" s="405" t="s">
        <v>594</v>
      </c>
      <c r="F27" s="408"/>
      <c r="G27" s="29" t="s">
        <v>577</v>
      </c>
      <c r="H27" s="32"/>
      <c r="I27" s="621">
        <f>+'3A1 EMISIONES T1_3A2 '!G17+'3A1 EMISIONES T1_3A2 '!G18</f>
        <v>1.1630068715908948</v>
      </c>
      <c r="J27" s="626">
        <f>+'3A1 EMISIONES T1_3A2 '!K55+'3A1 EMISIONES T1_3A2 '!K67+'3A1 EMISIONES T1_3A2 '!K79+'3A1 EMISIONES T1_3A2 '!K91+'3A1 EMISIONES T1_3A2 '!K56+'3A1 EMISIONES T1_3A2 '!K68+'3A1 EMISIONES T1_3A2 '!K80+'3A1 EMISIONES T1_3A2 '!K92</f>
        <v>0.5089941208441816</v>
      </c>
      <c r="K27" s="31"/>
      <c r="L27" s="11"/>
      <c r="M27" s="43"/>
      <c r="N27" s="616">
        <f>H27+I27*'FACTORES DE CONVERSIÓN'!$B$2+J27*'FACTORES DE CONVERSIÓN'!$B$5</f>
        <v>182.21132176510508</v>
      </c>
      <c r="O27" s="584"/>
    </row>
    <row r="28" spans="2:22" ht="12.75">
      <c r="B28" s="411"/>
      <c r="C28" s="405"/>
      <c r="D28" s="405"/>
      <c r="E28" s="405" t="s">
        <v>595</v>
      </c>
      <c r="F28" s="408"/>
      <c r="G28" s="29" t="s">
        <v>72</v>
      </c>
      <c r="H28" s="32"/>
      <c r="I28" s="621">
        <f>+'3A1 EMISIONES T1_3A2 '!G14</f>
        <v>0.7549838982664938</v>
      </c>
      <c r="J28" s="626">
        <f>+'3A1 EMISIONES T1_3A2 '!K52+'3A1 EMISIONES T1_3A2 '!K64+'3A1 EMISIONES T1_3A2 '!K76+'3A1 EMISIONES T1_3A2 '!K88</f>
        <v>0</v>
      </c>
      <c r="K28" s="31"/>
      <c r="L28" s="11"/>
      <c r="M28" s="43"/>
      <c r="N28" s="616">
        <f>H28+I28*'FACTORES DE CONVERSIÓN'!$B$2+J28*'FACTORES DE CONVERSIÓN'!$B$5</f>
        <v>15.85466186359637</v>
      </c>
      <c r="O28" s="584"/>
      <c r="V28" s="9"/>
    </row>
    <row r="29" spans="2:15" ht="12.75">
      <c r="B29" s="411"/>
      <c r="C29" s="405"/>
      <c r="D29" s="405"/>
      <c r="E29" s="405" t="s">
        <v>596</v>
      </c>
      <c r="F29" s="408"/>
      <c r="G29" s="29" t="s">
        <v>578</v>
      </c>
      <c r="H29" s="32"/>
      <c r="I29" s="621">
        <f>+'3A1 EMISIONES T1_3A2 '!G15</f>
        <v>0.47061804667402773</v>
      </c>
      <c r="J29" s="626">
        <f>+'3A1 EMISIONES T1_3A2 '!K53+'3A1 EMISIONES T1_3A2 '!K65+'3A1 EMISIONES T1_3A2 '!K77+'3A1 EMISIONES T1_3A2 '!K89</f>
        <v>0</v>
      </c>
      <c r="K29" s="31"/>
      <c r="L29" s="11"/>
      <c r="M29" s="43"/>
      <c r="N29" s="616">
        <f>H29+I29*'FACTORES DE CONVERSIÓN'!$B$2+J29*'FACTORES DE CONVERSIÓN'!$B$5</f>
        <v>9.882978980154583</v>
      </c>
      <c r="O29" s="584"/>
    </row>
    <row r="30" spans="2:22" ht="12.75">
      <c r="B30" s="411"/>
      <c r="C30" s="405"/>
      <c r="D30" s="405"/>
      <c r="E30" s="405" t="s">
        <v>597</v>
      </c>
      <c r="F30" s="408"/>
      <c r="G30" s="29" t="s">
        <v>579</v>
      </c>
      <c r="H30" s="32"/>
      <c r="I30" s="621">
        <f>+'3A1 EMISIONES T1_3A2 '!G16</f>
        <v>1.0002883972602739</v>
      </c>
      <c r="J30" s="626">
        <f>+'3A1 EMISIONES T1_3A2 '!K54+'3A1 EMISIONES T1_3A2 '!K66+'3A1 EMISIONES T1_3A2 '!K78+'3A1 EMISIONES T1_3A2 '!K90</f>
        <v>0.07863359349384</v>
      </c>
      <c r="K30" s="31"/>
      <c r="L30" s="11"/>
      <c r="M30" s="43"/>
      <c r="N30" s="616">
        <f>H30+I30*'FACTORES DE CONVERSIÓN'!$B$2+J30*'FACTORES DE CONVERSIÓN'!$B$5</f>
        <v>45.38247032555615</v>
      </c>
      <c r="O30" s="584"/>
      <c r="V30" s="9"/>
    </row>
    <row r="31" spans="2:15" ht="12.75">
      <c r="B31" s="411"/>
      <c r="C31" s="405"/>
      <c r="D31" s="405"/>
      <c r="E31" s="405" t="s">
        <v>598</v>
      </c>
      <c r="F31" s="408"/>
      <c r="G31" s="29" t="s">
        <v>580</v>
      </c>
      <c r="H31" s="32"/>
      <c r="I31" s="54">
        <f>+'3A1 EMISIONES T1_3A2 '!G19</f>
        <v>0.9600112487555427</v>
      </c>
      <c r="J31" s="626">
        <f>+'3A1 EMISIONES T1_3A2 '!K57+'3A1 EMISIONES T1_3A2 '!K69+'3A1 EMISIONES T1_3A2 '!K81+'3A1 EMISIONES T1_3A2 '!K93</f>
        <v>0.09135117666986722</v>
      </c>
      <c r="K31" s="31"/>
      <c r="L31" s="11"/>
      <c r="M31" s="43"/>
      <c r="N31" s="616">
        <f>H31+I31*'FACTORES DE CONVERSIÓN'!$B$2+J31*'FACTORES DE CONVERSIÓN'!$B$5</f>
        <v>48.479100991525236</v>
      </c>
      <c r="O31" s="584"/>
    </row>
    <row r="32" spans="2:22" ht="12.75">
      <c r="B32" s="411"/>
      <c r="C32" s="405"/>
      <c r="D32" s="405"/>
      <c r="E32" s="405" t="s">
        <v>599</v>
      </c>
      <c r="F32" s="408"/>
      <c r="G32" s="29" t="s">
        <v>581</v>
      </c>
      <c r="H32" s="32"/>
      <c r="I32" s="621">
        <f>+'3A1 EMISIONES T1_3A2 '!G20</f>
        <v>0.15279221569713078</v>
      </c>
      <c r="J32" s="626">
        <f>+'3A1 EMISIONES T1_3A2 '!K58+'3A1 EMISIONES T1_3A2 '!K70+'3A1 EMISIONES T1_3A2 '!K82+'3A1 EMISIONES T1_3A2 '!K94</f>
        <v>0</v>
      </c>
      <c r="K32" s="31"/>
      <c r="L32" s="11"/>
      <c r="M32" s="43"/>
      <c r="N32" s="616">
        <f>H32+I32*'FACTORES DE CONVERSIÓN'!$B$2+J32*'FACTORES DE CONVERSIÓN'!$B$5</f>
        <v>3.2086365296397465</v>
      </c>
      <c r="O32" s="584"/>
      <c r="V32" s="9"/>
    </row>
    <row r="33" spans="2:15" ht="14.25">
      <c r="B33" s="411"/>
      <c r="C33" s="405" t="s">
        <v>607</v>
      </c>
      <c r="D33" s="405"/>
      <c r="E33" s="405"/>
      <c r="F33" s="408"/>
      <c r="G33" s="27" t="s">
        <v>883</v>
      </c>
      <c r="H33" s="631">
        <f>+H34+SUM(H37:H42)</f>
        <v>262.53951122300003</v>
      </c>
      <c r="I33" s="619">
        <f>+I34+SUM(I37:I42)</f>
        <v>91.14509583748553</v>
      </c>
      <c r="J33" s="627">
        <f>+J34+SUM(J37:J42)</f>
        <v>37.57747020602381</v>
      </c>
      <c r="K33" s="628">
        <f>+K34+SUM(K37:K42)</f>
        <v>64.84721759002062</v>
      </c>
      <c r="L33" s="619">
        <f>+L34+SUM(L37:L42)</f>
        <v>1039.412699986634</v>
      </c>
      <c r="M33" s="43"/>
      <c r="N33" s="536">
        <f>H33+I33*'FACTORES DE CONVERSIÓN'!$B$2+J33*'FACTORES DE CONVERSIÓN'!$B$5</f>
        <v>13825.602287677577</v>
      </c>
      <c r="O33" s="584"/>
    </row>
    <row r="34" spans="2:22" ht="12.75">
      <c r="B34" s="411"/>
      <c r="C34" s="405"/>
      <c r="D34" s="405" t="s">
        <v>608</v>
      </c>
      <c r="E34" s="405"/>
      <c r="F34" s="408"/>
      <c r="G34" s="386" t="s">
        <v>609</v>
      </c>
      <c r="H34" s="391"/>
      <c r="I34" s="620">
        <f>+I35+I36</f>
        <v>39.48282350527688</v>
      </c>
      <c r="J34" s="623">
        <f>+SUM(J35:J36)</f>
        <v>3.4264223469076556</v>
      </c>
      <c r="K34" s="629">
        <f>+SUM(K35:K36)</f>
        <v>64.84721759002062</v>
      </c>
      <c r="L34" s="620">
        <f>+SUM(L35:L36)</f>
        <v>1039.412699986634</v>
      </c>
      <c r="M34" s="43"/>
      <c r="N34" s="615">
        <f>H34+I34*'FACTORES DE CONVERSIÓN'!$B$2+J34*'FACTORES DE CONVERSIÓN'!$B$5</f>
        <v>1891.3302211521877</v>
      </c>
      <c r="O34" s="584"/>
      <c r="V34" s="9"/>
    </row>
    <row r="35" spans="2:15" ht="12.75">
      <c r="B35" s="411"/>
      <c r="C35" s="405"/>
      <c r="D35" s="405"/>
      <c r="E35" s="405" t="s">
        <v>612</v>
      </c>
      <c r="F35" s="408"/>
      <c r="G35" s="29" t="s">
        <v>610</v>
      </c>
      <c r="H35" s="32"/>
      <c r="I35" s="621">
        <f>+'3C1 EMISIONES'!M32</f>
        <v>2.7307343674765012</v>
      </c>
      <c r="J35" s="626">
        <f>+'3C1 EMISIONES'!O34</f>
        <v>0.07079681693457597</v>
      </c>
      <c r="K35" s="630">
        <f>+'3C1 EMISIONES'!P35</f>
        <v>2.528457747663428</v>
      </c>
      <c r="L35" s="621">
        <f>+'3C1 EMISIONES'!N33</f>
        <v>0.7667026140141204</v>
      </c>
      <c r="M35" s="43"/>
      <c r="N35" s="616">
        <f>H35+I35*'FACTORES DE CONVERSIÓN'!$B$2+J35*'FACTORES DE CONVERSIÓN'!$B$5</f>
        <v>79.29243496672507</v>
      </c>
      <c r="O35" s="584"/>
    </row>
    <row r="36" spans="2:22" ht="12.75">
      <c r="B36" s="411"/>
      <c r="C36" s="405"/>
      <c r="D36" s="405"/>
      <c r="E36" s="405" t="s">
        <v>613</v>
      </c>
      <c r="F36" s="408"/>
      <c r="G36" s="29" t="s">
        <v>629</v>
      </c>
      <c r="H36" s="32"/>
      <c r="I36" s="621">
        <f>+'3C1 EMISIONES'!M79+'3C1 EMISIONES'!M98</f>
        <v>36.75208913780038</v>
      </c>
      <c r="J36" s="626">
        <f>+'3C1 EMISIONES'!O81+'3C1 EMISIONES'!O100</f>
        <v>3.3556255299730795</v>
      </c>
      <c r="K36" s="630">
        <f>+'3C1 EMISIONES'!P82+'3C1 EMISIONES'!P101</f>
        <v>62.318759842357196</v>
      </c>
      <c r="L36" s="621">
        <f>+'3C1 EMISIONES'!N80+'3C1 EMISIONES'!O100</f>
        <v>1038.6459973726198</v>
      </c>
      <c r="M36" s="43"/>
      <c r="N36" s="616">
        <f>H36+I36*'FACTORES DE CONVERSIÓN'!$B$2+J36*'FACTORES DE CONVERSIÓN'!$B$5</f>
        <v>1812.0377861854627</v>
      </c>
      <c r="O36" s="584"/>
      <c r="V36" s="9"/>
    </row>
    <row r="37" spans="2:15" ht="12.75">
      <c r="B37" s="411"/>
      <c r="C37" s="405"/>
      <c r="D37" s="405" t="s">
        <v>614</v>
      </c>
      <c r="E37" s="405"/>
      <c r="F37" s="408"/>
      <c r="G37" s="386" t="s">
        <v>615</v>
      </c>
      <c r="H37" s="391"/>
      <c r="I37" s="392"/>
      <c r="J37" s="393"/>
      <c r="K37" s="31"/>
      <c r="L37" s="11"/>
      <c r="M37" s="43"/>
      <c r="N37" s="615">
        <f>H37+I37*'FACTORES DE CONVERSIÓN'!$B$2+J37*'FACTORES DE CONVERSIÓN'!$B$5</f>
        <v>0</v>
      </c>
      <c r="O37" s="584"/>
    </row>
    <row r="38" spans="2:22" ht="12.75">
      <c r="B38" s="411"/>
      <c r="C38" s="405"/>
      <c r="D38" s="405" t="s">
        <v>616</v>
      </c>
      <c r="E38" s="405"/>
      <c r="F38" s="408"/>
      <c r="G38" s="386" t="s">
        <v>617</v>
      </c>
      <c r="H38" s="632">
        <f>+'3C3 EMISIONES'!E11</f>
        <v>262.53951122300003</v>
      </c>
      <c r="I38" s="392"/>
      <c r="J38" s="393"/>
      <c r="K38" s="31"/>
      <c r="L38" s="11"/>
      <c r="M38" s="43"/>
      <c r="N38" s="615">
        <f>H38+I38*'FACTORES DE CONVERSIÓN'!$B$2+J38*'FACTORES DE CONVERSIÓN'!$B$5</f>
        <v>262.53951122300003</v>
      </c>
      <c r="O38" s="584"/>
      <c r="V38" s="9"/>
    </row>
    <row r="39" spans="2:15" ht="14.25">
      <c r="B39" s="411"/>
      <c r="C39" s="405"/>
      <c r="D39" s="405" t="s">
        <v>618</v>
      </c>
      <c r="E39" s="405"/>
      <c r="F39" s="408"/>
      <c r="G39" s="384" t="s">
        <v>884</v>
      </c>
      <c r="H39" s="391"/>
      <c r="I39" s="392"/>
      <c r="J39" s="623">
        <f>+'3C4 EMISIONES'!J38</f>
        <v>24.870514418783323</v>
      </c>
      <c r="K39" s="31"/>
      <c r="L39" s="11"/>
      <c r="M39" s="43"/>
      <c r="N39" s="615">
        <f>H39+I39*'FACTORES DE CONVERSIÓN'!$B$2+J39*'FACTORES DE CONVERSIÓN'!$B$5</f>
        <v>7709.85946982283</v>
      </c>
      <c r="O39" s="584"/>
    </row>
    <row r="40" spans="2:22" ht="14.25">
      <c r="B40" s="411"/>
      <c r="C40" s="412"/>
      <c r="D40" s="405" t="s">
        <v>619</v>
      </c>
      <c r="E40" s="412"/>
      <c r="F40" s="413"/>
      <c r="G40" s="384" t="s">
        <v>885</v>
      </c>
      <c r="H40" s="391"/>
      <c r="I40" s="392"/>
      <c r="J40" s="623">
        <f>+'3C5 EMISIONES'!K27</f>
        <v>8.605364800762736</v>
      </c>
      <c r="K40" s="31"/>
      <c r="L40" s="11"/>
      <c r="M40" s="43"/>
      <c r="N40" s="615">
        <f>H40+I40*'FACTORES DE CONVERSIÓN'!$B$2+J40*'FACTORES DE CONVERSIÓN'!$B$5</f>
        <v>2667.663088236448</v>
      </c>
      <c r="O40" s="584"/>
      <c r="V40" s="9"/>
    </row>
    <row r="41" spans="2:15" ht="14.25">
      <c r="B41" s="411"/>
      <c r="C41" s="412"/>
      <c r="D41" s="405" t="s">
        <v>620</v>
      </c>
      <c r="E41" s="412"/>
      <c r="F41" s="413"/>
      <c r="G41" s="384" t="s">
        <v>886</v>
      </c>
      <c r="H41" s="391"/>
      <c r="I41" s="392"/>
      <c r="J41" s="623">
        <f>+'3C6 EMISIONES'!H71+'3C6 EMISIONES'!K145</f>
        <v>0.6751686395700939</v>
      </c>
      <c r="K41" s="31"/>
      <c r="L41" s="11"/>
      <c r="M41" s="43"/>
      <c r="N41" s="615">
        <f>H41+I41*'FACTORES DE CONVERSIÓN'!$B$2+J41*'FACTORES DE CONVERSIÓN'!$B$5</f>
        <v>209.3022782667291</v>
      </c>
      <c r="O41" s="584"/>
    </row>
    <row r="42" spans="2:22" ht="13.5" thickBot="1">
      <c r="B42" s="415"/>
      <c r="C42" s="416"/>
      <c r="D42" s="417" t="s">
        <v>621</v>
      </c>
      <c r="E42" s="416"/>
      <c r="F42" s="418"/>
      <c r="G42" s="395" t="s">
        <v>622</v>
      </c>
      <c r="H42" s="396"/>
      <c r="I42" s="633">
        <f>+'3C7 EMISIONES'!E43</f>
        <v>51.662272332208644</v>
      </c>
      <c r="J42" s="398"/>
      <c r="K42" s="46"/>
      <c r="L42" s="47"/>
      <c r="M42" s="48"/>
      <c r="N42" s="618">
        <f>H42+I42*'FACTORES DE CONVERSIÓN'!$B$2+J42*'FACTORES DE CONVERSIÓN'!$B$5</f>
        <v>1084.9077189763816</v>
      </c>
      <c r="O42" s="584"/>
      <c r="V42" s="9"/>
    </row>
    <row r="43" ht="12.75">
      <c r="V43" s="15"/>
    </row>
    <row r="44" spans="7:20" ht="12.75">
      <c r="G44" s="16"/>
      <c r="H44" s="16"/>
      <c r="I44" s="16"/>
      <c r="J44" s="16"/>
      <c r="K44" s="16"/>
      <c r="L44" s="16"/>
      <c r="M44" s="16"/>
      <c r="N44" s="16"/>
      <c r="P44" s="16"/>
      <c r="Q44" s="16"/>
      <c r="R44" s="16"/>
      <c r="S44" s="16"/>
      <c r="T44" s="16"/>
    </row>
    <row r="45" spans="2:14" ht="15">
      <c r="B45" s="1499" t="s">
        <v>987</v>
      </c>
      <c r="C45" s="1499"/>
      <c r="D45" s="1499"/>
      <c r="E45" s="1499"/>
      <c r="F45" s="1499"/>
      <c r="G45" s="1499"/>
      <c r="H45" s="1499"/>
      <c r="I45" s="1499"/>
      <c r="J45" s="1499"/>
      <c r="K45" s="1499"/>
      <c r="L45" s="1499"/>
      <c r="M45" s="1499"/>
      <c r="N45" s="1499"/>
    </row>
    <row r="47" ht="12.75"/>
    <row r="48" ht="12.75"/>
    <row r="49" ht="12.75"/>
    <row r="50" ht="12.75"/>
    <row r="51" ht="12.75"/>
    <row r="52" ht="12.75"/>
    <row r="53" ht="12.75"/>
    <row r="54" ht="12.75"/>
    <row r="55" spans="16:19" ht="12.75">
      <c r="P55" s="414"/>
      <c r="Q55" s="414"/>
      <c r="R55" s="414"/>
      <c r="S55" s="414"/>
    </row>
    <row r="56" ht="12.75"/>
    <row r="57" ht="12.75"/>
    <row r="58" ht="12.75"/>
    <row r="59" ht="12.75"/>
    <row r="60" ht="12.75"/>
    <row r="61" ht="12.75"/>
    <row r="62" ht="12.75"/>
    <row r="63" ht="12.75"/>
    <row r="64" ht="12.75"/>
    <row r="66" ht="12.75"/>
    <row r="67" ht="12.75"/>
    <row r="68" ht="12.75"/>
    <row r="69" ht="12.75"/>
    <row r="70" ht="12.75"/>
    <row r="71" ht="12.75"/>
    <row r="72" ht="12.75"/>
    <row r="73" ht="12.75"/>
    <row r="74" ht="12.75"/>
    <row r="75" ht="12.75"/>
    <row r="76" ht="12.75"/>
    <row r="77" ht="12.75"/>
    <row r="78" ht="12.75"/>
    <row r="79" ht="12.75"/>
  </sheetData>
  <mergeCells count="3">
    <mergeCell ref="B2:M2"/>
    <mergeCell ref="B4:F4"/>
    <mergeCell ref="B45:N45"/>
  </mergeCell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A6A6A6"/>
  </sheetPr>
  <dimension ref="A2:AML85"/>
  <sheetViews>
    <sheetView zoomScale="85" zoomScaleNormal="85" workbookViewId="0" topLeftCell="A1">
      <selection activeCell="AH21" sqref="AH21"/>
    </sheetView>
  </sheetViews>
  <sheetFormatPr defaultColWidth="9.140625" defaultRowHeight="15"/>
  <cols>
    <col min="1" max="1" width="3.57421875" style="419" customWidth="1"/>
    <col min="2" max="2" width="3.00390625" style="419" customWidth="1"/>
    <col min="3" max="3" width="3.28125" style="419" bestFit="1" customWidth="1"/>
    <col min="4" max="4" width="4.8515625" style="419" bestFit="1" customWidth="1"/>
    <col min="5" max="5" width="6.00390625" style="419" bestFit="1" customWidth="1"/>
    <col min="6" max="6" width="6.00390625" style="419" customWidth="1"/>
    <col min="7" max="7" width="44.00390625" style="419" customWidth="1"/>
    <col min="8" max="15" width="15.7109375" style="419" customWidth="1"/>
    <col min="16" max="28" width="15.7109375" style="22" customWidth="1"/>
    <col min="29" max="29" width="9.140625" style="22" customWidth="1"/>
    <col min="30" max="31" width="10.28125" style="22" bestFit="1" customWidth="1"/>
    <col min="32" max="983" width="9.140625" style="22" customWidth="1"/>
    <col min="984" max="16384" width="9.140625" style="24" customWidth="1"/>
  </cols>
  <sheetData>
    <row r="2" spans="2:12" ht="15">
      <c r="B2" s="469" t="s">
        <v>626</v>
      </c>
      <c r="C2" s="469"/>
      <c r="D2" s="469"/>
      <c r="E2" s="469"/>
      <c r="F2" s="469"/>
      <c r="G2" s="469"/>
      <c r="H2" s="469"/>
      <c r="I2" s="469"/>
      <c r="J2" s="469"/>
      <c r="L2" s="580"/>
    </row>
    <row r="3" spans="1:28" s="23" customFormat="1" ht="15.75" customHeight="1" thickBot="1">
      <c r="A3" s="419"/>
      <c r="B3" s="419"/>
      <c r="C3" s="419"/>
      <c r="D3" s="419"/>
      <c r="E3" s="420"/>
      <c r="F3" s="420"/>
      <c r="G3" s="420"/>
      <c r="H3" s="420"/>
      <c r="I3" s="420"/>
      <c r="J3" s="419"/>
      <c r="K3" s="420"/>
      <c r="L3" s="581"/>
      <c r="M3" s="420"/>
      <c r="N3" s="420"/>
      <c r="O3" s="420"/>
      <c r="AB3" s="23" t="s">
        <v>1640</v>
      </c>
    </row>
    <row r="4" spans="8:27" ht="39.75" customHeight="1" thickBot="1">
      <c r="H4" s="1506" t="s">
        <v>1138</v>
      </c>
      <c r="I4" s="1507"/>
      <c r="J4" s="1507"/>
      <c r="K4" s="1507"/>
      <c r="L4" s="1507"/>
      <c r="M4" s="1507"/>
      <c r="N4" s="1508"/>
      <c r="O4" s="447"/>
      <c r="P4" s="24"/>
      <c r="Q4" s="24"/>
      <c r="R4" s="24"/>
      <c r="S4" s="24"/>
      <c r="T4" s="24"/>
      <c r="U4" s="24"/>
      <c r="V4" s="24"/>
      <c r="W4" s="24"/>
      <c r="X4" s="24"/>
      <c r="Y4" s="24"/>
      <c r="Z4" s="24"/>
      <c r="AA4" s="24"/>
    </row>
    <row r="5" spans="2:27" ht="36" customHeight="1" thickBot="1">
      <c r="B5" s="1509" t="s">
        <v>625</v>
      </c>
      <c r="C5" s="1510"/>
      <c r="D5" s="1510"/>
      <c r="E5" s="1510"/>
      <c r="F5" s="1510"/>
      <c r="G5" s="448" t="s">
        <v>572</v>
      </c>
      <c r="H5" s="556">
        <v>1994</v>
      </c>
      <c r="I5" s="571">
        <v>2000</v>
      </c>
      <c r="J5" s="571">
        <v>2005</v>
      </c>
      <c r="K5" s="571">
        <v>2010</v>
      </c>
      <c r="L5" s="571">
        <v>2012</v>
      </c>
      <c r="M5" s="571">
        <v>2014</v>
      </c>
      <c r="N5" s="449">
        <v>2016</v>
      </c>
      <c r="O5" s="447"/>
      <c r="P5" s="24"/>
      <c r="Q5" s="24"/>
      <c r="R5" s="24"/>
      <c r="S5" s="24"/>
      <c r="T5" s="24"/>
      <c r="U5" s="24"/>
      <c r="V5" s="24"/>
      <c r="W5" s="24"/>
      <c r="X5" s="24"/>
      <c r="Y5" s="24"/>
      <c r="Z5" s="24"/>
      <c r="AA5" s="24"/>
    </row>
    <row r="6" spans="2:27" ht="15">
      <c r="B6" s="421">
        <v>3</v>
      </c>
      <c r="C6" s="422"/>
      <c r="D6" s="422"/>
      <c r="E6" s="422"/>
      <c r="F6" s="423"/>
      <c r="G6" s="424" t="s">
        <v>574</v>
      </c>
      <c r="H6" s="425">
        <v>20204.796980513118</v>
      </c>
      <c r="I6" s="426">
        <v>22822.421192771137</v>
      </c>
      <c r="J6" s="426">
        <v>24099.776212175508</v>
      </c>
      <c r="K6" s="426">
        <v>25580.062881669422</v>
      </c>
      <c r="L6" s="426">
        <v>26048.01947959274</v>
      </c>
      <c r="M6" s="536">
        <v>25840.066201708105</v>
      </c>
      <c r="N6" s="427">
        <f>+'RESULTADOS RAGEI 2016'!N5</f>
        <v>25910.29471292099</v>
      </c>
      <c r="O6" s="447"/>
      <c r="P6" s="24"/>
      <c r="Q6" s="24"/>
      <c r="R6" s="24"/>
      <c r="S6" s="24"/>
      <c r="T6" s="24"/>
      <c r="U6" s="24"/>
      <c r="V6" s="24"/>
      <c r="W6" s="24"/>
      <c r="X6" s="24"/>
      <c r="Y6" s="24"/>
      <c r="Z6" s="24"/>
      <c r="AA6" s="24"/>
    </row>
    <row r="7" spans="2:27" ht="15">
      <c r="B7" s="428"/>
      <c r="C7" s="450" t="s">
        <v>585</v>
      </c>
      <c r="D7" s="429"/>
      <c r="E7" s="429"/>
      <c r="F7" s="430"/>
      <c r="G7" s="431" t="s">
        <v>583</v>
      </c>
      <c r="H7" s="432">
        <v>9981.66861575242</v>
      </c>
      <c r="I7" s="432">
        <v>10913.974789811582</v>
      </c>
      <c r="J7" s="432">
        <v>11672.913243320725</v>
      </c>
      <c r="K7" s="432">
        <v>12185.035787292303</v>
      </c>
      <c r="L7" s="432">
        <v>12228.666712565266</v>
      </c>
      <c r="M7" s="537">
        <v>12161.379616250395</v>
      </c>
      <c r="N7" s="432">
        <f>+'RESULTADOS RAGEI 2016'!N6</f>
        <v>12084.692425243413</v>
      </c>
      <c r="O7" s="447"/>
      <c r="P7" s="24"/>
      <c r="Q7" s="24"/>
      <c r="R7" s="24"/>
      <c r="S7" s="24"/>
      <c r="T7" s="24"/>
      <c r="U7" s="24"/>
      <c r="V7" s="24"/>
      <c r="W7" s="24"/>
      <c r="X7" s="24"/>
      <c r="Y7" s="24"/>
      <c r="Z7" s="24"/>
      <c r="AA7" s="24"/>
    </row>
    <row r="8" spans="2:27" ht="15">
      <c r="B8" s="451"/>
      <c r="C8" s="452"/>
      <c r="D8" s="450" t="s">
        <v>586</v>
      </c>
      <c r="E8" s="450"/>
      <c r="F8" s="453"/>
      <c r="G8" s="433" t="s">
        <v>575</v>
      </c>
      <c r="H8" s="434">
        <v>9484.368573448253</v>
      </c>
      <c r="I8" s="434">
        <v>10376.092414830095</v>
      </c>
      <c r="J8" s="434">
        <v>11089.309140313078</v>
      </c>
      <c r="K8" s="434">
        <v>11564.623946880698</v>
      </c>
      <c r="L8" s="434">
        <v>11613.42636952543</v>
      </c>
      <c r="M8" s="538">
        <v>11533.32232526735</v>
      </c>
      <c r="N8" s="434">
        <f>+'RESULTADOS RAGEI 2016'!N7</f>
        <v>11462.848005765238</v>
      </c>
      <c r="O8" s="447"/>
      <c r="P8" s="24"/>
      <c r="Q8" s="24"/>
      <c r="R8" s="24"/>
      <c r="S8" s="24"/>
      <c r="T8" s="24"/>
      <c r="U8" s="24"/>
      <c r="V8" s="24"/>
      <c r="W8" s="24"/>
      <c r="X8" s="24"/>
      <c r="Y8" s="24"/>
      <c r="Z8" s="24"/>
      <c r="AA8" s="24"/>
    </row>
    <row r="9" spans="2:27" ht="15">
      <c r="B9" s="454"/>
      <c r="C9" s="452"/>
      <c r="D9" s="452"/>
      <c r="E9" s="452" t="s">
        <v>584</v>
      </c>
      <c r="F9" s="455"/>
      <c r="G9" s="435" t="s">
        <v>587</v>
      </c>
      <c r="H9" s="436">
        <v>6635.473175621095</v>
      </c>
      <c r="I9" s="436">
        <v>7371.4354300888035</v>
      </c>
      <c r="J9" s="436">
        <v>8042.5980008367305</v>
      </c>
      <c r="K9" s="436">
        <v>8551.095999075389</v>
      </c>
      <c r="L9" s="436">
        <v>8882.98374931841</v>
      </c>
      <c r="M9" s="539">
        <v>8813.868702253936</v>
      </c>
      <c r="N9" s="436">
        <f>+'RESULTADOS RAGEI 2016'!N8</f>
        <v>8806.838822836235</v>
      </c>
      <c r="O9" s="447"/>
      <c r="P9" s="24"/>
      <c r="Q9" s="24"/>
      <c r="R9" s="24"/>
      <c r="S9" s="24"/>
      <c r="T9" s="24"/>
      <c r="U9" s="24"/>
      <c r="V9" s="24"/>
      <c r="W9" s="24"/>
      <c r="X9" s="24"/>
      <c r="Y9" s="24"/>
      <c r="Z9" s="24"/>
      <c r="AA9" s="24"/>
    </row>
    <row r="10" spans="2:27" ht="15">
      <c r="B10" s="454"/>
      <c r="C10" s="452"/>
      <c r="D10" s="452"/>
      <c r="E10" s="452"/>
      <c r="F10" s="455" t="s">
        <v>588</v>
      </c>
      <c r="G10" s="437" t="s">
        <v>589</v>
      </c>
      <c r="H10" s="438">
        <v>1102.7014251508579</v>
      </c>
      <c r="I10" s="438">
        <v>1213.5017757821495</v>
      </c>
      <c r="J10" s="438">
        <v>1551.4481034698995</v>
      </c>
      <c r="K10" s="438">
        <v>1725.5886055041542</v>
      </c>
      <c r="L10" s="438">
        <v>1883.4000121248398</v>
      </c>
      <c r="M10" s="540">
        <v>1916.943343774074</v>
      </c>
      <c r="N10" s="438">
        <f>+'RESULTADOS RAGEI 2016'!N9</f>
        <v>1962.4667497184105</v>
      </c>
      <c r="O10" s="447"/>
      <c r="P10" s="24"/>
      <c r="Q10" s="24"/>
      <c r="R10" s="24"/>
      <c r="S10" s="24"/>
      <c r="T10" s="24"/>
      <c r="U10" s="24"/>
      <c r="V10" s="24"/>
      <c r="W10" s="24"/>
      <c r="X10" s="24"/>
      <c r="Y10" s="24"/>
      <c r="Z10" s="24"/>
      <c r="AA10" s="24"/>
    </row>
    <row r="11" spans="2:27" ht="15">
      <c r="B11" s="454"/>
      <c r="C11" s="452"/>
      <c r="D11" s="452"/>
      <c r="E11" s="452"/>
      <c r="F11" s="455" t="s">
        <v>590</v>
      </c>
      <c r="G11" s="437" t="s">
        <v>564</v>
      </c>
      <c r="H11" s="438">
        <v>5532.771750470238</v>
      </c>
      <c r="I11" s="438">
        <v>6157.933654306655</v>
      </c>
      <c r="J11" s="438">
        <v>6491.149897366832</v>
      </c>
      <c r="K11" s="438">
        <v>6825.507393571235</v>
      </c>
      <c r="L11" s="438">
        <v>6999.583737193569</v>
      </c>
      <c r="M11" s="540">
        <v>6896.925358479863</v>
      </c>
      <c r="N11" s="438">
        <f>+'RESULTADOS RAGEI 2016'!N10</f>
        <v>6844.372073117825</v>
      </c>
      <c r="O11" s="447"/>
      <c r="P11" s="24"/>
      <c r="Q11" s="24"/>
      <c r="R11" s="24"/>
      <c r="S11" s="24"/>
      <c r="T11" s="24"/>
      <c r="U11" s="24"/>
      <c r="V11" s="24"/>
      <c r="W11" s="24"/>
      <c r="X11" s="24"/>
      <c r="Y11" s="24"/>
      <c r="Z11" s="24"/>
      <c r="AA11" s="24"/>
    </row>
    <row r="12" spans="2:27" ht="15">
      <c r="B12" s="454"/>
      <c r="C12" s="452"/>
      <c r="D12" s="452"/>
      <c r="E12" s="452" t="s">
        <v>591</v>
      </c>
      <c r="F12" s="456"/>
      <c r="G12" s="439" t="s">
        <v>576</v>
      </c>
      <c r="H12" s="436">
        <v>0</v>
      </c>
      <c r="I12" s="436">
        <v>0</v>
      </c>
      <c r="J12" s="436">
        <v>0</v>
      </c>
      <c r="K12" s="436">
        <v>0</v>
      </c>
      <c r="L12" s="436">
        <v>0</v>
      </c>
      <c r="M12" s="539">
        <v>0</v>
      </c>
      <c r="N12" s="436">
        <f>+'RESULTADOS RAGEI 2016'!N11</f>
        <v>0</v>
      </c>
      <c r="O12" s="447"/>
      <c r="P12" s="24"/>
      <c r="Q12" s="24"/>
      <c r="R12" s="24"/>
      <c r="S12" s="24"/>
      <c r="T12" s="24"/>
      <c r="U12" s="24"/>
      <c r="V12" s="24"/>
      <c r="W12" s="24"/>
      <c r="X12" s="24"/>
      <c r="Y12" s="24"/>
      <c r="Z12" s="24"/>
      <c r="AA12" s="24"/>
    </row>
    <row r="13" spans="2:27" ht="15">
      <c r="B13" s="454"/>
      <c r="C13" s="452"/>
      <c r="D13" s="452"/>
      <c r="E13" s="452" t="s">
        <v>592</v>
      </c>
      <c r="F13" s="455"/>
      <c r="G13" s="440" t="s">
        <v>46</v>
      </c>
      <c r="H13" s="436">
        <v>1330.032165</v>
      </c>
      <c r="I13" s="436">
        <v>1554.1040549999998</v>
      </c>
      <c r="J13" s="436">
        <v>1555.44753</v>
      </c>
      <c r="K13" s="436">
        <v>1486.7704950000002</v>
      </c>
      <c r="L13" s="436">
        <v>1279.335015</v>
      </c>
      <c r="M13" s="539">
        <v>1223.48856</v>
      </c>
      <c r="N13" s="436">
        <f>+'RESULTADOS RAGEI 2016'!N12</f>
        <v>1202.319195</v>
      </c>
      <c r="O13" s="447"/>
      <c r="P13" s="24"/>
      <c r="Q13" s="24"/>
      <c r="R13" s="24"/>
      <c r="S13" s="24"/>
      <c r="T13" s="24"/>
      <c r="U13" s="24"/>
      <c r="V13" s="24"/>
      <c r="W13" s="24"/>
      <c r="X13" s="24"/>
      <c r="Y13" s="24"/>
      <c r="Z13" s="24"/>
      <c r="AA13" s="24"/>
    </row>
    <row r="14" spans="2:27" ht="15">
      <c r="B14" s="454"/>
      <c r="C14" s="452"/>
      <c r="D14" s="452"/>
      <c r="E14" s="452" t="s">
        <v>593</v>
      </c>
      <c r="F14" s="457"/>
      <c r="G14" s="441" t="s">
        <v>45</v>
      </c>
      <c r="H14" s="436">
        <v>206.68788</v>
      </c>
      <c r="I14" s="436">
        <v>213.66597</v>
      </c>
      <c r="J14" s="436">
        <v>205.06038</v>
      </c>
      <c r="K14" s="436">
        <v>206.67191999999997</v>
      </c>
      <c r="L14" s="436">
        <v>204.69771</v>
      </c>
      <c r="M14" s="539">
        <v>200.041065</v>
      </c>
      <c r="N14" s="436">
        <f>+'RESULTADOS RAGEI 2016'!N13</f>
        <v>197.369865</v>
      </c>
      <c r="O14" s="447"/>
      <c r="P14" s="24"/>
      <c r="Q14" s="24"/>
      <c r="R14" s="24"/>
      <c r="S14" s="24"/>
      <c r="T14" s="24"/>
      <c r="U14" s="24"/>
      <c r="V14" s="24"/>
      <c r="W14" s="24"/>
      <c r="X14" s="24"/>
      <c r="Y14" s="24"/>
      <c r="Z14" s="24"/>
      <c r="AA14" s="24"/>
    </row>
    <row r="15" spans="2:27" ht="15">
      <c r="B15" s="454"/>
      <c r="C15" s="452"/>
      <c r="D15" s="452"/>
      <c r="E15" s="452" t="s">
        <v>594</v>
      </c>
      <c r="F15" s="455"/>
      <c r="G15" s="440" t="s">
        <v>577</v>
      </c>
      <c r="H15" s="436">
        <v>660.7898640000001</v>
      </c>
      <c r="I15" s="436">
        <v>716.0885759999999</v>
      </c>
      <c r="J15" s="436">
        <v>817.2349919999999</v>
      </c>
      <c r="K15" s="436">
        <v>911.0082239999999</v>
      </c>
      <c r="L15" s="436">
        <v>860.45652</v>
      </c>
      <c r="M15" s="539">
        <v>928.65528</v>
      </c>
      <c r="N15" s="436">
        <f>+'RESULTADOS RAGEI 2016'!N14</f>
        <v>911.273328</v>
      </c>
      <c r="O15" s="447"/>
      <c r="P15" s="24"/>
      <c r="Q15" s="24"/>
      <c r="R15" s="24"/>
      <c r="S15" s="24"/>
      <c r="T15" s="24"/>
      <c r="U15" s="24"/>
      <c r="V15" s="24"/>
      <c r="W15" s="24"/>
      <c r="X15" s="24"/>
      <c r="Y15" s="24"/>
      <c r="Z15" s="24"/>
      <c r="AA15" s="24"/>
    </row>
    <row r="16" spans="2:27" ht="15">
      <c r="B16" s="454"/>
      <c r="C16" s="452"/>
      <c r="D16" s="452"/>
      <c r="E16" s="452" t="s">
        <v>595</v>
      </c>
      <c r="F16" s="455"/>
      <c r="G16" s="440" t="s">
        <v>72</v>
      </c>
      <c r="H16" s="436">
        <v>401.494212</v>
      </c>
      <c r="I16" s="436">
        <v>309.97417448189464</v>
      </c>
      <c r="J16" s="436">
        <v>282.61920935894324</v>
      </c>
      <c r="K16" s="436">
        <v>240.93154842895115</v>
      </c>
      <c r="L16" s="436">
        <v>226.03228199999995</v>
      </c>
      <c r="M16" s="539">
        <v>212.054389884908</v>
      </c>
      <c r="N16" s="436">
        <f>+'RESULTADOS RAGEI 2016'!N15</f>
        <v>198.9378306635744</v>
      </c>
      <c r="O16" s="447"/>
      <c r="P16" s="24"/>
      <c r="Q16" s="24"/>
      <c r="R16" s="24"/>
      <c r="S16" s="24"/>
      <c r="T16" s="24"/>
      <c r="U16" s="24"/>
      <c r="V16" s="24"/>
      <c r="W16" s="24"/>
      <c r="X16" s="24"/>
      <c r="Y16" s="24"/>
      <c r="Z16" s="24"/>
      <c r="AA16" s="24"/>
    </row>
    <row r="17" spans="2:27" ht="15">
      <c r="B17" s="454"/>
      <c r="C17" s="452"/>
      <c r="D17" s="452"/>
      <c r="E17" s="452" t="s">
        <v>596</v>
      </c>
      <c r="F17" s="455"/>
      <c r="G17" s="440" t="s">
        <v>578</v>
      </c>
      <c r="H17" s="436">
        <v>233.85117000000002</v>
      </c>
      <c r="I17" s="436">
        <v>191.79583609546967</v>
      </c>
      <c r="J17" s="436">
        <v>165.9523537472206</v>
      </c>
      <c r="K17" s="436">
        <v>145.86777006368237</v>
      </c>
      <c r="L17" s="436">
        <v>139.07250000000005</v>
      </c>
      <c r="M17" s="539">
        <v>132.86554718363016</v>
      </c>
      <c r="N17" s="436">
        <f>+'RESULTADOS RAGEI 2016'!N16</f>
        <v>123.9016188179794</v>
      </c>
      <c r="O17" s="447"/>
      <c r="P17" s="24"/>
      <c r="Q17" s="24"/>
      <c r="R17" s="24"/>
      <c r="S17" s="24"/>
      <c r="T17" s="24"/>
      <c r="U17" s="24"/>
      <c r="V17" s="24"/>
      <c r="W17" s="24"/>
      <c r="X17" s="24"/>
      <c r="Y17" s="24"/>
      <c r="Z17" s="24"/>
      <c r="AA17" s="24"/>
    </row>
    <row r="18" spans="2:27" ht="15">
      <c r="B18" s="454"/>
      <c r="C18" s="452"/>
      <c r="D18" s="452"/>
      <c r="E18" s="452" t="s">
        <v>597</v>
      </c>
      <c r="F18" s="455"/>
      <c r="G18" s="440" t="s">
        <v>579</v>
      </c>
      <c r="H18" s="436">
        <v>14.520523068493151</v>
      </c>
      <c r="I18" s="436">
        <v>17.19037935616438</v>
      </c>
      <c r="J18" s="436">
        <v>18.188072383561643</v>
      </c>
      <c r="K18" s="436">
        <v>19.660214958904106</v>
      </c>
      <c r="L18" s="436">
        <v>18.046656369863012</v>
      </c>
      <c r="M18" s="539">
        <v>19.34972679452055</v>
      </c>
      <c r="N18" s="436">
        <f>+'RESULTADOS RAGEI 2016'!N17</f>
        <v>18.998708917808216</v>
      </c>
      <c r="O18" s="447"/>
      <c r="P18" s="24"/>
      <c r="Q18" s="24"/>
      <c r="R18" s="24"/>
      <c r="S18" s="24"/>
      <c r="T18" s="24"/>
      <c r="U18" s="24"/>
      <c r="V18" s="24"/>
      <c r="W18" s="24"/>
      <c r="X18" s="24"/>
      <c r="Y18" s="24"/>
      <c r="Z18" s="24"/>
      <c r="AA18" s="24"/>
    </row>
    <row r="19" spans="2:27" ht="15">
      <c r="B19" s="454"/>
      <c r="C19" s="452"/>
      <c r="D19" s="452"/>
      <c r="E19" s="452" t="s">
        <v>598</v>
      </c>
      <c r="F19" s="455"/>
      <c r="G19" s="440" t="s">
        <v>580</v>
      </c>
      <c r="H19" s="436">
        <v>0</v>
      </c>
      <c r="I19" s="436">
        <v>0</v>
      </c>
      <c r="J19" s="436">
        <v>0</v>
      </c>
      <c r="K19" s="436">
        <v>0</v>
      </c>
      <c r="L19" s="436">
        <v>0</v>
      </c>
      <c r="M19" s="539">
        <v>0</v>
      </c>
      <c r="N19" s="436">
        <f>+'RESULTADOS RAGEI 2016'!N18</f>
        <v>0</v>
      </c>
      <c r="O19" s="447"/>
      <c r="P19" s="24"/>
      <c r="Q19" s="24"/>
      <c r="R19" s="24"/>
      <c r="S19" s="24"/>
      <c r="T19" s="24"/>
      <c r="U19" s="24"/>
      <c r="V19" s="24"/>
      <c r="W19" s="24"/>
      <c r="X19" s="24"/>
      <c r="Y19" s="24"/>
      <c r="Z19" s="24"/>
      <c r="AA19" s="24"/>
    </row>
    <row r="20" spans="2:27" ht="15">
      <c r="B20" s="454"/>
      <c r="C20" s="452"/>
      <c r="D20" s="452"/>
      <c r="E20" s="452" t="s">
        <v>599</v>
      </c>
      <c r="F20" s="455"/>
      <c r="G20" s="440" t="s">
        <v>581</v>
      </c>
      <c r="H20" s="436">
        <v>1.5195837586631904</v>
      </c>
      <c r="I20" s="436">
        <v>1.8379938077625717</v>
      </c>
      <c r="J20" s="436">
        <v>2.208601986622979</v>
      </c>
      <c r="K20" s="436">
        <v>2.6177753537687503</v>
      </c>
      <c r="L20" s="436">
        <v>2.8019368371569886</v>
      </c>
      <c r="M20" s="539">
        <v>2.999054150355041</v>
      </c>
      <c r="N20" s="436">
        <f>+'RESULTADOS RAGEI 2016'!N19</f>
        <v>3.208636529639745</v>
      </c>
      <c r="O20" s="447"/>
      <c r="P20" s="24"/>
      <c r="Q20" s="24"/>
      <c r="R20" s="24"/>
      <c r="S20" s="24"/>
      <c r="T20" s="24"/>
      <c r="U20" s="24"/>
      <c r="V20" s="24"/>
      <c r="W20" s="24"/>
      <c r="X20" s="24"/>
      <c r="Y20" s="24"/>
      <c r="Z20" s="24"/>
      <c r="AA20" s="24"/>
    </row>
    <row r="21" spans="2:27" ht="15">
      <c r="B21" s="458"/>
      <c r="C21" s="459"/>
      <c r="D21" s="459" t="s">
        <v>600</v>
      </c>
      <c r="E21" s="459"/>
      <c r="F21" s="460"/>
      <c r="G21" s="433" t="s">
        <v>582</v>
      </c>
      <c r="H21" s="434">
        <v>497.30004230416614</v>
      </c>
      <c r="I21" s="434">
        <v>537.8823749814876</v>
      </c>
      <c r="J21" s="434">
        <v>583.6041030076448</v>
      </c>
      <c r="K21" s="434">
        <v>620.4118404116052</v>
      </c>
      <c r="L21" s="434">
        <v>615.2403430398349</v>
      </c>
      <c r="M21" s="538">
        <v>628.0572909830454</v>
      </c>
      <c r="N21" s="434">
        <f>+'RESULTADOS RAGEI 2016'!N20</f>
        <v>621.8444194781752</v>
      </c>
      <c r="O21" s="447"/>
      <c r="P21" s="24"/>
      <c r="Q21" s="24"/>
      <c r="R21" s="24"/>
      <c r="S21" s="24"/>
      <c r="T21" s="24"/>
      <c r="U21" s="24"/>
      <c r="V21" s="24"/>
      <c r="W21" s="24"/>
      <c r="X21" s="24"/>
      <c r="Y21" s="24"/>
      <c r="Z21" s="24"/>
      <c r="AA21" s="24"/>
    </row>
    <row r="22" spans="2:27" ht="15">
      <c r="B22" s="458"/>
      <c r="C22" s="452"/>
      <c r="D22" s="452"/>
      <c r="E22" s="452" t="s">
        <v>601</v>
      </c>
      <c r="F22" s="455"/>
      <c r="G22" s="440" t="s">
        <v>606</v>
      </c>
      <c r="H22" s="436">
        <v>211.06856614211864</v>
      </c>
      <c r="I22" s="436">
        <v>234.36462053605743</v>
      </c>
      <c r="J22" s="436">
        <v>256.4634243601857</v>
      </c>
      <c r="K22" s="436">
        <v>272.9674725282988</v>
      </c>
      <c r="L22" s="436">
        <v>284.6861953318629</v>
      </c>
      <c r="M22" s="539">
        <v>282.55748906541396</v>
      </c>
      <c r="N22" s="436">
        <f>+'RESULTADOS RAGEI 2016'!N21</f>
        <v>282.3828766525979</v>
      </c>
      <c r="O22" s="447"/>
      <c r="P22" s="24"/>
      <c r="Q22" s="24"/>
      <c r="R22" s="24"/>
      <c r="S22" s="24"/>
      <c r="T22" s="24"/>
      <c r="U22" s="24"/>
      <c r="V22" s="24"/>
      <c r="W22" s="24"/>
      <c r="X22" s="24"/>
      <c r="Y22" s="24"/>
      <c r="Z22" s="24"/>
      <c r="AA22" s="24"/>
    </row>
    <row r="23" spans="2:27" ht="15">
      <c r="B23" s="458"/>
      <c r="C23" s="452"/>
      <c r="D23" s="452"/>
      <c r="E23" s="452"/>
      <c r="F23" s="455" t="s">
        <v>602</v>
      </c>
      <c r="G23" s="437" t="s">
        <v>589</v>
      </c>
      <c r="H23" s="438">
        <v>57.612960707145206</v>
      </c>
      <c r="I23" s="438">
        <v>63.32635364582399</v>
      </c>
      <c r="J23" s="438">
        <v>80.972053263648</v>
      </c>
      <c r="K23" s="438">
        <v>90.09838833859199</v>
      </c>
      <c r="L23" s="438">
        <v>99.16031834496</v>
      </c>
      <c r="M23" s="540">
        <v>100.83134703648001</v>
      </c>
      <c r="N23" s="438">
        <f>+'RESULTADOS RAGEI 2016'!N22</f>
        <v>103.10193300345601</v>
      </c>
      <c r="O23" s="447"/>
      <c r="P23" s="24"/>
      <c r="Q23" s="24"/>
      <c r="R23" s="24"/>
      <c r="S23" s="24"/>
      <c r="T23" s="24"/>
      <c r="U23" s="24"/>
      <c r="V23" s="24"/>
      <c r="W23" s="24"/>
      <c r="X23" s="24"/>
      <c r="Y23" s="24"/>
      <c r="Z23" s="24"/>
      <c r="AA23" s="24"/>
    </row>
    <row r="24" spans="2:27" ht="15">
      <c r="B24" s="458"/>
      <c r="C24" s="452"/>
      <c r="D24" s="452"/>
      <c r="E24" s="452"/>
      <c r="F24" s="455" t="s">
        <v>603</v>
      </c>
      <c r="G24" s="437" t="s">
        <v>564</v>
      </c>
      <c r="H24" s="438">
        <v>153.45560543497342</v>
      </c>
      <c r="I24" s="438">
        <v>171.03826689023344</v>
      </c>
      <c r="J24" s="438">
        <v>175.49137109653765</v>
      </c>
      <c r="K24" s="438">
        <v>182.86908418970683</v>
      </c>
      <c r="L24" s="438">
        <v>185.52587698690286</v>
      </c>
      <c r="M24" s="540">
        <v>181.72614202893396</v>
      </c>
      <c r="N24" s="438">
        <f>+'RESULTADOS RAGEI 2016'!N23</f>
        <v>179.28094364914188</v>
      </c>
      <c r="O24" s="447"/>
      <c r="P24" s="24"/>
      <c r="Q24" s="24"/>
      <c r="R24" s="24"/>
      <c r="S24" s="24"/>
      <c r="T24" s="24"/>
      <c r="U24" s="24"/>
      <c r="V24" s="24"/>
      <c r="W24" s="24"/>
      <c r="X24" s="24"/>
      <c r="Y24" s="24"/>
      <c r="Z24" s="24"/>
      <c r="AA24" s="24"/>
    </row>
    <row r="25" spans="2:27" ht="15">
      <c r="B25" s="458"/>
      <c r="C25" s="452"/>
      <c r="D25" s="452"/>
      <c r="E25" s="452" t="s">
        <v>604</v>
      </c>
      <c r="F25" s="456"/>
      <c r="G25" s="439" t="s">
        <v>576</v>
      </c>
      <c r="H25" s="436">
        <v>0</v>
      </c>
      <c r="I25" s="436">
        <v>0</v>
      </c>
      <c r="J25" s="436">
        <v>0</v>
      </c>
      <c r="K25" s="436">
        <v>0</v>
      </c>
      <c r="L25" s="436">
        <v>0</v>
      </c>
      <c r="M25" s="539">
        <v>0</v>
      </c>
      <c r="N25" s="436">
        <f>+'RESULTADOS RAGEI 2016'!N24</f>
        <v>0</v>
      </c>
      <c r="O25" s="447"/>
      <c r="P25" s="24"/>
      <c r="Q25" s="24"/>
      <c r="R25" s="24"/>
      <c r="S25" s="24"/>
      <c r="T25" s="24"/>
      <c r="U25" s="24"/>
      <c r="V25" s="24"/>
      <c r="W25" s="24"/>
      <c r="X25" s="24"/>
      <c r="Y25" s="24"/>
      <c r="Z25" s="24"/>
      <c r="AA25" s="24"/>
    </row>
    <row r="26" spans="2:27" ht="15">
      <c r="B26" s="458"/>
      <c r="C26" s="452"/>
      <c r="D26" s="452"/>
      <c r="E26" s="452" t="s">
        <v>605</v>
      </c>
      <c r="F26" s="455"/>
      <c r="G26" s="440" t="s">
        <v>46</v>
      </c>
      <c r="H26" s="436">
        <v>30.394723799999998</v>
      </c>
      <c r="I26" s="436">
        <v>35.28698355</v>
      </c>
      <c r="J26" s="436">
        <v>35.455493849999996</v>
      </c>
      <c r="K26" s="436">
        <v>33.9756564</v>
      </c>
      <c r="L26" s="436">
        <v>29.372061600000002</v>
      </c>
      <c r="M26" s="539">
        <v>28.5475932</v>
      </c>
      <c r="N26" s="436">
        <f>+'RESULTADOS RAGEI 2016'!N25</f>
        <v>27.926290350000002</v>
      </c>
      <c r="O26" s="447"/>
      <c r="P26" s="24"/>
      <c r="Q26" s="24"/>
      <c r="R26" s="24"/>
      <c r="S26" s="24"/>
      <c r="T26" s="24"/>
      <c r="U26" s="24"/>
      <c r="V26" s="24"/>
      <c r="W26" s="24"/>
      <c r="X26" s="24"/>
      <c r="Y26" s="24"/>
      <c r="Z26" s="24"/>
      <c r="AA26" s="24"/>
    </row>
    <row r="27" spans="2:27" ht="15">
      <c r="B27" s="458"/>
      <c r="C27" s="452"/>
      <c r="D27" s="452"/>
      <c r="E27" s="452" t="s">
        <v>593</v>
      </c>
      <c r="F27" s="457"/>
      <c r="G27" s="441" t="s">
        <v>45</v>
      </c>
      <c r="H27" s="436">
        <v>6.30554946</v>
      </c>
      <c r="I27" s="436">
        <v>6.384088620000001</v>
      </c>
      <c r="J27" s="436">
        <v>6.221391120000001</v>
      </c>
      <c r="K27" s="436">
        <v>6.41087244</v>
      </c>
      <c r="L27" s="436">
        <v>6.7001531100000005</v>
      </c>
      <c r="M27" s="539">
        <v>6.59696184</v>
      </c>
      <c r="N27" s="436">
        <f>+'RESULTADOS RAGEI 2016'!N26</f>
        <v>6.51608202</v>
      </c>
      <c r="O27" s="447"/>
      <c r="P27" s="24"/>
      <c r="Q27" s="24"/>
      <c r="R27" s="24"/>
      <c r="S27" s="24"/>
      <c r="T27" s="24"/>
      <c r="U27" s="24"/>
      <c r="V27" s="24"/>
      <c r="W27" s="24"/>
      <c r="X27" s="24"/>
      <c r="Y27" s="24"/>
      <c r="Z27" s="24"/>
      <c r="AA27" s="24"/>
    </row>
    <row r="28" spans="2:27" ht="15">
      <c r="B28" s="458"/>
      <c r="C28" s="452"/>
      <c r="D28" s="452"/>
      <c r="E28" s="452" t="s">
        <v>594</v>
      </c>
      <c r="F28" s="455"/>
      <c r="G28" s="440" t="s">
        <v>577</v>
      </c>
      <c r="H28" s="436">
        <v>147.09555634888048</v>
      </c>
      <c r="I28" s="436">
        <v>157.52322082916046</v>
      </c>
      <c r="J28" s="436">
        <v>176.50833787963973</v>
      </c>
      <c r="K28" s="436">
        <v>189.0444370718797</v>
      </c>
      <c r="L28" s="436">
        <v>179.08547783746883</v>
      </c>
      <c r="M28" s="539">
        <v>189.78073202949264</v>
      </c>
      <c r="N28" s="436">
        <f>+'RESULTADOS RAGEI 2016'!N27</f>
        <v>182.21132176510508</v>
      </c>
      <c r="O28" s="447"/>
      <c r="P28" s="24"/>
      <c r="Q28" s="24"/>
      <c r="R28" s="24"/>
      <c r="S28" s="24"/>
      <c r="T28" s="24"/>
      <c r="U28" s="24"/>
      <c r="V28" s="24"/>
      <c r="W28" s="24"/>
      <c r="X28" s="24"/>
      <c r="Y28" s="24"/>
      <c r="Z28" s="24"/>
      <c r="AA28" s="24"/>
    </row>
    <row r="29" spans="2:27" ht="15">
      <c r="B29" s="458"/>
      <c r="C29" s="452"/>
      <c r="D29" s="452"/>
      <c r="E29" s="452" t="s">
        <v>595</v>
      </c>
      <c r="F29" s="455"/>
      <c r="G29" s="440" t="s">
        <v>72</v>
      </c>
      <c r="H29" s="436">
        <v>29.106832860000004</v>
      </c>
      <c r="I29" s="436">
        <v>21.91907838342006</v>
      </c>
      <c r="J29" s="436">
        <v>21.74381668658361</v>
      </c>
      <c r="K29" s="436">
        <v>18.879513822617795</v>
      </c>
      <c r="L29" s="436">
        <v>16.914915359999995</v>
      </c>
      <c r="M29" s="539">
        <v>16.60744812900116</v>
      </c>
      <c r="N29" s="436">
        <f>+'RESULTADOS RAGEI 2016'!N28</f>
        <v>15.85466186359637</v>
      </c>
      <c r="O29" s="447"/>
      <c r="P29" s="24"/>
      <c r="Q29" s="24"/>
      <c r="R29" s="24"/>
      <c r="S29" s="24"/>
      <c r="T29" s="24"/>
      <c r="U29" s="24"/>
      <c r="V29" s="24"/>
      <c r="W29" s="24"/>
      <c r="X29" s="24"/>
      <c r="Y29" s="24"/>
      <c r="Z29" s="24"/>
      <c r="AA29" s="24"/>
    </row>
    <row r="30" spans="2:27" ht="15">
      <c r="B30" s="458"/>
      <c r="C30" s="452"/>
      <c r="D30" s="452"/>
      <c r="E30" s="452" t="s">
        <v>596</v>
      </c>
      <c r="F30" s="455"/>
      <c r="G30" s="440" t="s">
        <v>578</v>
      </c>
      <c r="H30" s="436">
        <v>16.5591027</v>
      </c>
      <c r="I30" s="436">
        <v>13.649367653962964</v>
      </c>
      <c r="J30" s="436">
        <v>12.190820770901528</v>
      </c>
      <c r="K30" s="436">
        <v>10.75637670305284</v>
      </c>
      <c r="L30" s="436">
        <v>10.393607700000002</v>
      </c>
      <c r="M30" s="539">
        <v>10.509023442678808</v>
      </c>
      <c r="N30" s="436">
        <f>+'RESULTADOS RAGEI 2016'!N29</f>
        <v>9.882978980154583</v>
      </c>
      <c r="O30" s="447"/>
      <c r="P30" s="24"/>
      <c r="Q30" s="24"/>
      <c r="R30" s="24"/>
      <c r="S30" s="24"/>
      <c r="T30" s="24"/>
      <c r="U30" s="24"/>
      <c r="V30" s="24"/>
      <c r="W30" s="24"/>
      <c r="X30" s="24"/>
      <c r="Y30" s="24"/>
      <c r="Z30" s="24"/>
      <c r="AA30" s="24"/>
    </row>
    <row r="31" spans="2:27" ht="15">
      <c r="B31" s="458"/>
      <c r="C31" s="452"/>
      <c r="D31" s="452"/>
      <c r="E31" s="452" t="s">
        <v>597</v>
      </c>
      <c r="F31" s="455"/>
      <c r="G31" s="440" t="s">
        <v>579</v>
      </c>
      <c r="H31" s="436">
        <v>33.794567128743196</v>
      </c>
      <c r="I31" s="436">
        <v>40.15845972110199</v>
      </c>
      <c r="J31" s="436">
        <v>42.485043047032505</v>
      </c>
      <c r="K31" s="436">
        <v>45.883796422765016</v>
      </c>
      <c r="L31" s="436">
        <v>43.0574606487434</v>
      </c>
      <c r="M31" s="539">
        <v>46.28613362776926</v>
      </c>
      <c r="N31" s="436">
        <f>+'RESULTADOS RAGEI 2016'!N30</f>
        <v>45.38247032555615</v>
      </c>
      <c r="O31" s="447"/>
      <c r="P31" s="24"/>
      <c r="Q31" s="24"/>
      <c r="R31" s="24"/>
      <c r="S31" s="24"/>
      <c r="T31" s="24"/>
      <c r="U31" s="24"/>
      <c r="V31" s="24"/>
      <c r="W31" s="24"/>
      <c r="X31" s="24"/>
      <c r="Y31" s="24"/>
      <c r="Z31" s="24"/>
      <c r="AA31" s="24"/>
    </row>
    <row r="32" spans="2:27" ht="15">
      <c r="B32" s="458"/>
      <c r="C32" s="452"/>
      <c r="D32" s="452"/>
      <c r="E32" s="452" t="s">
        <v>598</v>
      </c>
      <c r="F32" s="455"/>
      <c r="G32" s="440" t="s">
        <v>580</v>
      </c>
      <c r="H32" s="436">
        <v>21.455560105760668</v>
      </c>
      <c r="I32" s="436">
        <v>26.75856188002215</v>
      </c>
      <c r="J32" s="436">
        <v>30.327173306678738</v>
      </c>
      <c r="K32" s="436">
        <v>39.87593966922233</v>
      </c>
      <c r="L32" s="436">
        <v>42.2285346146028</v>
      </c>
      <c r="M32" s="539">
        <v>44.17285549833449</v>
      </c>
      <c r="N32" s="436">
        <f>+'RESULTADOS RAGEI 2016'!N31</f>
        <v>48.479100991525236</v>
      </c>
      <c r="O32" s="447"/>
      <c r="P32" s="24"/>
      <c r="Q32" s="24"/>
      <c r="R32" s="24"/>
      <c r="S32" s="24"/>
      <c r="T32" s="24"/>
      <c r="U32" s="24"/>
      <c r="V32" s="24"/>
      <c r="W32" s="24"/>
      <c r="X32" s="24"/>
      <c r="Y32" s="24"/>
      <c r="Z32" s="24"/>
      <c r="AA32" s="24"/>
    </row>
    <row r="33" spans="2:27" ht="15">
      <c r="B33" s="458"/>
      <c r="C33" s="452"/>
      <c r="D33" s="452"/>
      <c r="E33" s="452" t="s">
        <v>599</v>
      </c>
      <c r="F33" s="455"/>
      <c r="G33" s="440" t="s">
        <v>581</v>
      </c>
      <c r="H33" s="436">
        <v>1.5195837586631904</v>
      </c>
      <c r="I33" s="436">
        <v>1.8379938077625717</v>
      </c>
      <c r="J33" s="436">
        <v>2.2086019866229787</v>
      </c>
      <c r="K33" s="436">
        <v>2.61777535376875</v>
      </c>
      <c r="L33" s="436">
        <v>2.8019368371569886</v>
      </c>
      <c r="M33" s="539">
        <v>2.999054150355041</v>
      </c>
      <c r="N33" s="436">
        <f>+'RESULTADOS RAGEI 2016'!N32</f>
        <v>3.2086365296397465</v>
      </c>
      <c r="O33" s="447"/>
      <c r="P33" s="24"/>
      <c r="Q33" s="24"/>
      <c r="R33" s="24"/>
      <c r="S33" s="24"/>
      <c r="T33" s="24"/>
      <c r="U33" s="24"/>
      <c r="V33" s="24"/>
      <c r="W33" s="24"/>
      <c r="X33" s="24"/>
      <c r="Y33" s="24"/>
      <c r="Z33" s="24"/>
      <c r="AA33" s="24"/>
    </row>
    <row r="34" spans="2:27" ht="15">
      <c r="B34" s="458"/>
      <c r="C34" s="452" t="s">
        <v>607</v>
      </c>
      <c r="D34" s="452"/>
      <c r="E34" s="452"/>
      <c r="F34" s="455"/>
      <c r="G34" s="431" t="s">
        <v>887</v>
      </c>
      <c r="H34" s="432">
        <v>10223.128364760698</v>
      </c>
      <c r="I34" s="432">
        <v>11908.446402959558</v>
      </c>
      <c r="J34" s="432">
        <v>12426.862968854783</v>
      </c>
      <c r="K34" s="432">
        <v>13395.027094377117</v>
      </c>
      <c r="L34" s="432">
        <v>13819.352767027473</v>
      </c>
      <c r="M34" s="537">
        <v>13678.686585457706</v>
      </c>
      <c r="N34" s="432">
        <f>+'RESULTADOS RAGEI 2016'!N33</f>
        <v>13825.602287677577</v>
      </c>
      <c r="O34" s="447"/>
      <c r="P34" s="24"/>
      <c r="Q34" s="24"/>
      <c r="R34" s="24"/>
      <c r="S34" s="24"/>
      <c r="T34" s="24"/>
      <c r="U34" s="24"/>
      <c r="V34" s="24"/>
      <c r="W34" s="24"/>
      <c r="X34" s="24"/>
      <c r="Y34" s="24"/>
      <c r="Z34" s="24"/>
      <c r="AA34" s="24"/>
    </row>
    <row r="35" spans="2:27" ht="15">
      <c r="B35" s="458"/>
      <c r="C35" s="452"/>
      <c r="D35" s="452" t="s">
        <v>608</v>
      </c>
      <c r="E35" s="452"/>
      <c r="F35" s="455"/>
      <c r="G35" s="433" t="s">
        <v>609</v>
      </c>
      <c r="H35" s="434">
        <v>1801.487277802257</v>
      </c>
      <c r="I35" s="434">
        <v>1800.7419827437107</v>
      </c>
      <c r="J35" s="434">
        <v>1816.6462523399105</v>
      </c>
      <c r="K35" s="434">
        <v>1862.6230375211392</v>
      </c>
      <c r="L35" s="434">
        <v>1875.8065838638129</v>
      </c>
      <c r="M35" s="538">
        <v>1883.5588700828296</v>
      </c>
      <c r="N35" s="434">
        <f>+'RESULTADOS RAGEI 2016'!N34</f>
        <v>1891.3302211521877</v>
      </c>
      <c r="O35" s="447"/>
      <c r="P35" s="24"/>
      <c r="Q35" s="24"/>
      <c r="R35" s="24"/>
      <c r="S35" s="24"/>
      <c r="T35" s="24"/>
      <c r="U35" s="24"/>
      <c r="V35" s="24"/>
      <c r="W35" s="24"/>
      <c r="X35" s="24"/>
      <c r="Y35" s="24"/>
      <c r="Z35" s="24"/>
      <c r="AA35" s="24"/>
    </row>
    <row r="36" spans="2:27" ht="15">
      <c r="B36" s="458"/>
      <c r="C36" s="452"/>
      <c r="D36" s="452"/>
      <c r="E36" s="452" t="s">
        <v>612</v>
      </c>
      <c r="F36" s="455"/>
      <c r="G36" s="440" t="s">
        <v>610</v>
      </c>
      <c r="H36" s="436">
        <v>45.90904572640662</v>
      </c>
      <c r="I36" s="436">
        <v>56.26059388796649</v>
      </c>
      <c r="J36" s="436">
        <v>61.50245318495485</v>
      </c>
      <c r="K36" s="436">
        <v>71.4304848886825</v>
      </c>
      <c r="L36" s="436">
        <v>74.01705748904831</v>
      </c>
      <c r="M36" s="539">
        <v>77.53982323624764</v>
      </c>
      <c r="N36" s="436">
        <f>+'RESULTADOS RAGEI 2016'!N35</f>
        <v>79.29243496672507</v>
      </c>
      <c r="O36" s="447"/>
      <c r="P36" s="24"/>
      <c r="Q36" s="24"/>
      <c r="R36" s="24"/>
      <c r="S36" s="24"/>
      <c r="T36" s="24"/>
      <c r="U36" s="24"/>
      <c r="V36" s="24"/>
      <c r="W36" s="24"/>
      <c r="X36" s="24"/>
      <c r="Y36" s="24"/>
      <c r="Z36" s="24"/>
      <c r="AA36" s="24"/>
    </row>
    <row r="37" spans="2:27" ht="15">
      <c r="B37" s="458"/>
      <c r="C37" s="452"/>
      <c r="D37" s="452"/>
      <c r="E37" s="452" t="s">
        <v>613</v>
      </c>
      <c r="F37" s="455"/>
      <c r="G37" s="440" t="s">
        <v>629</v>
      </c>
      <c r="H37" s="436">
        <v>1755.5782320758506</v>
      </c>
      <c r="I37" s="436">
        <v>1744.4813888557442</v>
      </c>
      <c r="J37" s="436">
        <v>1755.1437991549558</v>
      </c>
      <c r="K37" s="436">
        <v>1791.1925526324565</v>
      </c>
      <c r="L37" s="436">
        <v>1801.7895263747646</v>
      </c>
      <c r="M37" s="539">
        <v>1806.0190468465821</v>
      </c>
      <c r="N37" s="436">
        <f>+'RESULTADOS RAGEI 2016'!N36</f>
        <v>1812.0377861854627</v>
      </c>
      <c r="O37" s="447"/>
      <c r="P37" s="24"/>
      <c r="Q37" s="24"/>
      <c r="R37" s="24"/>
      <c r="S37" s="24"/>
      <c r="T37" s="24"/>
      <c r="U37" s="24"/>
      <c r="V37" s="24"/>
      <c r="W37" s="24"/>
      <c r="X37" s="24"/>
      <c r="Y37" s="24"/>
      <c r="Z37" s="24"/>
      <c r="AA37" s="24"/>
    </row>
    <row r="38" spans="2:27" ht="15">
      <c r="B38" s="458"/>
      <c r="C38" s="452"/>
      <c r="D38" s="452" t="s">
        <v>614</v>
      </c>
      <c r="E38" s="452"/>
      <c r="F38" s="455"/>
      <c r="G38" s="433" t="s">
        <v>615</v>
      </c>
      <c r="H38" s="434">
        <v>0</v>
      </c>
      <c r="I38" s="434">
        <v>0</v>
      </c>
      <c r="J38" s="434">
        <v>0</v>
      </c>
      <c r="K38" s="434">
        <v>0</v>
      </c>
      <c r="L38" s="434">
        <v>0</v>
      </c>
      <c r="M38" s="538">
        <v>0</v>
      </c>
      <c r="N38" s="434">
        <f>+'RESULTADOS RAGEI 2016'!N37</f>
        <v>0</v>
      </c>
      <c r="O38" s="447"/>
      <c r="P38" s="24"/>
      <c r="Q38" s="24"/>
      <c r="R38" s="24"/>
      <c r="S38" s="24"/>
      <c r="T38" s="24"/>
      <c r="U38" s="24"/>
      <c r="V38" s="24"/>
      <c r="W38" s="24"/>
      <c r="X38" s="24"/>
      <c r="Y38" s="24"/>
      <c r="Z38" s="24"/>
      <c r="AA38" s="24"/>
    </row>
    <row r="39" spans="2:27" ht="15">
      <c r="B39" s="458"/>
      <c r="C39" s="452"/>
      <c r="D39" s="452" t="s">
        <v>616</v>
      </c>
      <c r="E39" s="452"/>
      <c r="F39" s="455"/>
      <c r="G39" s="433" t="s">
        <v>617</v>
      </c>
      <c r="H39" s="434">
        <v>155.19753333333335</v>
      </c>
      <c r="I39" s="434">
        <v>256.768358</v>
      </c>
      <c r="J39" s="434">
        <v>181.76824972093337</v>
      </c>
      <c r="K39" s="434">
        <v>239.8334252013333</v>
      </c>
      <c r="L39" s="434">
        <v>293.8697813692667</v>
      </c>
      <c r="M39" s="538">
        <v>250.73442093333338</v>
      </c>
      <c r="N39" s="434">
        <f>+'RESULTADOS RAGEI 2016'!N38</f>
        <v>262.53951122300003</v>
      </c>
      <c r="O39" s="447"/>
      <c r="P39" s="24"/>
      <c r="Q39" s="24"/>
      <c r="R39" s="24"/>
      <c r="S39" s="24"/>
      <c r="T39" s="24"/>
      <c r="U39" s="24"/>
      <c r="V39" s="24"/>
      <c r="W39" s="24"/>
      <c r="X39" s="24"/>
      <c r="Y39" s="24"/>
      <c r="Z39" s="24"/>
      <c r="AA39" s="24"/>
    </row>
    <row r="40" spans="2:27" ht="15">
      <c r="B40" s="458"/>
      <c r="C40" s="452"/>
      <c r="D40" s="452" t="s">
        <v>618</v>
      </c>
      <c r="E40" s="452"/>
      <c r="F40" s="455"/>
      <c r="G40" s="433" t="s">
        <v>888</v>
      </c>
      <c r="H40" s="434">
        <v>5534.160244874101</v>
      </c>
      <c r="I40" s="434">
        <v>6626.313495040882</v>
      </c>
      <c r="J40" s="434">
        <v>6918.560144351446</v>
      </c>
      <c r="K40" s="434">
        <v>7486.269099619446</v>
      </c>
      <c r="L40" s="434">
        <v>7763.151975871431</v>
      </c>
      <c r="M40" s="538">
        <v>7704.601672068193</v>
      </c>
      <c r="N40" s="434">
        <f>+'RESULTADOS RAGEI 2016'!N39</f>
        <v>7709.85946982283</v>
      </c>
      <c r="O40" s="447"/>
      <c r="P40" s="24"/>
      <c r="Q40" s="24"/>
      <c r="R40" s="24"/>
      <c r="S40" s="24"/>
      <c r="T40" s="24"/>
      <c r="U40" s="24"/>
      <c r="V40" s="24"/>
      <c r="W40" s="24"/>
      <c r="X40" s="24"/>
      <c r="Y40" s="24"/>
      <c r="Z40" s="24"/>
      <c r="AA40" s="24"/>
    </row>
    <row r="41" spans="2:27" ht="15">
      <c r="B41" s="458"/>
      <c r="C41" s="459"/>
      <c r="D41" s="452" t="s">
        <v>619</v>
      </c>
      <c r="E41" s="459"/>
      <c r="F41" s="460"/>
      <c r="G41" s="433" t="s">
        <v>889</v>
      </c>
      <c r="H41" s="434">
        <v>1982.516003767302</v>
      </c>
      <c r="I41" s="434">
        <v>2338.42907293541</v>
      </c>
      <c r="J41" s="434">
        <v>2437.212014205173</v>
      </c>
      <c r="K41" s="434">
        <v>2613.646466082199</v>
      </c>
      <c r="L41" s="434">
        <v>2674.6895905340402</v>
      </c>
      <c r="M41" s="538">
        <v>2660.1269802668667</v>
      </c>
      <c r="N41" s="434">
        <f>+'RESULTADOS RAGEI 2016'!N40</f>
        <v>2667.663088236448</v>
      </c>
      <c r="O41" s="447"/>
      <c r="P41" s="24"/>
      <c r="Q41" s="24"/>
      <c r="R41" s="24"/>
      <c r="S41" s="24"/>
      <c r="T41" s="24"/>
      <c r="U41" s="24"/>
      <c r="V41" s="24"/>
      <c r="W41" s="24"/>
      <c r="X41" s="24"/>
      <c r="Y41" s="24"/>
      <c r="Z41" s="24"/>
      <c r="AA41" s="24"/>
    </row>
    <row r="42" spans="2:27" ht="15">
      <c r="B42" s="458"/>
      <c r="C42" s="459"/>
      <c r="D42" s="452" t="s">
        <v>620</v>
      </c>
      <c r="E42" s="459"/>
      <c r="F42" s="460"/>
      <c r="G42" s="433" t="s">
        <v>890</v>
      </c>
      <c r="H42" s="434">
        <v>121.59205902640025</v>
      </c>
      <c r="I42" s="434">
        <v>142.42771436123024</v>
      </c>
      <c r="J42" s="434">
        <v>158.5100226040138</v>
      </c>
      <c r="K42" s="434">
        <v>187.71585610863275</v>
      </c>
      <c r="L42" s="434">
        <v>194.1221032693958</v>
      </c>
      <c r="M42" s="538">
        <v>200.16579158389527</v>
      </c>
      <c r="N42" s="434">
        <f>+'RESULTADOS RAGEI 2016'!N41</f>
        <v>209.3022782667291</v>
      </c>
      <c r="O42" s="447"/>
      <c r="P42" s="24"/>
      <c r="Q42" s="24"/>
      <c r="R42" s="24"/>
      <c r="S42" s="24"/>
      <c r="T42" s="24"/>
      <c r="U42" s="24"/>
      <c r="V42" s="24"/>
      <c r="W42" s="24"/>
      <c r="X42" s="24"/>
      <c r="Y42" s="24"/>
      <c r="Z42" s="24"/>
      <c r="AA42" s="24"/>
    </row>
    <row r="43" spans="2:27" ht="15.75" thickBot="1">
      <c r="B43" s="461"/>
      <c r="C43" s="462"/>
      <c r="D43" s="463" t="s">
        <v>621</v>
      </c>
      <c r="E43" s="462"/>
      <c r="F43" s="464"/>
      <c r="G43" s="442" t="s">
        <v>1635</v>
      </c>
      <c r="H43" s="443">
        <v>628.1752459573041</v>
      </c>
      <c r="I43" s="443">
        <v>743.7657798783255</v>
      </c>
      <c r="J43" s="443">
        <v>914.1662856333055</v>
      </c>
      <c r="K43" s="443">
        <v>1004.9392098443684</v>
      </c>
      <c r="L43" s="443">
        <v>1017.712732119526</v>
      </c>
      <c r="M43" s="541">
        <v>979.4988505225905</v>
      </c>
      <c r="N43" s="443">
        <f>+'RESULTADOS RAGEI 2016'!N42</f>
        <v>1084.9077189763816</v>
      </c>
      <c r="O43" s="447"/>
      <c r="P43" s="24"/>
      <c r="Q43" s="24"/>
      <c r="R43" s="24"/>
      <c r="S43" s="24"/>
      <c r="T43" s="24"/>
      <c r="U43" s="24"/>
      <c r="V43" s="24"/>
      <c r="W43" s="24"/>
      <c r="X43" s="24"/>
      <c r="Y43" s="24"/>
      <c r="Z43" s="24"/>
      <c r="AA43" s="24"/>
    </row>
    <row r="44" spans="1:1026" s="22" customFormat="1" ht="15">
      <c r="A44" s="419"/>
      <c r="B44" s="419"/>
      <c r="C44" s="419"/>
      <c r="D44" s="419"/>
      <c r="E44" s="419"/>
      <c r="F44" s="419"/>
      <c r="G44" s="419"/>
      <c r="H44" s="419"/>
      <c r="I44" s="419"/>
      <c r="J44" s="419"/>
      <c r="K44" s="419"/>
      <c r="L44" s="419"/>
      <c r="M44" s="419"/>
      <c r="N44" s="419"/>
      <c r="O44" s="419"/>
      <c r="AKV44" s="24"/>
      <c r="AKW44" s="24"/>
      <c r="AKX44" s="24"/>
      <c r="AKY44" s="24"/>
      <c r="AKZ44" s="24"/>
      <c r="ALA44" s="24"/>
      <c r="ALB44" s="24"/>
      <c r="ALC44" s="24"/>
      <c r="ALD44" s="24"/>
      <c r="ALE44" s="24"/>
      <c r="ALF44" s="24"/>
      <c r="ALG44" s="24"/>
      <c r="ALH44" s="24"/>
      <c r="ALI44" s="24"/>
      <c r="ALJ44" s="24"/>
      <c r="ALK44" s="24"/>
      <c r="ALL44" s="24"/>
      <c r="ALM44" s="24"/>
      <c r="ALN44" s="24"/>
      <c r="ALO44" s="24"/>
      <c r="ALP44" s="24"/>
      <c r="ALQ44" s="24"/>
      <c r="ALR44" s="24"/>
      <c r="ALS44" s="24"/>
      <c r="ALT44" s="24"/>
      <c r="ALU44" s="24"/>
      <c r="ALV44" s="24"/>
      <c r="ALW44" s="24"/>
      <c r="ALX44" s="24"/>
      <c r="ALY44" s="24"/>
      <c r="ALZ44" s="24"/>
      <c r="AMA44" s="24"/>
      <c r="AMB44" s="24"/>
      <c r="AMC44" s="24"/>
      <c r="AMD44" s="24"/>
      <c r="AME44" s="24"/>
      <c r="AMF44" s="24"/>
      <c r="AMG44" s="24"/>
      <c r="AMH44" s="24"/>
      <c r="AMI44" s="24"/>
      <c r="AMJ44" s="24"/>
      <c r="AMK44" s="24"/>
      <c r="AML44" s="24"/>
    </row>
    <row r="45" ht="15.75" thickBot="1"/>
    <row r="46" spans="8:30" ht="26.25" customHeight="1" thickBot="1">
      <c r="H46" s="1500">
        <v>1994</v>
      </c>
      <c r="I46" s="1501"/>
      <c r="J46" s="1502"/>
      <c r="K46" s="1500">
        <v>2000</v>
      </c>
      <c r="L46" s="1501"/>
      <c r="M46" s="1502"/>
      <c r="N46" s="1500">
        <v>2005</v>
      </c>
      <c r="O46" s="1501"/>
      <c r="P46" s="1502"/>
      <c r="Q46" s="1500">
        <v>2010</v>
      </c>
      <c r="R46" s="1501"/>
      <c r="S46" s="1502"/>
      <c r="T46" s="1500">
        <v>2012</v>
      </c>
      <c r="U46" s="1501"/>
      <c r="V46" s="1502"/>
      <c r="W46" s="1500">
        <v>2014</v>
      </c>
      <c r="X46" s="1501"/>
      <c r="Y46" s="1502"/>
      <c r="Z46" s="1503">
        <v>2016</v>
      </c>
      <c r="AA46" s="1504"/>
      <c r="AB46" s="1505"/>
      <c r="AD46" s="22" t="s">
        <v>1641</v>
      </c>
    </row>
    <row r="47" spans="2:28" ht="42.75">
      <c r="B47" s="1511" t="s">
        <v>625</v>
      </c>
      <c r="C47" s="1512"/>
      <c r="D47" s="1512"/>
      <c r="E47" s="1512"/>
      <c r="F47" s="1512"/>
      <c r="G47" s="465" t="s">
        <v>572</v>
      </c>
      <c r="H47" s="466" t="s">
        <v>1139</v>
      </c>
      <c r="I47" s="467" t="s">
        <v>1140</v>
      </c>
      <c r="J47" s="468" t="s">
        <v>1141</v>
      </c>
      <c r="K47" s="613" t="s">
        <v>1139</v>
      </c>
      <c r="L47" s="614" t="s">
        <v>1140</v>
      </c>
      <c r="M47" s="468" t="s">
        <v>1141</v>
      </c>
      <c r="N47" s="613" t="s">
        <v>1139</v>
      </c>
      <c r="O47" s="614" t="s">
        <v>1140</v>
      </c>
      <c r="P47" s="468" t="s">
        <v>1141</v>
      </c>
      <c r="Q47" s="613" t="s">
        <v>1139</v>
      </c>
      <c r="R47" s="614" t="s">
        <v>1140</v>
      </c>
      <c r="S47" s="468" t="s">
        <v>1141</v>
      </c>
      <c r="T47" s="613" t="s">
        <v>1139</v>
      </c>
      <c r="U47" s="614" t="s">
        <v>1140</v>
      </c>
      <c r="V47" s="468" t="s">
        <v>1141</v>
      </c>
      <c r="W47" s="613" t="s">
        <v>1139</v>
      </c>
      <c r="X47" s="614" t="s">
        <v>1140</v>
      </c>
      <c r="Y47" s="468" t="s">
        <v>1141</v>
      </c>
      <c r="Z47" s="613" t="s">
        <v>1139</v>
      </c>
      <c r="AA47" s="614" t="s">
        <v>1140</v>
      </c>
      <c r="AB47" s="468" t="s">
        <v>1141</v>
      </c>
    </row>
    <row r="48" spans="2:31" ht="12.75">
      <c r="B48" s="444">
        <v>3</v>
      </c>
      <c r="C48" s="445"/>
      <c r="D48" s="445"/>
      <c r="E48" s="445"/>
      <c r="F48" s="446"/>
      <c r="G48" s="431" t="s">
        <v>574</v>
      </c>
      <c r="H48" s="52">
        <v>155.19753333333335</v>
      </c>
      <c r="I48" s="49">
        <v>529.2503881171776</v>
      </c>
      <c r="J48" s="49">
        <v>28.823681602319528</v>
      </c>
      <c r="K48" s="52">
        <v>256.768358</v>
      </c>
      <c r="L48" s="49">
        <v>577.9162669384361</v>
      </c>
      <c r="M48" s="49">
        <v>33.64326202923865</v>
      </c>
      <c r="N48" s="52">
        <v>181.76824972093337</v>
      </c>
      <c r="O48" s="49">
        <v>620.8706233293315</v>
      </c>
      <c r="P48" s="49">
        <v>35.095886685608434</v>
      </c>
      <c r="Q48" s="52">
        <v>239.8334252013333</v>
      </c>
      <c r="R48" s="49">
        <v>649.2948288008756</v>
      </c>
      <c r="S48" s="53">
        <v>37.75818726338613</v>
      </c>
      <c r="T48" s="52">
        <v>293.8697813692667</v>
      </c>
      <c r="U48" s="49">
        <v>652.3346974596577</v>
      </c>
      <c r="V48" s="49">
        <v>38.88748726313116</v>
      </c>
      <c r="W48" s="52">
        <v>250.73442093333338</v>
      </c>
      <c r="X48" s="49">
        <v>646.9730964399598</v>
      </c>
      <c r="Y48" s="49">
        <v>38.71902179205037</v>
      </c>
      <c r="Z48" s="52">
        <f>'RESULTADOS RAGEI 2016'!H5</f>
        <v>262.53951122300003</v>
      </c>
      <c r="AA48" s="49">
        <f>'RESULTADOS RAGEI 2016'!I5</f>
        <v>648.7109115221698</v>
      </c>
      <c r="AB48" s="49">
        <f>'RESULTADOS RAGEI 2016'!J5</f>
        <v>38.78976148300782</v>
      </c>
      <c r="AD48" s="579"/>
      <c r="AE48" s="579"/>
    </row>
    <row r="49" spans="2:28" ht="12.75">
      <c r="B49" s="428"/>
      <c r="C49" s="450" t="s">
        <v>585</v>
      </c>
      <c r="D49" s="429"/>
      <c r="E49" s="429"/>
      <c r="F49" s="430"/>
      <c r="G49" s="431" t="s">
        <v>583</v>
      </c>
      <c r="H49" s="52">
        <v>0</v>
      </c>
      <c r="I49" s="49">
        <v>462.1492639408701</v>
      </c>
      <c r="J49" s="49">
        <v>0.8920453967553107</v>
      </c>
      <c r="K49" s="52">
        <v>0</v>
      </c>
      <c r="L49" s="49">
        <v>505.17940522844566</v>
      </c>
      <c r="M49" s="49">
        <v>0.9845396129491097</v>
      </c>
      <c r="N49" s="52">
        <v>0</v>
      </c>
      <c r="O49" s="49">
        <v>539.6226716068857</v>
      </c>
      <c r="P49" s="49">
        <v>1.0994746437939524</v>
      </c>
      <c r="Q49" s="52">
        <v>0</v>
      </c>
      <c r="R49" s="49">
        <v>562.6513000654963</v>
      </c>
      <c r="S49" s="53">
        <v>1.191478986828644</v>
      </c>
      <c r="T49" s="52">
        <v>0</v>
      </c>
      <c r="U49" s="49">
        <v>564.7788975631364</v>
      </c>
      <c r="V49" s="49">
        <v>1.1880963346432316</v>
      </c>
      <c r="W49" s="52">
        <v>0</v>
      </c>
      <c r="X49" s="49">
        <v>561.0299015272553</v>
      </c>
      <c r="Y49" s="49">
        <v>1.225005432832365</v>
      </c>
      <c r="Z49" s="52">
        <f>'RESULTADOS RAGEI 2016'!H6</f>
        <v>0</v>
      </c>
      <c r="AA49" s="49">
        <f>'RESULTADOS RAGEI 2016'!I6</f>
        <v>557.5658156846843</v>
      </c>
      <c r="AB49" s="49">
        <f>'RESULTADOS RAGEI 2016'!J6</f>
        <v>1.2122912769840113</v>
      </c>
    </row>
    <row r="50" spans="2:28" ht="12.75">
      <c r="B50" s="451"/>
      <c r="C50" s="452"/>
      <c r="D50" s="450" t="s">
        <v>586</v>
      </c>
      <c r="E50" s="450"/>
      <c r="F50" s="453"/>
      <c r="G50" s="433" t="s">
        <v>575</v>
      </c>
      <c r="H50" s="32"/>
      <c r="I50" s="21">
        <v>451.6365987356311</v>
      </c>
      <c r="J50" s="33"/>
      <c r="K50" s="32"/>
      <c r="L50" s="21">
        <v>494.0996388014331</v>
      </c>
      <c r="M50" s="33"/>
      <c r="N50" s="32"/>
      <c r="O50" s="21">
        <v>528.0623400149085</v>
      </c>
      <c r="P50" s="33"/>
      <c r="Q50" s="32"/>
      <c r="R50" s="385">
        <v>550.6963784228903</v>
      </c>
      <c r="S50" s="33"/>
      <c r="T50" s="32"/>
      <c r="U50" s="21">
        <v>553.0203033107348</v>
      </c>
      <c r="V50" s="33"/>
      <c r="W50" s="32"/>
      <c r="X50" s="21">
        <v>549.205825012731</v>
      </c>
      <c r="Y50" s="33"/>
      <c r="Z50" s="32"/>
      <c r="AA50" s="21">
        <f>'RESULTADOS RAGEI 2016'!I7</f>
        <v>545.8499050364398</v>
      </c>
      <c r="AB50" s="33"/>
    </row>
    <row r="51" spans="2:28" ht="12.75">
      <c r="B51" s="454"/>
      <c r="C51" s="452"/>
      <c r="D51" s="452"/>
      <c r="E51" s="452" t="s">
        <v>584</v>
      </c>
      <c r="F51" s="455"/>
      <c r="G51" s="435" t="s">
        <v>587</v>
      </c>
      <c r="H51" s="32"/>
      <c r="I51" s="12">
        <v>315.97491312481407</v>
      </c>
      <c r="J51" s="33"/>
      <c r="K51" s="32"/>
      <c r="L51" s="12">
        <v>351.0207347661335</v>
      </c>
      <c r="M51" s="33"/>
      <c r="N51" s="32"/>
      <c r="O51" s="12">
        <v>382.98085718270147</v>
      </c>
      <c r="P51" s="33"/>
      <c r="Q51" s="32"/>
      <c r="R51" s="12">
        <v>407.1950475750185</v>
      </c>
      <c r="S51" s="33"/>
      <c r="T51" s="32"/>
      <c r="U51" s="12">
        <v>422.9992261580195</v>
      </c>
      <c r="V51" s="33"/>
      <c r="W51" s="32"/>
      <c r="X51" s="12">
        <v>419.70803344066366</v>
      </c>
      <c r="Y51" s="33"/>
      <c r="Z51" s="32"/>
      <c r="AA51" s="12">
        <f>'RESULTADOS RAGEI 2016'!I8</f>
        <v>419.3732772779159</v>
      </c>
      <c r="AB51" s="33"/>
    </row>
    <row r="52" spans="2:28" ht="12.75">
      <c r="B52" s="454"/>
      <c r="C52" s="452"/>
      <c r="D52" s="452"/>
      <c r="E52" s="452"/>
      <c r="F52" s="455" t="s">
        <v>588</v>
      </c>
      <c r="G52" s="437" t="s">
        <v>589</v>
      </c>
      <c r="H52" s="32"/>
      <c r="I52" s="26">
        <v>52.50959167385037</v>
      </c>
      <c r="J52" s="33"/>
      <c r="K52" s="32"/>
      <c r="L52" s="26">
        <v>57.785798846769026</v>
      </c>
      <c r="M52" s="33"/>
      <c r="N52" s="32"/>
      <c r="O52" s="26">
        <v>73.87848111761426</v>
      </c>
      <c r="P52" s="33"/>
      <c r="Q52" s="32"/>
      <c r="R52" s="388">
        <v>82.17088597638829</v>
      </c>
      <c r="S52" s="33"/>
      <c r="T52" s="32"/>
      <c r="U52" s="26">
        <v>89.68571486308761</v>
      </c>
      <c r="V52" s="33"/>
      <c r="W52" s="32"/>
      <c r="X52" s="26">
        <v>91.283016370194</v>
      </c>
      <c r="Y52" s="33"/>
      <c r="Z52" s="32"/>
      <c r="AA52" s="26">
        <f>'RESULTADOS RAGEI 2016'!I9</f>
        <v>93.4507976056386</v>
      </c>
      <c r="AB52" s="33"/>
    </row>
    <row r="53" spans="2:28" ht="12.75">
      <c r="B53" s="454"/>
      <c r="C53" s="452"/>
      <c r="D53" s="452"/>
      <c r="E53" s="452"/>
      <c r="F53" s="455" t="s">
        <v>590</v>
      </c>
      <c r="G53" s="437" t="s">
        <v>564</v>
      </c>
      <c r="H53" s="32"/>
      <c r="I53" s="26">
        <v>263.4653214509637</v>
      </c>
      <c r="J53" s="33"/>
      <c r="K53" s="32"/>
      <c r="L53" s="26">
        <v>293.2349359193645</v>
      </c>
      <c r="M53" s="33"/>
      <c r="N53" s="32"/>
      <c r="O53" s="26">
        <v>309.10237606508724</v>
      </c>
      <c r="P53" s="33"/>
      <c r="Q53" s="32"/>
      <c r="R53" s="388">
        <v>325.02416159863026</v>
      </c>
      <c r="S53" s="33"/>
      <c r="T53" s="32"/>
      <c r="U53" s="26">
        <v>333.31351129493186</v>
      </c>
      <c r="V53" s="33"/>
      <c r="W53" s="32"/>
      <c r="X53" s="26">
        <v>328.42501707046966</v>
      </c>
      <c r="Y53" s="33"/>
      <c r="Z53" s="32"/>
      <c r="AA53" s="26">
        <f>'RESULTADOS RAGEI 2016'!I10</f>
        <v>325.92247967227735</v>
      </c>
      <c r="AB53" s="33"/>
    </row>
    <row r="54" spans="2:28" ht="12.75">
      <c r="B54" s="454"/>
      <c r="C54" s="452"/>
      <c r="D54" s="452"/>
      <c r="E54" s="452" t="s">
        <v>591</v>
      </c>
      <c r="F54" s="456"/>
      <c r="G54" s="439" t="s">
        <v>576</v>
      </c>
      <c r="H54" s="32"/>
      <c r="I54" s="11"/>
      <c r="J54" s="33"/>
      <c r="K54" s="32"/>
      <c r="L54" s="11"/>
      <c r="M54" s="33"/>
      <c r="N54" s="32"/>
      <c r="O54" s="11"/>
      <c r="P54" s="33"/>
      <c r="Q54" s="32"/>
      <c r="R54" s="11"/>
      <c r="S54" s="33"/>
      <c r="T54" s="32"/>
      <c r="U54" s="11"/>
      <c r="V54" s="33"/>
      <c r="W54" s="32"/>
      <c r="X54" s="11"/>
      <c r="Y54" s="33"/>
      <c r="Z54" s="32"/>
      <c r="AA54" s="11"/>
      <c r="AB54" s="33"/>
    </row>
    <row r="55" spans="2:28" ht="12.75">
      <c r="B55" s="454"/>
      <c r="C55" s="452"/>
      <c r="D55" s="452"/>
      <c r="E55" s="452" t="s">
        <v>592</v>
      </c>
      <c r="F55" s="455"/>
      <c r="G55" s="440" t="s">
        <v>46</v>
      </c>
      <c r="H55" s="32"/>
      <c r="I55" s="12">
        <v>63.334865</v>
      </c>
      <c r="J55" s="33"/>
      <c r="K55" s="32"/>
      <c r="L55" s="12">
        <v>74.004955</v>
      </c>
      <c r="M55" s="33"/>
      <c r="N55" s="32"/>
      <c r="O55" s="12">
        <v>74.06893</v>
      </c>
      <c r="P55" s="33"/>
      <c r="Q55" s="32"/>
      <c r="R55" s="12">
        <v>70.798595</v>
      </c>
      <c r="S55" s="33"/>
      <c r="T55" s="32"/>
      <c r="U55" s="12">
        <v>60.920715</v>
      </c>
      <c r="V55" s="33"/>
      <c r="W55" s="32"/>
      <c r="X55" s="12">
        <v>58.26136</v>
      </c>
      <c r="Y55" s="33"/>
      <c r="Z55" s="32"/>
      <c r="AA55" s="12">
        <f>'RESULTADOS RAGEI 2016'!I12</f>
        <v>57.253295</v>
      </c>
      <c r="AB55" s="33"/>
    </row>
    <row r="56" spans="2:28" ht="12.75">
      <c r="B56" s="454"/>
      <c r="C56" s="452"/>
      <c r="D56" s="452"/>
      <c r="E56" s="452" t="s">
        <v>593</v>
      </c>
      <c r="F56" s="457"/>
      <c r="G56" s="441" t="s">
        <v>45</v>
      </c>
      <c r="H56" s="32"/>
      <c r="I56" s="12">
        <v>9.84228</v>
      </c>
      <c r="J56" s="33"/>
      <c r="K56" s="32"/>
      <c r="L56" s="12">
        <v>10.17457</v>
      </c>
      <c r="M56" s="33"/>
      <c r="N56" s="32"/>
      <c r="O56" s="12">
        <v>9.76478</v>
      </c>
      <c r="P56" s="33"/>
      <c r="Q56" s="32"/>
      <c r="R56" s="12">
        <v>9.84152</v>
      </c>
      <c r="S56" s="33"/>
      <c r="T56" s="32"/>
      <c r="U56" s="12">
        <v>9.74751</v>
      </c>
      <c r="V56" s="33"/>
      <c r="W56" s="32"/>
      <c r="X56" s="12">
        <v>9.525765</v>
      </c>
      <c r="Y56" s="33"/>
      <c r="Z56" s="32"/>
      <c r="AA56" s="12">
        <f>'RESULTADOS RAGEI 2016'!I13</f>
        <v>9.398565</v>
      </c>
      <c r="AB56" s="33"/>
    </row>
    <row r="57" spans="2:28" ht="12.75">
      <c r="B57" s="454"/>
      <c r="C57" s="452"/>
      <c r="D57" s="452"/>
      <c r="E57" s="452" t="s">
        <v>594</v>
      </c>
      <c r="F57" s="455"/>
      <c r="G57" s="440" t="s">
        <v>577</v>
      </c>
      <c r="H57" s="32"/>
      <c r="I57" s="12">
        <v>31.466184000000002</v>
      </c>
      <c r="J57" s="33"/>
      <c r="K57" s="32"/>
      <c r="L57" s="12">
        <v>34.099455999999996</v>
      </c>
      <c r="M57" s="33"/>
      <c r="N57" s="32"/>
      <c r="O57" s="12">
        <v>38.915952</v>
      </c>
      <c r="P57" s="33"/>
      <c r="Q57" s="32"/>
      <c r="R57" s="12">
        <v>43.381344</v>
      </c>
      <c r="S57" s="33"/>
      <c r="T57" s="32"/>
      <c r="U57" s="12">
        <v>40.97412</v>
      </c>
      <c r="V57" s="33"/>
      <c r="W57" s="32"/>
      <c r="X57" s="12">
        <v>44.22168</v>
      </c>
      <c r="Y57" s="33"/>
      <c r="Z57" s="32"/>
      <c r="AA57" s="12">
        <f>'RESULTADOS RAGEI 2016'!I14</f>
        <v>43.393968</v>
      </c>
      <c r="AB57" s="33"/>
    </row>
    <row r="58" spans="2:28" ht="12.75">
      <c r="B58" s="454"/>
      <c r="C58" s="452"/>
      <c r="D58" s="452"/>
      <c r="E58" s="452" t="s">
        <v>595</v>
      </c>
      <c r="F58" s="455"/>
      <c r="G58" s="440" t="s">
        <v>72</v>
      </c>
      <c r="H58" s="32"/>
      <c r="I58" s="12">
        <v>19.118772</v>
      </c>
      <c r="J58" s="33"/>
      <c r="K58" s="32"/>
      <c r="L58" s="12">
        <v>14.760674975328316</v>
      </c>
      <c r="M58" s="33"/>
      <c r="N58" s="32"/>
      <c r="O58" s="12">
        <v>13.458057588521106</v>
      </c>
      <c r="P58" s="33"/>
      <c r="Q58" s="32"/>
      <c r="R58" s="12">
        <v>11.472930877569102</v>
      </c>
      <c r="S58" s="33"/>
      <c r="T58" s="32"/>
      <c r="U58" s="12">
        <v>10.763441999999998</v>
      </c>
      <c r="V58" s="33"/>
      <c r="W58" s="32"/>
      <c r="X58" s="12">
        <v>10.097828089757524</v>
      </c>
      <c r="Y58" s="33"/>
      <c r="Z58" s="32"/>
      <c r="AA58" s="12">
        <f>'RESULTADOS RAGEI 2016'!I15</f>
        <v>9.473230031598781</v>
      </c>
      <c r="AB58" s="33"/>
    </row>
    <row r="59" spans="2:28" ht="12.75">
      <c r="B59" s="454"/>
      <c r="C59" s="452"/>
      <c r="D59" s="452"/>
      <c r="E59" s="452" t="s">
        <v>596</v>
      </c>
      <c r="F59" s="455"/>
      <c r="G59" s="440" t="s">
        <v>578</v>
      </c>
      <c r="H59" s="32"/>
      <c r="I59" s="12">
        <v>11.13577</v>
      </c>
      <c r="J59" s="33"/>
      <c r="K59" s="32"/>
      <c r="L59" s="12">
        <v>9.133135052165223</v>
      </c>
      <c r="M59" s="33"/>
      <c r="N59" s="32"/>
      <c r="O59" s="12">
        <v>7.902493035581933</v>
      </c>
      <c r="P59" s="33"/>
      <c r="Q59" s="32"/>
      <c r="R59" s="12">
        <v>6.94608428874678</v>
      </c>
      <c r="S59" s="33"/>
      <c r="T59" s="32"/>
      <c r="U59" s="12">
        <v>6.622500000000002</v>
      </c>
      <c r="V59" s="33"/>
      <c r="W59" s="32"/>
      <c r="X59" s="12">
        <v>6.326930818268103</v>
      </c>
      <c r="Y59" s="33"/>
      <c r="Z59" s="32"/>
      <c r="AA59" s="12">
        <f>'RESULTADOS RAGEI 2016'!I16</f>
        <v>5.900077086570447</v>
      </c>
      <c r="AB59" s="33"/>
    </row>
    <row r="60" spans="2:28" ht="12.75">
      <c r="B60" s="454"/>
      <c r="C60" s="452"/>
      <c r="D60" s="452"/>
      <c r="E60" s="452" t="s">
        <v>597</v>
      </c>
      <c r="F60" s="455"/>
      <c r="G60" s="440" t="s">
        <v>579</v>
      </c>
      <c r="H60" s="32"/>
      <c r="I60" s="12">
        <v>0.6914534794520548</v>
      </c>
      <c r="J60" s="33"/>
      <c r="K60" s="32"/>
      <c r="L60" s="12">
        <v>0.8185894931506849</v>
      </c>
      <c r="M60" s="33"/>
      <c r="N60" s="32"/>
      <c r="O60" s="12">
        <v>0.8660986849315068</v>
      </c>
      <c r="P60" s="33"/>
      <c r="Q60" s="32"/>
      <c r="R60" s="12">
        <v>0.936200712328767</v>
      </c>
      <c r="S60" s="33"/>
      <c r="T60" s="32"/>
      <c r="U60" s="12">
        <v>0.8593645890410958</v>
      </c>
      <c r="V60" s="33"/>
      <c r="W60" s="32"/>
      <c r="X60" s="12">
        <v>0.9214155616438356</v>
      </c>
      <c r="Y60" s="33"/>
      <c r="Z60" s="32"/>
      <c r="AA60" s="12">
        <f>'RESULTADOS RAGEI 2016'!I17</f>
        <v>0.9047004246575341</v>
      </c>
      <c r="AB60" s="33"/>
    </row>
    <row r="61" spans="2:28" ht="12.75">
      <c r="B61" s="454"/>
      <c r="C61" s="452"/>
      <c r="D61" s="452"/>
      <c r="E61" s="452" t="s">
        <v>598</v>
      </c>
      <c r="F61" s="455"/>
      <c r="G61" s="440" t="s">
        <v>580</v>
      </c>
      <c r="H61" s="32"/>
      <c r="I61" s="11"/>
      <c r="J61" s="33"/>
      <c r="K61" s="32"/>
      <c r="L61" s="11"/>
      <c r="M61" s="33"/>
      <c r="N61" s="32"/>
      <c r="O61" s="11"/>
      <c r="P61" s="33"/>
      <c r="Q61" s="32"/>
      <c r="R61" s="11"/>
      <c r="S61" s="33"/>
      <c r="T61" s="32"/>
      <c r="U61" s="11"/>
      <c r="V61" s="33"/>
      <c r="W61" s="32"/>
      <c r="X61" s="11"/>
      <c r="Y61" s="33"/>
      <c r="Z61" s="32"/>
      <c r="AA61" s="11"/>
      <c r="AB61" s="33"/>
    </row>
    <row r="62" spans="2:28" ht="12.75">
      <c r="B62" s="454"/>
      <c r="C62" s="452"/>
      <c r="D62" s="452"/>
      <c r="E62" s="452" t="s">
        <v>599</v>
      </c>
      <c r="F62" s="455"/>
      <c r="G62" s="440" t="s">
        <v>581</v>
      </c>
      <c r="H62" s="32"/>
      <c r="I62" s="12">
        <v>0.07236113136491383</v>
      </c>
      <c r="J62" s="33"/>
      <c r="K62" s="32"/>
      <c r="L62" s="12">
        <v>0.08752351465536055</v>
      </c>
      <c r="M62" s="33"/>
      <c r="N62" s="32"/>
      <c r="O62" s="12">
        <v>0.10517152317252282</v>
      </c>
      <c r="P62" s="33"/>
      <c r="Q62" s="32"/>
      <c r="R62" s="12">
        <v>0.12465596922708334</v>
      </c>
      <c r="S62" s="33"/>
      <c r="T62" s="32"/>
      <c r="U62" s="12">
        <v>0.13342556367414232</v>
      </c>
      <c r="V62" s="33"/>
      <c r="W62" s="32"/>
      <c r="X62" s="12">
        <v>0.1428121023978591</v>
      </c>
      <c r="Y62" s="33"/>
      <c r="Z62" s="32"/>
      <c r="AA62" s="12">
        <f>'RESULTADOS RAGEI 2016'!I19</f>
        <v>0.15279221569713072</v>
      </c>
      <c r="AB62" s="33"/>
    </row>
    <row r="63" spans="2:28" ht="12.75">
      <c r="B63" s="458"/>
      <c r="C63" s="459"/>
      <c r="D63" s="459" t="s">
        <v>600</v>
      </c>
      <c r="E63" s="459"/>
      <c r="F63" s="460"/>
      <c r="G63" s="433" t="s">
        <v>582</v>
      </c>
      <c r="H63" s="32"/>
      <c r="I63" s="21">
        <v>10.512665205239038</v>
      </c>
      <c r="J63" s="34">
        <v>0.8920453967553107</v>
      </c>
      <c r="K63" s="32"/>
      <c r="L63" s="21">
        <v>11.079766427012553</v>
      </c>
      <c r="M63" s="34">
        <v>0.9845396129491097</v>
      </c>
      <c r="N63" s="32"/>
      <c r="O63" s="21">
        <v>11.56033159197712</v>
      </c>
      <c r="P63" s="34">
        <v>1.0994746437939524</v>
      </c>
      <c r="Q63" s="32"/>
      <c r="R63" s="385">
        <v>11.954921642605981</v>
      </c>
      <c r="S63" s="389">
        <v>1.191478986828644</v>
      </c>
      <c r="T63" s="32"/>
      <c r="U63" s="21">
        <v>11.758594252401576</v>
      </c>
      <c r="V63" s="34">
        <v>1.1880963346432316</v>
      </c>
      <c r="W63" s="32"/>
      <c r="X63" s="21">
        <v>11.824076514524393</v>
      </c>
      <c r="Y63" s="34">
        <v>1.225005432832365</v>
      </c>
      <c r="Z63" s="32"/>
      <c r="AA63" s="21">
        <f>'RESULTADOS RAGEI 2016'!I20</f>
        <v>11.715910648244364</v>
      </c>
      <c r="AB63" s="34">
        <f>'RESULTADOS RAGEI 2016'!J20</f>
        <v>1.2122912769840113</v>
      </c>
    </row>
    <row r="64" spans="2:28" ht="12.75">
      <c r="B64" s="458"/>
      <c r="C64" s="452"/>
      <c r="D64" s="452"/>
      <c r="E64" s="452" t="s">
        <v>601</v>
      </c>
      <c r="F64" s="455"/>
      <c r="G64" s="440" t="s">
        <v>606</v>
      </c>
      <c r="H64" s="32"/>
      <c r="I64" s="12">
        <v>4.481180557787867</v>
      </c>
      <c r="J64" s="51">
        <v>0.3773024981566885</v>
      </c>
      <c r="K64" s="32"/>
      <c r="L64" s="12">
        <v>4.983839</v>
      </c>
      <c r="M64" s="51">
        <v>0.418400004955024</v>
      </c>
      <c r="N64" s="32"/>
      <c r="O64" s="12">
        <v>5.254797</v>
      </c>
      <c r="P64" s="51">
        <v>0.47133124954898603</v>
      </c>
      <c r="Q64" s="32"/>
      <c r="R64" s="12">
        <v>5.527570999999999</v>
      </c>
      <c r="S64" s="51">
        <v>0.5060918758977382</v>
      </c>
      <c r="T64" s="32"/>
      <c r="U64" s="12">
        <v>5.7081789999999994</v>
      </c>
      <c r="V64" s="51">
        <v>0.5316594720382675</v>
      </c>
      <c r="W64" s="32"/>
      <c r="X64" s="12">
        <v>5.621468999999999</v>
      </c>
      <c r="Y64" s="51">
        <v>0.5306665808561741</v>
      </c>
      <c r="Z64" s="32"/>
      <c r="AA64" s="12">
        <f>'RESULTADOS RAGEI 2016'!I21</f>
        <v>5.574096999999999</v>
      </c>
      <c r="AB64" s="51">
        <f>'RESULTADOS RAGEI 2016'!J21</f>
        <v>0.5333123859761223</v>
      </c>
    </row>
    <row r="65" spans="2:28" ht="12.75">
      <c r="B65" s="458"/>
      <c r="C65" s="452"/>
      <c r="D65" s="452"/>
      <c r="E65" s="452"/>
      <c r="F65" s="455" t="s">
        <v>602</v>
      </c>
      <c r="G65" s="437" t="s">
        <v>589</v>
      </c>
      <c r="H65" s="32"/>
      <c r="I65" s="26">
        <v>0.5097955577878667</v>
      </c>
      <c r="J65" s="35">
        <v>0.15131372256</v>
      </c>
      <c r="K65" s="32"/>
      <c r="L65" s="26">
        <v>0.55742</v>
      </c>
      <c r="M65" s="35">
        <v>0.16651785047039996</v>
      </c>
      <c r="N65" s="32"/>
      <c r="O65" s="26">
        <v>0.713133</v>
      </c>
      <c r="P65" s="35">
        <v>0.2128911621408</v>
      </c>
      <c r="Q65" s="32"/>
      <c r="R65" s="388">
        <v>0.7949739999999998</v>
      </c>
      <c r="S65" s="390">
        <v>0.23678688496319997</v>
      </c>
      <c r="T65" s="32"/>
      <c r="U65" s="26">
        <v>0.906825</v>
      </c>
      <c r="V65" s="35">
        <v>0.25844191401600003</v>
      </c>
      <c r="W65" s="32"/>
      <c r="X65" s="26">
        <v>0.918451</v>
      </c>
      <c r="Y65" s="35">
        <v>0.26304476140800004</v>
      </c>
      <c r="Z65" s="32"/>
      <c r="AA65" s="26">
        <f>'RESULTADOS RAGEI 2016'!I22</f>
        <v>0.93436</v>
      </c>
      <c r="AB65" s="35">
        <f>'RESULTADOS RAGEI 2016'!J22</f>
        <v>0.2692915258176</v>
      </c>
    </row>
    <row r="66" spans="2:28" ht="12.75">
      <c r="B66" s="458"/>
      <c r="C66" s="452"/>
      <c r="D66" s="452"/>
      <c r="E66" s="452"/>
      <c r="F66" s="455" t="s">
        <v>603</v>
      </c>
      <c r="G66" s="437" t="s">
        <v>564</v>
      </c>
      <c r="H66" s="32"/>
      <c r="I66" s="26">
        <v>3.9713849999999997</v>
      </c>
      <c r="J66" s="35">
        <v>0.22598877559668848</v>
      </c>
      <c r="K66" s="32"/>
      <c r="L66" s="26">
        <v>4.426419</v>
      </c>
      <c r="M66" s="35">
        <v>0.25188215448462403</v>
      </c>
      <c r="N66" s="32"/>
      <c r="O66" s="26">
        <v>4.541664</v>
      </c>
      <c r="P66" s="35">
        <v>0.258440087408186</v>
      </c>
      <c r="Q66" s="32"/>
      <c r="R66" s="388">
        <v>4.732596999999999</v>
      </c>
      <c r="S66" s="390">
        <v>0.26930499093453825</v>
      </c>
      <c r="T66" s="32"/>
      <c r="U66" s="26">
        <v>4.801353999999999</v>
      </c>
      <c r="V66" s="35">
        <v>0.27321755802226744</v>
      </c>
      <c r="W66" s="32"/>
      <c r="X66" s="26">
        <v>4.703017999999999</v>
      </c>
      <c r="Y66" s="35">
        <v>0.2676218194481741</v>
      </c>
      <c r="Z66" s="32"/>
      <c r="AA66" s="26">
        <f>'RESULTADOS RAGEI 2016'!I23</f>
        <v>4.639736999999999</v>
      </c>
      <c r="AB66" s="35">
        <f>'RESULTADOS RAGEI 2016'!J23</f>
        <v>0.2640208601585223</v>
      </c>
    </row>
    <row r="67" spans="2:28" ht="12.75">
      <c r="B67" s="458"/>
      <c r="C67" s="452"/>
      <c r="D67" s="452"/>
      <c r="E67" s="452" t="s">
        <v>604</v>
      </c>
      <c r="F67" s="456"/>
      <c r="G67" s="439" t="s">
        <v>576</v>
      </c>
      <c r="H67" s="32"/>
      <c r="I67" s="11"/>
      <c r="J67" s="51"/>
      <c r="K67" s="32"/>
      <c r="L67" s="11"/>
      <c r="M67" s="51"/>
      <c r="N67" s="32"/>
      <c r="O67" s="11"/>
      <c r="P67" s="51"/>
      <c r="Q67" s="32"/>
      <c r="R67" s="11"/>
      <c r="S67" s="51"/>
      <c r="T67" s="32"/>
      <c r="U67" s="11"/>
      <c r="V67" s="51"/>
      <c r="W67" s="32"/>
      <c r="X67" s="11"/>
      <c r="Y67" s="51"/>
      <c r="Z67" s="32"/>
      <c r="AA67" s="11"/>
      <c r="AB67" s="51">
        <f>'RESULTADOS RAGEI 2016'!J24</f>
        <v>0</v>
      </c>
    </row>
    <row r="68" spans="2:28" ht="12.75">
      <c r="B68" s="458"/>
      <c r="C68" s="452"/>
      <c r="D68" s="452"/>
      <c r="E68" s="452" t="s">
        <v>605</v>
      </c>
      <c r="F68" s="455"/>
      <c r="G68" s="440" t="s">
        <v>46</v>
      </c>
      <c r="H68" s="32"/>
      <c r="I68" s="12">
        <v>1.4473677999999999</v>
      </c>
      <c r="J68" s="36">
        <v>0</v>
      </c>
      <c r="K68" s="32"/>
      <c r="L68" s="12">
        <v>1.6803325500000001</v>
      </c>
      <c r="M68" s="36">
        <v>0</v>
      </c>
      <c r="N68" s="32"/>
      <c r="O68" s="12">
        <v>1.68835685</v>
      </c>
      <c r="P68" s="36">
        <v>0</v>
      </c>
      <c r="Q68" s="32"/>
      <c r="R68" s="12">
        <v>1.6178883999999998</v>
      </c>
      <c r="S68" s="36">
        <v>0</v>
      </c>
      <c r="T68" s="32"/>
      <c r="U68" s="12">
        <v>1.3986696</v>
      </c>
      <c r="V68" s="36">
        <v>0</v>
      </c>
      <c r="W68" s="32"/>
      <c r="X68" s="12">
        <v>1.3594092</v>
      </c>
      <c r="Y68" s="36">
        <v>0</v>
      </c>
      <c r="Z68" s="32"/>
      <c r="AA68" s="12">
        <f>'RESULTADOS RAGEI 2016'!I25</f>
        <v>1.32982335</v>
      </c>
      <c r="AB68" s="36">
        <f>'RESULTADOS RAGEI 2016'!J25</f>
        <v>0</v>
      </c>
    </row>
    <row r="69" spans="2:28" ht="12.75">
      <c r="B69" s="458"/>
      <c r="C69" s="452"/>
      <c r="D69" s="452"/>
      <c r="E69" s="452" t="s">
        <v>593</v>
      </c>
      <c r="F69" s="457"/>
      <c r="G69" s="441" t="s">
        <v>45</v>
      </c>
      <c r="H69" s="32"/>
      <c r="I69" s="12">
        <v>0.30026426</v>
      </c>
      <c r="J69" s="36">
        <v>0</v>
      </c>
      <c r="K69" s="32"/>
      <c r="L69" s="12">
        <v>0.30400422000000005</v>
      </c>
      <c r="M69" s="36">
        <v>0</v>
      </c>
      <c r="N69" s="32"/>
      <c r="O69" s="12">
        <v>0.29625672000000003</v>
      </c>
      <c r="P69" s="36">
        <v>0</v>
      </c>
      <c r="Q69" s="32"/>
      <c r="R69" s="12">
        <v>0.30527964</v>
      </c>
      <c r="S69" s="36">
        <v>0</v>
      </c>
      <c r="T69" s="32"/>
      <c r="U69" s="12">
        <v>0.31905491</v>
      </c>
      <c r="V69" s="36">
        <v>0</v>
      </c>
      <c r="W69" s="32"/>
      <c r="X69" s="12">
        <v>0.31414104</v>
      </c>
      <c r="Y69" s="36">
        <v>0</v>
      </c>
      <c r="Z69" s="32"/>
      <c r="AA69" s="12">
        <f>'RESULTADOS RAGEI 2016'!I26</f>
        <v>0.31028962</v>
      </c>
      <c r="AB69" s="36">
        <f>'RESULTADOS RAGEI 2016'!J26</f>
        <v>0</v>
      </c>
    </row>
    <row r="70" spans="2:28" ht="12.75">
      <c r="B70" s="458"/>
      <c r="C70" s="452"/>
      <c r="D70" s="452"/>
      <c r="E70" s="452" t="s">
        <v>594</v>
      </c>
      <c r="F70" s="455"/>
      <c r="G70" s="440" t="s">
        <v>577</v>
      </c>
      <c r="H70" s="32"/>
      <c r="I70" s="12">
        <v>0.8921919390592855</v>
      </c>
      <c r="J70" s="36">
        <v>0.4140629858988241</v>
      </c>
      <c r="K70" s="32"/>
      <c r="L70" s="12">
        <v>0.9440151420238446</v>
      </c>
      <c r="M70" s="36">
        <v>0.4441900091827733</v>
      </c>
      <c r="N70" s="32"/>
      <c r="O70" s="12">
        <v>1.089746748714979</v>
      </c>
      <c r="P70" s="36">
        <v>0.4955601811504038</v>
      </c>
      <c r="Q70" s="32"/>
      <c r="R70" s="12">
        <v>1.2000271502669537</v>
      </c>
      <c r="S70" s="36">
        <v>0.5285286029557216</v>
      </c>
      <c r="T70" s="32"/>
      <c r="U70" s="12">
        <v>1.1208159338244554</v>
      </c>
      <c r="V70" s="36">
        <v>0.5017688491198558</v>
      </c>
      <c r="W70" s="32"/>
      <c r="X70" s="12">
        <v>1.202622283440715</v>
      </c>
      <c r="Y70" s="36">
        <v>0.5307279486362504</v>
      </c>
      <c r="Z70" s="32"/>
      <c r="AA70" s="12">
        <f>'RESULTADOS RAGEI 2016'!I27</f>
        <v>1.1630068715908948</v>
      </c>
      <c r="AB70" s="36">
        <f>'RESULTADOS RAGEI 2016'!J27</f>
        <v>0.5089941208441816</v>
      </c>
    </row>
    <row r="71" spans="2:28" ht="12.75">
      <c r="B71" s="458"/>
      <c r="C71" s="452"/>
      <c r="D71" s="452"/>
      <c r="E71" s="452" t="s">
        <v>595</v>
      </c>
      <c r="F71" s="455"/>
      <c r="G71" s="440" t="s">
        <v>72</v>
      </c>
      <c r="H71" s="32"/>
      <c r="I71" s="12">
        <v>1.3860396600000002</v>
      </c>
      <c r="J71" s="36">
        <v>0</v>
      </c>
      <c r="K71" s="32"/>
      <c r="L71" s="12">
        <v>1.0437656373057171</v>
      </c>
      <c r="M71" s="36">
        <v>0</v>
      </c>
      <c r="N71" s="32"/>
      <c r="O71" s="12">
        <v>1.0354198422182672</v>
      </c>
      <c r="P71" s="36">
        <v>0</v>
      </c>
      <c r="Q71" s="32"/>
      <c r="R71" s="12">
        <v>0.8990244677437045</v>
      </c>
      <c r="S71" s="36">
        <v>0</v>
      </c>
      <c r="T71" s="32"/>
      <c r="U71" s="12">
        <v>0.8054721599999998</v>
      </c>
      <c r="V71" s="36">
        <v>0</v>
      </c>
      <c r="W71" s="32"/>
      <c r="X71" s="12">
        <v>0.7908308632857695</v>
      </c>
      <c r="Y71" s="36">
        <v>0</v>
      </c>
      <c r="Z71" s="32"/>
      <c r="AA71" s="12">
        <f>'RESULTADOS RAGEI 2016'!I28</f>
        <v>0.7549838982664938</v>
      </c>
      <c r="AB71" s="36">
        <f>'RESULTADOS RAGEI 2016'!J28</f>
        <v>0</v>
      </c>
    </row>
    <row r="72" spans="2:28" ht="12.75">
      <c r="B72" s="458"/>
      <c r="C72" s="452"/>
      <c r="D72" s="452"/>
      <c r="E72" s="452" t="s">
        <v>596</v>
      </c>
      <c r="F72" s="455"/>
      <c r="G72" s="440" t="s">
        <v>578</v>
      </c>
      <c r="H72" s="32"/>
      <c r="I72" s="12">
        <v>0.7885287</v>
      </c>
      <c r="J72" s="36">
        <v>0</v>
      </c>
      <c r="K72" s="32"/>
      <c r="L72" s="12">
        <v>0.6499698882839506</v>
      </c>
      <c r="M72" s="36">
        <v>0</v>
      </c>
      <c r="N72" s="32"/>
      <c r="O72" s="12">
        <v>0.5805152748048347</v>
      </c>
      <c r="P72" s="36">
        <v>0</v>
      </c>
      <c r="Q72" s="32"/>
      <c r="R72" s="12">
        <v>0.5122084144310877</v>
      </c>
      <c r="S72" s="36">
        <v>0</v>
      </c>
      <c r="T72" s="32"/>
      <c r="U72" s="12">
        <v>0.49493370000000014</v>
      </c>
      <c r="V72" s="36">
        <v>0</v>
      </c>
      <c r="W72" s="32"/>
      <c r="X72" s="12">
        <v>0.5004296877466099</v>
      </c>
      <c r="Y72" s="36">
        <v>0</v>
      </c>
      <c r="Z72" s="32"/>
      <c r="AA72" s="12">
        <f>'RESULTADOS RAGEI 2016'!I29</f>
        <v>0.47061804667402773</v>
      </c>
      <c r="AB72" s="36">
        <f>'RESULTADOS RAGEI 2016'!J29</f>
        <v>0</v>
      </c>
    </row>
    <row r="73" spans="2:28" ht="12.75">
      <c r="B73" s="458"/>
      <c r="C73" s="452"/>
      <c r="D73" s="452"/>
      <c r="E73" s="452" t="s">
        <v>597</v>
      </c>
      <c r="F73" s="455"/>
      <c r="G73" s="440" t="s">
        <v>579</v>
      </c>
      <c r="H73" s="32"/>
      <c r="I73" s="12">
        <v>0.7220913287671236</v>
      </c>
      <c r="J73" s="36">
        <v>0.060098868466560006</v>
      </c>
      <c r="K73" s="32"/>
      <c r="L73" s="12">
        <v>0.8620111643835615</v>
      </c>
      <c r="M73" s="36">
        <v>0.07114911377112</v>
      </c>
      <c r="N73" s="32"/>
      <c r="O73" s="12">
        <v>0.9118438767123288</v>
      </c>
      <c r="P73" s="36">
        <v>0.07527845689055998</v>
      </c>
      <c r="Q73" s="32"/>
      <c r="R73" s="12">
        <v>0.9837444246575341</v>
      </c>
      <c r="S73" s="36">
        <v>0.08137149517728001</v>
      </c>
      <c r="T73" s="32"/>
      <c r="U73" s="12">
        <v>0.9477420821917808</v>
      </c>
      <c r="V73" s="36">
        <v>0.0746931513636</v>
      </c>
      <c r="W73" s="32"/>
      <c r="X73" s="12">
        <v>1.0218735205479454</v>
      </c>
      <c r="Y73" s="36">
        <v>0.08008641837504</v>
      </c>
      <c r="Z73" s="32"/>
      <c r="AA73" s="12">
        <f>'RESULTADOS RAGEI 2016'!I30</f>
        <v>1.0002883972602739</v>
      </c>
      <c r="AB73" s="36">
        <f>'RESULTADOS RAGEI 2016'!J30</f>
        <v>0.07863359349384</v>
      </c>
    </row>
    <row r="74" spans="2:28" ht="12.75">
      <c r="B74" s="458"/>
      <c r="C74" s="452"/>
      <c r="D74" s="452"/>
      <c r="E74" s="452" t="s">
        <v>598</v>
      </c>
      <c r="F74" s="455"/>
      <c r="G74" s="440" t="s">
        <v>580</v>
      </c>
      <c r="H74" s="32"/>
      <c r="I74" s="54">
        <v>0.42263982825985014</v>
      </c>
      <c r="J74" s="36">
        <v>0.04058104423323811</v>
      </c>
      <c r="K74" s="32"/>
      <c r="L74" s="54">
        <v>0.5243053103601186</v>
      </c>
      <c r="M74" s="36">
        <v>0.050800485040192446</v>
      </c>
      <c r="N74" s="32"/>
      <c r="O74" s="54">
        <v>0.5982237563541873</v>
      </c>
      <c r="P74" s="36">
        <v>0.057304756204002584</v>
      </c>
      <c r="Q74" s="32"/>
      <c r="R74" s="54">
        <v>0.7845221762796214</v>
      </c>
      <c r="S74" s="36">
        <v>0.07548701279790415</v>
      </c>
      <c r="T74" s="32"/>
      <c r="U74" s="54">
        <v>0.8303013027111987</v>
      </c>
      <c r="V74" s="36">
        <v>0.07997486212150848</v>
      </c>
      <c r="W74" s="32"/>
      <c r="X74" s="54">
        <v>0.8704888171054936</v>
      </c>
      <c r="Y74" s="36">
        <v>0.0835244849649004</v>
      </c>
      <c r="Z74" s="32"/>
      <c r="AA74" s="54">
        <f>'RESULTADOS RAGEI 2016'!I31</f>
        <v>0.9600112487555427</v>
      </c>
      <c r="AB74" s="36">
        <f>'RESULTADOS RAGEI 2016'!J31</f>
        <v>0.09135117666986722</v>
      </c>
    </row>
    <row r="75" spans="2:28" ht="12.75">
      <c r="B75" s="458"/>
      <c r="C75" s="452"/>
      <c r="D75" s="452"/>
      <c r="E75" s="452" t="s">
        <v>599</v>
      </c>
      <c r="F75" s="455"/>
      <c r="G75" s="440" t="s">
        <v>581</v>
      </c>
      <c r="H75" s="32"/>
      <c r="I75" s="12">
        <v>0.07236113136491383</v>
      </c>
      <c r="J75" s="36">
        <v>0</v>
      </c>
      <c r="K75" s="32"/>
      <c r="L75" s="12">
        <v>0.08752351465536055</v>
      </c>
      <c r="M75" s="36">
        <v>0</v>
      </c>
      <c r="N75" s="32"/>
      <c r="O75" s="12">
        <v>0.1051715231725228</v>
      </c>
      <c r="P75" s="36">
        <v>0</v>
      </c>
      <c r="Q75" s="32"/>
      <c r="R75" s="12">
        <v>0.12465596922708333</v>
      </c>
      <c r="S75" s="36">
        <v>0</v>
      </c>
      <c r="T75" s="32"/>
      <c r="U75" s="12">
        <v>0.13342556367414232</v>
      </c>
      <c r="V75" s="36">
        <v>0</v>
      </c>
      <c r="W75" s="32"/>
      <c r="X75" s="12">
        <v>0.1428121023978591</v>
      </c>
      <c r="Y75" s="36">
        <v>0</v>
      </c>
      <c r="Z75" s="32"/>
      <c r="AA75" s="12">
        <f>'RESULTADOS RAGEI 2016'!I32</f>
        <v>0.15279221569713078</v>
      </c>
      <c r="AB75" s="36">
        <f>'RESULTADOS RAGEI 2016'!J32</f>
        <v>0</v>
      </c>
    </row>
    <row r="76" spans="2:28" ht="14.25">
      <c r="B76" s="458"/>
      <c r="C76" s="452" t="s">
        <v>607</v>
      </c>
      <c r="D76" s="452"/>
      <c r="E76" s="452"/>
      <c r="F76" s="455"/>
      <c r="G76" s="431" t="s">
        <v>887</v>
      </c>
      <c r="H76" s="52">
        <v>155.19753333333335</v>
      </c>
      <c r="I76" s="49">
        <v>67.10112417630754</v>
      </c>
      <c r="J76" s="53">
        <v>27.931636205564217</v>
      </c>
      <c r="K76" s="52">
        <v>256.768358</v>
      </c>
      <c r="L76" s="49">
        <v>72.7368617099905</v>
      </c>
      <c r="M76" s="53">
        <v>32.65872241628954</v>
      </c>
      <c r="N76" s="52">
        <v>181.76824972093337</v>
      </c>
      <c r="O76" s="49">
        <v>81.24795172244575</v>
      </c>
      <c r="P76" s="53">
        <v>33.99641204181448</v>
      </c>
      <c r="Q76" s="52">
        <v>239.8334252013333</v>
      </c>
      <c r="R76" s="49">
        <v>86.64352873537923</v>
      </c>
      <c r="S76" s="53">
        <v>36.566708276557485</v>
      </c>
      <c r="T76" s="52">
        <v>293.8697813692667</v>
      </c>
      <c r="U76" s="49">
        <v>87.55579989652135</v>
      </c>
      <c r="V76" s="53">
        <v>37.69939092848793</v>
      </c>
      <c r="W76" s="52">
        <v>250.73442093333338</v>
      </c>
      <c r="X76" s="49">
        <v>85.94319491270447</v>
      </c>
      <c r="Y76" s="53">
        <v>37.494016359218</v>
      </c>
      <c r="Z76" s="52">
        <f>'RESULTADOS RAGEI 2016'!H33</f>
        <v>262.53951122300003</v>
      </c>
      <c r="AA76" s="49">
        <f>'RESULTADOS RAGEI 2016'!I33</f>
        <v>91.14509583748553</v>
      </c>
      <c r="AB76" s="53">
        <f>'RESULTADOS RAGEI 2016'!J33</f>
        <v>37.57747020602381</v>
      </c>
    </row>
    <row r="77" spans="2:28" ht="15">
      <c r="B77" s="458"/>
      <c r="C77" s="452"/>
      <c r="D77" s="452" t="s">
        <v>608</v>
      </c>
      <c r="E77" s="452"/>
      <c r="F77" s="455"/>
      <c r="G77" s="433" t="s">
        <v>609</v>
      </c>
      <c r="H77" s="37"/>
      <c r="I77" s="21">
        <v>37.188017225959726</v>
      </c>
      <c r="J77" s="34">
        <v>3.2920610195390414</v>
      </c>
      <c r="K77" s="37"/>
      <c r="L77" s="21">
        <v>37.319443620546444</v>
      </c>
      <c r="M77" s="34">
        <v>3.2807537635878554</v>
      </c>
      <c r="N77" s="37"/>
      <c r="O77" s="21">
        <v>37.716223835145485</v>
      </c>
      <c r="P77" s="34">
        <v>3.305179199360824</v>
      </c>
      <c r="Q77" s="391"/>
      <c r="R77" s="385">
        <v>38.78928064755217</v>
      </c>
      <c r="S77" s="389">
        <v>3.3808004642662697</v>
      </c>
      <c r="T77" s="37"/>
      <c r="U77" s="21">
        <v>39.09328884321059</v>
      </c>
      <c r="V77" s="34">
        <v>3.4027339295367436</v>
      </c>
      <c r="W77" s="37"/>
      <c r="X77" s="21">
        <v>39.30039250686683</v>
      </c>
      <c r="Y77" s="34">
        <v>3.4137117014149236</v>
      </c>
      <c r="Z77" s="37"/>
      <c r="AA77" s="21">
        <f>'RESULTADOS RAGEI 2016'!I34</f>
        <v>39.48282350527688</v>
      </c>
      <c r="AB77" s="34">
        <f>'RESULTADOS RAGEI 2016'!J34</f>
        <v>3.4264223469076556</v>
      </c>
    </row>
    <row r="78" spans="2:28" ht="15">
      <c r="B78" s="458"/>
      <c r="C78" s="452"/>
      <c r="D78" s="452"/>
      <c r="E78" s="452" t="s">
        <v>612</v>
      </c>
      <c r="F78" s="455"/>
      <c r="G78" s="440" t="s">
        <v>610</v>
      </c>
      <c r="H78" s="32"/>
      <c r="I78" s="12">
        <v>1.5810513196594118</v>
      </c>
      <c r="J78" s="36">
        <v>0.04099021939857733</v>
      </c>
      <c r="K78" s="32"/>
      <c r="L78" s="12">
        <v>1.937545962978438</v>
      </c>
      <c r="M78" s="36">
        <v>0.0502326731142558</v>
      </c>
      <c r="N78" s="32"/>
      <c r="O78" s="12">
        <v>2.118069178563496</v>
      </c>
      <c r="P78" s="36">
        <v>0.05491290462942397</v>
      </c>
      <c r="Q78" s="32"/>
      <c r="R78" s="12">
        <v>2.4599784336663615</v>
      </c>
      <c r="S78" s="36">
        <v>0.06377721865060937</v>
      </c>
      <c r="T78" s="32"/>
      <c r="U78" s="12">
        <v>2.5490568267912046</v>
      </c>
      <c r="V78" s="36">
        <v>0.06608665847236458</v>
      </c>
      <c r="W78" s="32"/>
      <c r="X78" s="12">
        <v>2.670376565534039</v>
      </c>
      <c r="Y78" s="36">
        <v>0.06923198503236397</v>
      </c>
      <c r="Z78" s="32"/>
      <c r="AA78" s="12">
        <f>'RESULTADOS RAGEI 2016'!I35</f>
        <v>2.7307343674765012</v>
      </c>
      <c r="AB78" s="36">
        <f>'RESULTADOS RAGEI 2016'!J35</f>
        <v>0.07079681693457597</v>
      </c>
    </row>
    <row r="79" spans="2:28" ht="15">
      <c r="B79" s="458"/>
      <c r="C79" s="452"/>
      <c r="D79" s="452"/>
      <c r="E79" s="452" t="s">
        <v>613</v>
      </c>
      <c r="F79" s="455"/>
      <c r="G79" s="440" t="s">
        <v>611</v>
      </c>
      <c r="H79" s="32"/>
      <c r="I79" s="12">
        <v>35.60696590630032</v>
      </c>
      <c r="J79" s="36">
        <v>3.251070800140464</v>
      </c>
      <c r="K79" s="32"/>
      <c r="L79" s="12">
        <v>35.381897657568004</v>
      </c>
      <c r="M79" s="36">
        <v>3.2305210904735997</v>
      </c>
      <c r="N79" s="32"/>
      <c r="O79" s="12">
        <v>35.59815465658199</v>
      </c>
      <c r="P79" s="36">
        <v>3.2502662947314</v>
      </c>
      <c r="Q79" s="32"/>
      <c r="R79" s="12">
        <v>36.3293022138858</v>
      </c>
      <c r="S79" s="36">
        <v>3.31702324561566</v>
      </c>
      <c r="T79" s="32"/>
      <c r="U79" s="12">
        <v>36.544232016419386</v>
      </c>
      <c r="V79" s="36">
        <v>3.336647271064379</v>
      </c>
      <c r="W79" s="32"/>
      <c r="X79" s="12">
        <v>36.630015941332786</v>
      </c>
      <c r="Y79" s="36">
        <v>3.3444797163825597</v>
      </c>
      <c r="Z79" s="32"/>
      <c r="AA79" s="12">
        <f>'RESULTADOS RAGEI 2016'!I36</f>
        <v>36.75208913780038</v>
      </c>
      <c r="AB79" s="36">
        <f>'RESULTADOS RAGEI 2016'!J36</f>
        <v>3.3556255299730795</v>
      </c>
    </row>
    <row r="80" spans="2:28" ht="15">
      <c r="B80" s="458"/>
      <c r="C80" s="452"/>
      <c r="D80" s="452" t="s">
        <v>614</v>
      </c>
      <c r="E80" s="452"/>
      <c r="F80" s="455"/>
      <c r="G80" s="433" t="s">
        <v>615</v>
      </c>
      <c r="H80" s="37"/>
      <c r="I80" s="25"/>
      <c r="J80" s="38"/>
      <c r="K80" s="37"/>
      <c r="L80" s="25"/>
      <c r="M80" s="38"/>
      <c r="N80" s="37"/>
      <c r="O80" s="25"/>
      <c r="P80" s="38"/>
      <c r="Q80" s="391"/>
      <c r="R80" s="392"/>
      <c r="S80" s="393"/>
      <c r="T80" s="37"/>
      <c r="U80" s="25"/>
      <c r="V80" s="38"/>
      <c r="W80" s="37"/>
      <c r="X80" s="25"/>
      <c r="Y80" s="38"/>
      <c r="Z80" s="37"/>
      <c r="AA80" s="25"/>
      <c r="AB80" s="38"/>
    </row>
    <row r="81" spans="2:28" ht="15">
      <c r="B81" s="458"/>
      <c r="C81" s="452"/>
      <c r="D81" s="452" t="s">
        <v>616</v>
      </c>
      <c r="E81" s="452"/>
      <c r="F81" s="455"/>
      <c r="G81" s="433" t="s">
        <v>617</v>
      </c>
      <c r="H81" s="39">
        <v>155.19753333333335</v>
      </c>
      <c r="I81" s="25"/>
      <c r="J81" s="38"/>
      <c r="K81" s="39">
        <v>256.768358</v>
      </c>
      <c r="L81" s="25"/>
      <c r="M81" s="38"/>
      <c r="N81" s="39">
        <v>181.76824972093337</v>
      </c>
      <c r="O81" s="25"/>
      <c r="P81" s="38"/>
      <c r="Q81" s="394">
        <v>239.8334252013333</v>
      </c>
      <c r="R81" s="392"/>
      <c r="S81" s="393"/>
      <c r="T81" s="39">
        <v>293.8697813692667</v>
      </c>
      <c r="U81" s="25"/>
      <c r="V81" s="38"/>
      <c r="W81" s="39">
        <v>250.73442093333338</v>
      </c>
      <c r="X81" s="25"/>
      <c r="Y81" s="38"/>
      <c r="Z81" s="39">
        <f>'RESULTADOS RAGEI 2016'!H38</f>
        <v>262.53951122300003</v>
      </c>
      <c r="AA81" s="25"/>
      <c r="AB81" s="38"/>
    </row>
    <row r="82" spans="2:28" ht="15">
      <c r="B82" s="458"/>
      <c r="C82" s="452"/>
      <c r="D82" s="452" t="s">
        <v>618</v>
      </c>
      <c r="E82" s="452"/>
      <c r="F82" s="455"/>
      <c r="G82" s="433" t="s">
        <v>888</v>
      </c>
      <c r="H82" s="37"/>
      <c r="I82" s="25"/>
      <c r="J82" s="34">
        <v>17.852129822174522</v>
      </c>
      <c r="K82" s="37"/>
      <c r="L82" s="25"/>
      <c r="M82" s="34">
        <v>21.375204822712522</v>
      </c>
      <c r="N82" s="37"/>
      <c r="O82" s="25"/>
      <c r="P82" s="34">
        <v>22.317935949520795</v>
      </c>
      <c r="Q82" s="391"/>
      <c r="R82" s="392"/>
      <c r="S82" s="389">
        <v>24.14925516006273</v>
      </c>
      <c r="T82" s="37"/>
      <c r="U82" s="25"/>
      <c r="V82" s="34">
        <v>25.04242572861752</v>
      </c>
      <c r="W82" s="37"/>
      <c r="X82" s="25"/>
      <c r="Y82" s="34">
        <v>24.853553780865138</v>
      </c>
      <c r="Z82" s="37"/>
      <c r="AA82" s="25"/>
      <c r="AB82" s="34">
        <f>'RESULTADOS RAGEI 2016'!J39</f>
        <v>24.870514418783323</v>
      </c>
    </row>
    <row r="83" spans="2:28" ht="15">
      <c r="B83" s="458"/>
      <c r="C83" s="459"/>
      <c r="D83" s="452" t="s">
        <v>619</v>
      </c>
      <c r="E83" s="459"/>
      <c r="F83" s="460"/>
      <c r="G83" s="433" t="s">
        <v>889</v>
      </c>
      <c r="H83" s="37"/>
      <c r="I83" s="25"/>
      <c r="J83" s="34">
        <v>6.395212915378393</v>
      </c>
      <c r="K83" s="37"/>
      <c r="L83" s="25"/>
      <c r="M83" s="34">
        <v>7.543319590114227</v>
      </c>
      <c r="N83" s="37"/>
      <c r="O83" s="25"/>
      <c r="P83" s="34">
        <v>7.861974239371526</v>
      </c>
      <c r="Q83" s="391"/>
      <c r="R83" s="392"/>
      <c r="S83" s="389">
        <v>8.431117632523222</v>
      </c>
      <c r="T83" s="37"/>
      <c r="U83" s="25"/>
      <c r="V83" s="34">
        <v>8.628030937206582</v>
      </c>
      <c r="W83" s="37"/>
      <c r="X83" s="25"/>
      <c r="Y83" s="34">
        <v>8.581054775054408</v>
      </c>
      <c r="Z83" s="37"/>
      <c r="AA83" s="25"/>
      <c r="AB83" s="34">
        <f>'RESULTADOS RAGEI 2016'!J40</f>
        <v>8.605364800762736</v>
      </c>
    </row>
    <row r="84" spans="2:28" ht="15">
      <c r="B84" s="458"/>
      <c r="C84" s="459"/>
      <c r="D84" s="452" t="s">
        <v>620</v>
      </c>
      <c r="E84" s="459"/>
      <c r="F84" s="460"/>
      <c r="G84" s="433" t="s">
        <v>890</v>
      </c>
      <c r="H84" s="37"/>
      <c r="I84" s="25"/>
      <c r="J84" s="34">
        <v>0.39223244847225885</v>
      </c>
      <c r="K84" s="37"/>
      <c r="L84" s="25"/>
      <c r="M84" s="34">
        <v>0.45944423987493627</v>
      </c>
      <c r="N84" s="37"/>
      <c r="O84" s="25"/>
      <c r="P84" s="34">
        <v>0.5113226535613349</v>
      </c>
      <c r="Q84" s="391"/>
      <c r="R84" s="392"/>
      <c r="S84" s="389">
        <v>0.6055350197052669</v>
      </c>
      <c r="T84" s="37"/>
      <c r="U84" s="25"/>
      <c r="V84" s="34">
        <v>0.6262003331270832</v>
      </c>
      <c r="W84" s="37"/>
      <c r="X84" s="25"/>
      <c r="Y84" s="34">
        <v>0.6456961018835331</v>
      </c>
      <c r="Z84" s="37"/>
      <c r="AA84" s="25"/>
      <c r="AB84" s="34">
        <f>'RESULTADOS RAGEI 2016'!J41</f>
        <v>0.6751686395700939</v>
      </c>
    </row>
    <row r="85" spans="2:28" ht="15.75" thickBot="1">
      <c r="B85" s="461"/>
      <c r="C85" s="462"/>
      <c r="D85" s="463" t="s">
        <v>621</v>
      </c>
      <c r="E85" s="462"/>
      <c r="F85" s="464"/>
      <c r="G85" s="442" t="s">
        <v>622</v>
      </c>
      <c r="H85" s="40"/>
      <c r="I85" s="41">
        <v>29.913106950347817</v>
      </c>
      <c r="J85" s="42"/>
      <c r="K85" s="40"/>
      <c r="L85" s="41">
        <v>35.41741808944407</v>
      </c>
      <c r="M85" s="42"/>
      <c r="N85" s="40"/>
      <c r="O85" s="41">
        <v>43.53172788730026</v>
      </c>
      <c r="P85" s="42"/>
      <c r="Q85" s="396"/>
      <c r="R85" s="397">
        <v>47.85424808782707</v>
      </c>
      <c r="S85" s="398"/>
      <c r="T85" s="40"/>
      <c r="U85" s="41">
        <v>48.46251105331076</v>
      </c>
      <c r="V85" s="42"/>
      <c r="W85" s="40"/>
      <c r="X85" s="41">
        <v>46.64280240583764</v>
      </c>
      <c r="Y85" s="42"/>
      <c r="Z85" s="40"/>
      <c r="AA85" s="41">
        <f>'RESULTADOS RAGEI 2016'!I42</f>
        <v>51.662272332208644</v>
      </c>
      <c r="AB85" s="42"/>
    </row>
  </sheetData>
  <mergeCells count="10">
    <mergeCell ref="B47:F47"/>
    <mergeCell ref="H46:J46"/>
    <mergeCell ref="K46:M46"/>
    <mergeCell ref="N46:P46"/>
    <mergeCell ref="Q46:S46"/>
    <mergeCell ref="T46:V46"/>
    <mergeCell ref="W46:Y46"/>
    <mergeCell ref="Z46:AB46"/>
    <mergeCell ref="H4:N4"/>
    <mergeCell ref="B5:F5"/>
  </mergeCells>
  <printOptions/>
  <pageMargins left="0.25" right="0.25" top="0.75" bottom="0.75" header="0.511805555555555" footer="0.511805555555555"/>
  <pageSetup horizontalDpi="300" verticalDpi="300" orientation="landscape" paperSize="9"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AN46"/>
  <sheetViews>
    <sheetView zoomScale="40" zoomScaleNormal="40" workbookViewId="0" topLeftCell="A1">
      <selection activeCell="W42" sqref="W42"/>
    </sheetView>
  </sheetViews>
  <sheetFormatPr defaultColWidth="11.421875" defaultRowHeight="15"/>
  <cols>
    <col min="2" max="2" width="3.140625" style="0" bestFit="1" customWidth="1"/>
    <col min="3" max="3" width="4.57421875" style="0" bestFit="1" customWidth="1"/>
    <col min="4" max="4" width="50.00390625" style="0" bestFit="1" customWidth="1"/>
    <col min="5" max="5" width="12.7109375" style="0" bestFit="1" customWidth="1"/>
    <col min="6" max="7" width="11.140625" style="0" bestFit="1" customWidth="1"/>
    <col min="8" max="8" width="10.140625" style="0" bestFit="1" customWidth="1"/>
    <col min="9" max="10" width="11.140625" style="0" bestFit="1" customWidth="1"/>
    <col min="11" max="11" width="10.140625" style="0" customWidth="1"/>
    <col min="12" max="13" width="11.140625" style="0" bestFit="1" customWidth="1"/>
    <col min="14" max="14" width="10.140625" style="0" customWidth="1"/>
    <col min="15" max="16" width="11.140625" style="0" bestFit="1" customWidth="1"/>
    <col min="17" max="17" width="10.28125" style="0" customWidth="1"/>
    <col min="18" max="19" width="11.140625" style="0" bestFit="1" customWidth="1"/>
    <col min="20" max="20" width="14.140625" style="0" customWidth="1"/>
    <col min="21" max="22" width="11.140625" style="0" bestFit="1" customWidth="1"/>
    <col min="23" max="23" width="10.140625" style="0" bestFit="1" customWidth="1"/>
    <col min="25" max="25" width="10.140625" style="0" bestFit="1" customWidth="1"/>
    <col min="26" max="26" width="12.421875" style="0" customWidth="1"/>
    <col min="27" max="27" width="43.28125" style="0" bestFit="1" customWidth="1"/>
  </cols>
  <sheetData>
    <row r="2" spans="2:33" ht="21" customHeight="1">
      <c r="B2" s="1525" t="s">
        <v>1642</v>
      </c>
      <c r="C2" s="1525"/>
      <c r="D2" s="1525"/>
      <c r="E2" s="1525"/>
      <c r="F2" s="1525"/>
      <c r="G2" s="1525"/>
      <c r="H2" s="1525"/>
      <c r="I2" s="1525"/>
      <c r="J2" s="1525"/>
      <c r="AA2" s="1526" t="s">
        <v>1318</v>
      </c>
      <c r="AB2" s="1526"/>
      <c r="AC2" s="1526"/>
      <c r="AD2" s="1526"/>
      <c r="AE2" s="1526"/>
      <c r="AF2" s="1526"/>
      <c r="AG2" s="1526"/>
    </row>
    <row r="4" spans="2:40" ht="19.9" customHeight="1">
      <c r="B4" s="1527" t="s">
        <v>1319</v>
      </c>
      <c r="C4" s="1528"/>
      <c r="D4" s="1533" t="s">
        <v>1320</v>
      </c>
      <c r="E4" s="1021">
        <v>1994</v>
      </c>
      <c r="F4" s="1536">
        <v>2000</v>
      </c>
      <c r="G4" s="1536"/>
      <c r="H4" s="1536"/>
      <c r="I4" s="1536">
        <v>2005</v>
      </c>
      <c r="J4" s="1536"/>
      <c r="K4" s="1536"/>
      <c r="L4" s="1536">
        <v>2010</v>
      </c>
      <c r="M4" s="1536"/>
      <c r="N4" s="1536"/>
      <c r="O4" s="1536">
        <v>2012</v>
      </c>
      <c r="P4" s="1536"/>
      <c r="Q4" s="1536"/>
      <c r="R4" s="1536">
        <v>2014</v>
      </c>
      <c r="S4" s="1536"/>
      <c r="T4" s="1536"/>
      <c r="U4" s="1536">
        <v>2016</v>
      </c>
      <c r="V4" s="1536"/>
      <c r="W4" s="1536"/>
      <c r="AA4" s="1518" t="s">
        <v>1320</v>
      </c>
      <c r="AB4" s="1022">
        <v>1994</v>
      </c>
      <c r="AC4" s="1515">
        <v>2000</v>
      </c>
      <c r="AD4" s="1515"/>
      <c r="AE4" s="1515">
        <v>2005</v>
      </c>
      <c r="AF4" s="1515"/>
      <c r="AG4" s="1515">
        <v>2010</v>
      </c>
      <c r="AH4" s="1515"/>
      <c r="AI4" s="1515">
        <v>2012</v>
      </c>
      <c r="AJ4" s="1515"/>
      <c r="AK4" s="1515">
        <v>2014</v>
      </c>
      <c r="AL4" s="1515"/>
      <c r="AM4" s="1515">
        <v>2016</v>
      </c>
      <c r="AN4" s="1515"/>
    </row>
    <row r="5" spans="2:40" ht="75">
      <c r="B5" s="1529"/>
      <c r="C5" s="1530"/>
      <c r="D5" s="1534"/>
      <c r="E5" s="1021" t="s">
        <v>1321</v>
      </c>
      <c r="F5" s="1536" t="s">
        <v>1321</v>
      </c>
      <c r="G5" s="1536"/>
      <c r="H5" s="1536"/>
      <c r="I5" s="1536" t="s">
        <v>1321</v>
      </c>
      <c r="J5" s="1536"/>
      <c r="K5" s="1536"/>
      <c r="L5" s="1536" t="s">
        <v>1321</v>
      </c>
      <c r="M5" s="1536"/>
      <c r="N5" s="1536"/>
      <c r="O5" s="1536" t="s">
        <v>1321</v>
      </c>
      <c r="P5" s="1536"/>
      <c r="Q5" s="1536"/>
      <c r="R5" s="1536" t="s">
        <v>1321</v>
      </c>
      <c r="S5" s="1536"/>
      <c r="T5" s="1536"/>
      <c r="U5" s="1536" t="s">
        <v>1321</v>
      </c>
      <c r="V5" s="1536"/>
      <c r="W5" s="1536"/>
      <c r="AA5" s="1518"/>
      <c r="AB5" s="1022" t="s">
        <v>14</v>
      </c>
      <c r="AC5" s="1023" t="s">
        <v>1322</v>
      </c>
      <c r="AD5" s="1023" t="s">
        <v>14</v>
      </c>
      <c r="AE5" s="1023" t="s">
        <v>1322</v>
      </c>
      <c r="AF5" s="1023" t="s">
        <v>14</v>
      </c>
      <c r="AG5" s="1023" t="s">
        <v>1322</v>
      </c>
      <c r="AH5" s="1023" t="s">
        <v>14</v>
      </c>
      <c r="AI5" s="1023" t="s">
        <v>1322</v>
      </c>
      <c r="AJ5" s="1023" t="s">
        <v>14</v>
      </c>
      <c r="AK5" s="1023" t="s">
        <v>1322</v>
      </c>
      <c r="AL5" s="1023" t="s">
        <v>14</v>
      </c>
      <c r="AM5" s="1023" t="s">
        <v>1322</v>
      </c>
      <c r="AN5" s="1023" t="s">
        <v>14</v>
      </c>
    </row>
    <row r="6" spans="2:40" ht="19.9" customHeight="1">
      <c r="B6" s="1531"/>
      <c r="C6" s="1532"/>
      <c r="D6" s="1535"/>
      <c r="E6" s="1024" t="s">
        <v>14</v>
      </c>
      <c r="F6" s="1024" t="s">
        <v>1322</v>
      </c>
      <c r="G6" s="1024" t="s">
        <v>14</v>
      </c>
      <c r="H6" s="1024" t="s">
        <v>1323</v>
      </c>
      <c r="I6" s="1024" t="s">
        <v>1322</v>
      </c>
      <c r="J6" s="1024" t="s">
        <v>14</v>
      </c>
      <c r="K6" s="1024" t="s">
        <v>1323</v>
      </c>
      <c r="L6" s="1024" t="s">
        <v>1322</v>
      </c>
      <c r="M6" s="1024" t="s">
        <v>14</v>
      </c>
      <c r="N6" s="1024" t="s">
        <v>1323</v>
      </c>
      <c r="O6" s="1024" t="s">
        <v>1322</v>
      </c>
      <c r="P6" s="1024" t="s">
        <v>14</v>
      </c>
      <c r="Q6" s="1024" t="s">
        <v>1323</v>
      </c>
      <c r="R6" s="1024" t="s">
        <v>1322</v>
      </c>
      <c r="S6" s="1024" t="s">
        <v>14</v>
      </c>
      <c r="T6" s="1024" t="s">
        <v>1323</v>
      </c>
      <c r="U6" s="1024" t="s">
        <v>1322</v>
      </c>
      <c r="V6" s="1024" t="s">
        <v>14</v>
      </c>
      <c r="W6" s="1024" t="s">
        <v>1323</v>
      </c>
      <c r="AA6" s="1025" t="s">
        <v>575</v>
      </c>
      <c r="AB6" s="1026">
        <v>9484.368573448253</v>
      </c>
      <c r="AC6" s="1026">
        <v>8664.894</v>
      </c>
      <c r="AD6" s="1026">
        <v>10376.092414830095</v>
      </c>
      <c r="AE6" s="1026">
        <v>9042.4577</v>
      </c>
      <c r="AF6" s="1026">
        <v>11089.309140313078</v>
      </c>
      <c r="AG6" s="1026">
        <v>9384.1854</v>
      </c>
      <c r="AH6" s="1026">
        <v>11564.623946880698</v>
      </c>
      <c r="AI6" s="1026">
        <v>9252.3574</v>
      </c>
      <c r="AJ6" s="1026">
        <v>11613.42636952543</v>
      </c>
      <c r="AK6" s="1026">
        <v>9214.9632</v>
      </c>
      <c r="AL6" s="1026">
        <v>11533.32232526735</v>
      </c>
      <c r="AM6" s="1026">
        <v>9063.815</v>
      </c>
      <c r="AN6" s="1026">
        <v>11462.848005765238</v>
      </c>
    </row>
    <row r="7" spans="2:40" s="645" customFormat="1" ht="19.9" customHeight="1">
      <c r="B7" s="1539" t="s">
        <v>585</v>
      </c>
      <c r="C7" s="1540"/>
      <c r="D7" s="1027" t="s">
        <v>169</v>
      </c>
      <c r="E7" s="1028">
        <f>SUM(E8:E9)</f>
        <v>9981.66861575242</v>
      </c>
      <c r="F7" s="1028">
        <f>SUM(F8:F9)</f>
        <v>9670.5752</v>
      </c>
      <c r="G7" s="1028">
        <f>SUM(G8:G9)</f>
        <v>10913.974789811582</v>
      </c>
      <c r="H7" s="1028">
        <f>((G7/F7)-1)*100</f>
        <v>12.857555668576804</v>
      </c>
      <c r="I7" s="1028">
        <f>SUM(I8:I9)</f>
        <v>10109.720200000002</v>
      </c>
      <c r="J7" s="1028">
        <f>SUM(J8:J9)</f>
        <v>11672.913243320723</v>
      </c>
      <c r="K7" s="1028">
        <f>((J7/I7)-1)*100</f>
        <v>15.462278009639885</v>
      </c>
      <c r="L7" s="1028">
        <f>SUM(L8:L9)</f>
        <v>10648.0219</v>
      </c>
      <c r="M7" s="1028">
        <f>SUM(M8:M9)</f>
        <v>12185.035787292303</v>
      </c>
      <c r="N7" s="1028">
        <f>((M7/L7)-1)*100</f>
        <v>14.434736345652176</v>
      </c>
      <c r="O7" s="1028">
        <f>SUM(O8:O9)</f>
        <v>10534.3106</v>
      </c>
      <c r="P7" s="1028">
        <f>SUM(P8:P9)</f>
        <v>12228.666712565266</v>
      </c>
      <c r="Q7" s="1028">
        <f>((P7/O7)-1)*100</f>
        <v>16.084167031920103</v>
      </c>
      <c r="R7" s="1028">
        <f>SUM(R8:R9)</f>
        <v>10546.5332</v>
      </c>
      <c r="S7" s="1028">
        <f>SUM(S8:S9)</f>
        <v>12161.379616250397</v>
      </c>
      <c r="T7" s="1028">
        <f>((S7/R7)-1)*100</f>
        <v>15.311632605967596</v>
      </c>
      <c r="U7" s="1028">
        <f>SUM(U8:U9)</f>
        <v>10461.3287</v>
      </c>
      <c r="V7" s="1028">
        <f>SUM(V8:V9)</f>
        <v>12084.692425243413</v>
      </c>
      <c r="W7" s="1028">
        <f>((V7/U7)-1)*100</f>
        <v>15.51775851611863</v>
      </c>
      <c r="Y7"/>
      <c r="Z7"/>
      <c r="AA7" s="1029" t="s">
        <v>1324</v>
      </c>
      <c r="AB7" s="1030">
        <v>497.30004230416614</v>
      </c>
      <c r="AC7" s="1030">
        <v>1005.6812</v>
      </c>
      <c r="AD7" s="1026">
        <v>537.8823749814876</v>
      </c>
      <c r="AE7" s="1030">
        <v>1067.2625</v>
      </c>
      <c r="AF7" s="1026">
        <v>583.6041030076448</v>
      </c>
      <c r="AG7" s="1026">
        <v>1263.8365</v>
      </c>
      <c r="AH7" s="1026">
        <v>620.4118404116052</v>
      </c>
      <c r="AI7" s="1026">
        <v>1281.9532</v>
      </c>
      <c r="AJ7" s="1026">
        <v>615.2403430398349</v>
      </c>
      <c r="AK7" s="1026">
        <v>1331.57</v>
      </c>
      <c r="AL7" s="1026">
        <v>628.0572909830454</v>
      </c>
      <c r="AM7" s="1026">
        <v>1397.5137</v>
      </c>
      <c r="AN7" s="1026">
        <v>621.8444194781752</v>
      </c>
    </row>
    <row r="8" spans="2:40" ht="19.9" customHeight="1">
      <c r="B8" s="1537" t="s">
        <v>586</v>
      </c>
      <c r="C8" s="1538"/>
      <c r="D8" s="1031" t="s">
        <v>575</v>
      </c>
      <c r="E8" s="1032">
        <v>9484.368573448253</v>
      </c>
      <c r="F8" s="1032">
        <v>8664.894</v>
      </c>
      <c r="G8" s="1032">
        <v>10376.092414830095</v>
      </c>
      <c r="H8" s="1032">
        <f>((G8/F8)-1)*100</f>
        <v>19.74863644991034</v>
      </c>
      <c r="I8" s="1032">
        <v>9042.4577</v>
      </c>
      <c r="J8" s="1032">
        <v>11089.309140313078</v>
      </c>
      <c r="K8" s="1032">
        <f>((J8/I8)-1)*100</f>
        <v>22.63600791091427</v>
      </c>
      <c r="L8" s="1032">
        <v>9384.1854</v>
      </c>
      <c r="M8" s="1032">
        <v>11564.623946880698</v>
      </c>
      <c r="N8" s="1032">
        <f>((M8/L8)-1)*100</f>
        <v>23.2352458305086</v>
      </c>
      <c r="O8" s="1032">
        <v>9252.3574</v>
      </c>
      <c r="P8" s="1032">
        <v>11613.42636952543</v>
      </c>
      <c r="Q8" s="1032">
        <f>((P8/O8)-1)*100</f>
        <v>25.518566430706933</v>
      </c>
      <c r="R8" s="1032">
        <v>9214.9632</v>
      </c>
      <c r="S8" s="1032">
        <v>11533.32232526735</v>
      </c>
      <c r="T8" s="1032">
        <f>((S8/R8)-1)*100</f>
        <v>25.1586368274086</v>
      </c>
      <c r="U8" s="1032">
        <v>9063.815</v>
      </c>
      <c r="V8" s="1032">
        <v>11462.848005765238</v>
      </c>
      <c r="W8" s="1032">
        <f>((V8/U8)-1)*100</f>
        <v>26.468247705466585</v>
      </c>
      <c r="AA8" s="1033" t="s">
        <v>1325</v>
      </c>
      <c r="AB8" s="1026">
        <v>1801.487277802257</v>
      </c>
      <c r="AC8" s="1034">
        <v>594.1913999999999</v>
      </c>
      <c r="AD8" s="1034">
        <v>1800.7419827437107</v>
      </c>
      <c r="AE8" s="1034">
        <v>619.9211</v>
      </c>
      <c r="AF8" s="1034">
        <v>1816.6462523399105</v>
      </c>
      <c r="AG8" s="1034">
        <v>706.7706000000001</v>
      </c>
      <c r="AH8" s="1034">
        <v>1862.6230375211392</v>
      </c>
      <c r="AI8" s="1034">
        <v>739.1076</v>
      </c>
      <c r="AJ8" s="1034">
        <v>1875.8065838638129</v>
      </c>
      <c r="AK8" s="1034">
        <v>755.2069</v>
      </c>
      <c r="AL8" s="1034">
        <v>1883.5588700828296</v>
      </c>
      <c r="AM8" s="1034">
        <v>728.6203</v>
      </c>
      <c r="AN8" s="1026">
        <v>1891.3302211521877</v>
      </c>
    </row>
    <row r="9" spans="2:40" ht="19.9" customHeight="1">
      <c r="B9" s="1541" t="s">
        <v>600</v>
      </c>
      <c r="C9" s="1542"/>
      <c r="D9" s="1031" t="s">
        <v>1324</v>
      </c>
      <c r="E9" s="1032">
        <v>497.30004230416614</v>
      </c>
      <c r="F9" s="1035">
        <v>1005.6812</v>
      </c>
      <c r="G9" s="1032">
        <v>537.8823749814876</v>
      </c>
      <c r="H9" s="1032">
        <f>((G9/F9)-1)*100</f>
        <v>-46.515617973022906</v>
      </c>
      <c r="I9" s="1035">
        <v>1067.2625</v>
      </c>
      <c r="J9" s="1032">
        <v>583.6041030076448</v>
      </c>
      <c r="K9" s="1032">
        <f>((J9/I9)-1)*100</f>
        <v>-45.31766055608205</v>
      </c>
      <c r="L9" s="1032">
        <v>1263.8365</v>
      </c>
      <c r="M9" s="1032">
        <v>620.4118404116052</v>
      </c>
      <c r="N9" s="1032">
        <f>((M9/L9)-1)*100</f>
        <v>-50.91043498018888</v>
      </c>
      <c r="O9" s="1032">
        <v>1281.9532</v>
      </c>
      <c r="P9" s="1032">
        <v>615.2403430398349</v>
      </c>
      <c r="Q9" s="1032">
        <f>((P9/O9)-1)*100</f>
        <v>-52.00758163091797</v>
      </c>
      <c r="R9" s="1032">
        <v>1331.57</v>
      </c>
      <c r="S9" s="1032">
        <v>628.0572909830454</v>
      </c>
      <c r="T9" s="1032">
        <f>((S9/R9)-1)*100</f>
        <v>-52.83332524891329</v>
      </c>
      <c r="U9" s="1032">
        <v>1397.5137</v>
      </c>
      <c r="V9" s="1032">
        <v>621.8444194781752</v>
      </c>
      <c r="W9" s="1032">
        <f>((V9/U9)-1)*100</f>
        <v>-55.50351889371996</v>
      </c>
      <c r="AA9" s="1033" t="s">
        <v>617</v>
      </c>
      <c r="AB9" s="1030">
        <v>155.19753333333335</v>
      </c>
      <c r="AC9" s="1036">
        <v>0</v>
      </c>
      <c r="AD9" s="1034">
        <v>256.768358</v>
      </c>
      <c r="AE9" s="1036">
        <v>0</v>
      </c>
      <c r="AF9" s="1034">
        <v>181.76824972093337</v>
      </c>
      <c r="AG9" s="1036">
        <v>0</v>
      </c>
      <c r="AH9" s="1034">
        <v>239.8334252013333</v>
      </c>
      <c r="AI9" s="1036">
        <v>0</v>
      </c>
      <c r="AJ9" s="1034">
        <v>293.8697813692667</v>
      </c>
      <c r="AK9" s="1036">
        <v>0</v>
      </c>
      <c r="AL9" s="1034">
        <v>250.73442093333338</v>
      </c>
      <c r="AM9" s="1036">
        <v>0</v>
      </c>
      <c r="AN9" s="1026">
        <v>262.53951122300003</v>
      </c>
    </row>
    <row r="10" spans="2:40" s="645" customFormat="1" ht="19.9" customHeight="1">
      <c r="B10" s="1539" t="s">
        <v>1326</v>
      </c>
      <c r="C10" s="1540"/>
      <c r="D10" s="1027" t="s">
        <v>1327</v>
      </c>
      <c r="E10" s="1028">
        <f>SUM(E11:E17)</f>
        <v>10223.128364760696</v>
      </c>
      <c r="F10" s="1037">
        <f>SUM(F11:F17)</f>
        <v>11993.6879</v>
      </c>
      <c r="G10" s="1028">
        <f>SUM(G11:G17)</f>
        <v>11908.44640295956</v>
      </c>
      <c r="H10" s="1028">
        <f>((G10/F10)-1)*100</f>
        <v>-0.7107196531305537</v>
      </c>
      <c r="I10" s="1028">
        <f>SUM(I11:I17)</f>
        <v>12301.232899999999</v>
      </c>
      <c r="J10" s="1028">
        <f>SUM(J11:J17)</f>
        <v>12426.862968854784</v>
      </c>
      <c r="K10" s="1028">
        <f>((J10/I10)-1)*100</f>
        <v>1.0212803047960017</v>
      </c>
      <c r="L10" s="1028">
        <f>SUM(L11:L17)</f>
        <v>13154.078599999999</v>
      </c>
      <c r="M10" s="1028">
        <f>SUM(M11:M17)</f>
        <v>13395.027094377117</v>
      </c>
      <c r="N10" s="1028">
        <f>((M10/L10)-1)*100</f>
        <v>1.8317398101689752</v>
      </c>
      <c r="O10" s="1028">
        <f>SUM(O11:O17)</f>
        <v>13502.1621</v>
      </c>
      <c r="P10" s="1028">
        <f>SUM(P11:P17)</f>
        <v>13819.352767027473</v>
      </c>
      <c r="Q10" s="1028">
        <f>((P10/O10)-1)*100</f>
        <v>2.3491842615892766</v>
      </c>
      <c r="R10" s="1028">
        <f>SUM(R11:R17)</f>
        <v>13413.1552</v>
      </c>
      <c r="S10" s="1028">
        <f>SUM(S11:S17)</f>
        <v>13678.686585457708</v>
      </c>
      <c r="T10" s="1028">
        <f>((S10/R10)-1)*100</f>
        <v>1.9796340346357022</v>
      </c>
      <c r="U10" s="1028">
        <f>SUM(U11:U17)</f>
        <v>13712.015200000002</v>
      </c>
      <c r="V10" s="1028">
        <f>SUM(V11:V17)</f>
        <v>13825.602287677575</v>
      </c>
      <c r="W10" s="1028">
        <f>((V10/U10)-1)*100</f>
        <v>0.8283763255861443</v>
      </c>
      <c r="Y10"/>
      <c r="Z10"/>
      <c r="AA10" s="1033" t="s">
        <v>1328</v>
      </c>
      <c r="AB10" s="1026">
        <v>5534.160244874101</v>
      </c>
      <c r="AC10" s="1545">
        <v>10544.5544</v>
      </c>
      <c r="AD10" s="1034">
        <v>6626.313495040882</v>
      </c>
      <c r="AE10" s="1545">
        <v>10617.1109</v>
      </c>
      <c r="AF10" s="1034">
        <v>6918.560144351446</v>
      </c>
      <c r="AG10" s="1543">
        <v>11291.5906</v>
      </c>
      <c r="AH10" s="1034">
        <v>7486.269099619446</v>
      </c>
      <c r="AI10" s="1543">
        <v>11591.7823</v>
      </c>
      <c r="AJ10" s="1034">
        <v>7763.151975871431</v>
      </c>
      <c r="AK10" s="1543">
        <v>11523.9127</v>
      </c>
      <c r="AL10" s="1034">
        <v>7704.601672068193</v>
      </c>
      <c r="AM10" s="1543">
        <v>11735.7816</v>
      </c>
      <c r="AN10" s="1026">
        <v>7709.85946982283</v>
      </c>
    </row>
    <row r="11" spans="2:40" ht="19.9" customHeight="1">
      <c r="B11" s="1537" t="s">
        <v>608</v>
      </c>
      <c r="C11" s="1538"/>
      <c r="D11" s="1038" t="s">
        <v>1325</v>
      </c>
      <c r="E11" s="1039">
        <v>1801.487277802257</v>
      </c>
      <c r="F11" s="1039">
        <v>594.1913999999999</v>
      </c>
      <c r="G11" s="1039">
        <v>1800.7419827437107</v>
      </c>
      <c r="H11" s="1039">
        <f>((G11/F11)-1)*100</f>
        <v>203.05756406836431</v>
      </c>
      <c r="I11" s="1039">
        <v>619.9211</v>
      </c>
      <c r="J11" s="1039">
        <v>1816.6462523399105</v>
      </c>
      <c r="K11" s="1039">
        <f>((J11/I11)-1)*100</f>
        <v>193.04475236282656</v>
      </c>
      <c r="L11" s="1039">
        <v>706.7706000000001</v>
      </c>
      <c r="M11" s="1039">
        <v>1862.6230375211392</v>
      </c>
      <c r="N11" s="1039">
        <f>((M11/L11)-1)*100</f>
        <v>163.53997145907582</v>
      </c>
      <c r="O11" s="1039">
        <v>739.1076</v>
      </c>
      <c r="P11" s="1039">
        <v>1875.8065838638129</v>
      </c>
      <c r="Q11" s="1039">
        <f>((P11/O11)-1)*100</f>
        <v>153.7934373647102</v>
      </c>
      <c r="R11" s="1039">
        <v>755.2069</v>
      </c>
      <c r="S11" s="1039">
        <v>1883.5588700828296</v>
      </c>
      <c r="T11" s="1039">
        <f>((S11/R11)-1)*100</f>
        <v>149.40964788362362</v>
      </c>
      <c r="U11" s="1039">
        <v>728.6203</v>
      </c>
      <c r="V11" s="1039">
        <v>1891.3302211521877</v>
      </c>
      <c r="W11" s="1039">
        <f>((V11/U11)-1)*100</f>
        <v>159.57693206628852</v>
      </c>
      <c r="AA11" s="1033" t="s">
        <v>1329</v>
      </c>
      <c r="AB11" s="1030">
        <v>1982.516003767302</v>
      </c>
      <c r="AC11" s="1546"/>
      <c r="AD11" s="1034">
        <v>2338.42907293541</v>
      </c>
      <c r="AE11" s="1546"/>
      <c r="AF11" s="1034">
        <v>2437.212014205173</v>
      </c>
      <c r="AG11" s="1544"/>
      <c r="AH11" s="1034">
        <v>2613.646466082199</v>
      </c>
      <c r="AI11" s="1544"/>
      <c r="AJ11" s="1034">
        <v>2674.6895905340402</v>
      </c>
      <c r="AK11" s="1544"/>
      <c r="AL11" s="1034">
        <v>2660.1269802668667</v>
      </c>
      <c r="AM11" s="1544"/>
      <c r="AN11" s="1026">
        <v>2667.6630882364475</v>
      </c>
    </row>
    <row r="12" spans="2:40" ht="19.9" customHeight="1">
      <c r="B12" s="1537" t="s">
        <v>1330</v>
      </c>
      <c r="C12" s="1538"/>
      <c r="D12" s="1038" t="s">
        <v>1331</v>
      </c>
      <c r="E12" s="1040"/>
      <c r="F12" s="1040"/>
      <c r="G12" s="1040"/>
      <c r="H12" s="1040"/>
      <c r="I12" s="1040"/>
      <c r="J12" s="1040"/>
      <c r="K12" s="1040"/>
      <c r="L12" s="1040"/>
      <c r="M12" s="1040"/>
      <c r="N12" s="1040"/>
      <c r="O12" s="1040"/>
      <c r="P12" s="1040"/>
      <c r="Q12" s="1040"/>
      <c r="R12" s="1040"/>
      <c r="S12" s="1040"/>
      <c r="T12" s="1040"/>
      <c r="U12" s="1040"/>
      <c r="V12" s="1040"/>
      <c r="W12" s="1040"/>
      <c r="AA12" s="1033" t="s">
        <v>1332</v>
      </c>
      <c r="AB12" s="1026">
        <v>121.59205902640025</v>
      </c>
      <c r="AC12" s="1036">
        <v>0</v>
      </c>
      <c r="AD12" s="1034">
        <v>142.42771436123024</v>
      </c>
      <c r="AE12" s="1036">
        <v>0</v>
      </c>
      <c r="AF12" s="1034">
        <v>158.5100226040138</v>
      </c>
      <c r="AG12" s="1036">
        <v>0</v>
      </c>
      <c r="AH12" s="1034">
        <v>187.71585610863275</v>
      </c>
      <c r="AI12" s="1036">
        <v>0</v>
      </c>
      <c r="AJ12" s="1034">
        <v>194.1221032693958</v>
      </c>
      <c r="AK12" s="1036">
        <v>0</v>
      </c>
      <c r="AL12" s="1034">
        <v>200.16579158389527</v>
      </c>
      <c r="AM12" s="1036">
        <v>0</v>
      </c>
      <c r="AN12" s="1026">
        <v>209.3022782667291</v>
      </c>
    </row>
    <row r="13" spans="2:40" ht="19.9" customHeight="1">
      <c r="B13" s="1537" t="s">
        <v>1333</v>
      </c>
      <c r="C13" s="1538"/>
      <c r="D13" s="1038" t="s">
        <v>617</v>
      </c>
      <c r="E13" s="1039">
        <v>155.19753333333335</v>
      </c>
      <c r="F13" s="1040"/>
      <c r="G13" s="1039">
        <v>256.768358</v>
      </c>
      <c r="H13" s="1040"/>
      <c r="I13" s="1040"/>
      <c r="J13" s="1039">
        <v>181.76824972093337</v>
      </c>
      <c r="K13" s="1040"/>
      <c r="L13" s="1040"/>
      <c r="M13" s="1039">
        <v>239.8334252013333</v>
      </c>
      <c r="N13" s="1040"/>
      <c r="O13" s="1040"/>
      <c r="P13" s="1039">
        <v>293.8697813692667</v>
      </c>
      <c r="Q13" s="1040"/>
      <c r="R13" s="1040"/>
      <c r="S13" s="1039">
        <v>250.73442093333338</v>
      </c>
      <c r="T13" s="1040"/>
      <c r="U13" s="1040"/>
      <c r="V13" s="1039">
        <v>262.53951122300003</v>
      </c>
      <c r="W13" s="1040"/>
      <c r="AA13" s="1033" t="s">
        <v>1163</v>
      </c>
      <c r="AB13" s="1030">
        <v>628.1752459573041</v>
      </c>
      <c r="AC13" s="1034">
        <v>854.9421</v>
      </c>
      <c r="AD13" s="1034">
        <v>743.7657798783255</v>
      </c>
      <c r="AE13" s="1034">
        <v>1064.2009</v>
      </c>
      <c r="AF13" s="1034">
        <v>914.1662856333055</v>
      </c>
      <c r="AG13" s="1034">
        <v>1155.7174</v>
      </c>
      <c r="AH13" s="1034">
        <v>1004.9392098443684</v>
      </c>
      <c r="AI13" s="1034">
        <v>1171.2722</v>
      </c>
      <c r="AJ13" s="1034">
        <v>1017.712732119526</v>
      </c>
      <c r="AK13" s="1034">
        <v>1134.0356</v>
      </c>
      <c r="AL13" s="1034">
        <v>979.4988505225905</v>
      </c>
      <c r="AM13" s="1034">
        <v>1247.6133</v>
      </c>
      <c r="AN13" s="1026">
        <v>1084.9077189763816</v>
      </c>
    </row>
    <row r="14" spans="2:40" ht="19.9" customHeight="1">
      <c r="B14" s="1537" t="s">
        <v>1334</v>
      </c>
      <c r="C14" s="1538"/>
      <c r="D14" s="1038" t="s">
        <v>1335</v>
      </c>
      <c r="E14" s="1039">
        <v>5534.160244874101</v>
      </c>
      <c r="F14" s="1547">
        <v>10544.5544</v>
      </c>
      <c r="G14" s="1039">
        <v>6626.313495040882</v>
      </c>
      <c r="H14" s="1548">
        <v>-14.9822531336526</v>
      </c>
      <c r="I14" s="1547">
        <v>10617.1109</v>
      </c>
      <c r="J14" s="1039">
        <v>6918.560144351446</v>
      </c>
      <c r="K14" s="1548">
        <v>-11.880244572404152</v>
      </c>
      <c r="L14" s="1548">
        <v>11291.5906</v>
      </c>
      <c r="M14" s="1039">
        <v>7486.269099619446</v>
      </c>
      <c r="N14" s="1548">
        <v>-10.553650734541808</v>
      </c>
      <c r="O14" s="1548">
        <v>11591.7823</v>
      </c>
      <c r="P14" s="1039">
        <v>7763.151975871431</v>
      </c>
      <c r="Q14" s="1548">
        <v>-9.954817160382046</v>
      </c>
      <c r="R14" s="1548">
        <v>11523.9127</v>
      </c>
      <c r="S14" s="1039">
        <v>7704.601672068193</v>
      </c>
      <c r="T14" s="1548">
        <v>-10.058945063554159</v>
      </c>
      <c r="U14" s="1548">
        <v>11735.7816</v>
      </c>
      <c r="V14" s="1039">
        <v>7709.85946982283</v>
      </c>
      <c r="W14" s="1548">
        <v>-11.573656431547107</v>
      </c>
      <c r="AA14" s="1041"/>
      <c r="AB14" s="1042">
        <v>20204.796980513114</v>
      </c>
      <c r="AC14" s="1042">
        <v>21664.2631</v>
      </c>
      <c r="AD14" s="1042">
        <v>22822.421192771144</v>
      </c>
      <c r="AE14" s="1042">
        <v>22410.9531</v>
      </c>
      <c r="AF14" s="1042">
        <v>24099.776212175508</v>
      </c>
      <c r="AG14" s="1042">
        <v>23802.1005</v>
      </c>
      <c r="AH14" s="1042">
        <v>25580.062881669422</v>
      </c>
      <c r="AI14" s="1042">
        <v>24036.4727</v>
      </c>
      <c r="AJ14" s="1042">
        <v>26048.01947959274</v>
      </c>
      <c r="AK14" s="1042">
        <v>23959.6884</v>
      </c>
      <c r="AL14" s="1042">
        <v>25840.066201708105</v>
      </c>
      <c r="AM14" s="1042">
        <v>24173.3439</v>
      </c>
      <c r="AN14" s="1042">
        <v>25910.294712920986</v>
      </c>
    </row>
    <row r="15" spans="2:23" ht="19.9" customHeight="1">
      <c r="B15" s="1537" t="s">
        <v>1336</v>
      </c>
      <c r="C15" s="1538"/>
      <c r="D15" s="1038" t="s">
        <v>1337</v>
      </c>
      <c r="E15" s="1039">
        <v>1982.516003767302</v>
      </c>
      <c r="F15" s="1547"/>
      <c r="G15" s="1039">
        <v>2338.42907293541</v>
      </c>
      <c r="H15" s="1548"/>
      <c r="I15" s="1547"/>
      <c r="J15" s="1039">
        <v>2437.212014205173</v>
      </c>
      <c r="K15" s="1548"/>
      <c r="L15" s="1548"/>
      <c r="M15" s="1039">
        <v>2613.646466082199</v>
      </c>
      <c r="N15" s="1548"/>
      <c r="O15" s="1548"/>
      <c r="P15" s="1039">
        <v>2674.6895905340402</v>
      </c>
      <c r="Q15" s="1548"/>
      <c r="R15" s="1548"/>
      <c r="S15" s="1039">
        <v>2660.1269802668667</v>
      </c>
      <c r="T15" s="1548"/>
      <c r="U15" s="1548"/>
      <c r="V15" s="1039">
        <v>2667.6630882364475</v>
      </c>
      <c r="W15" s="1548"/>
    </row>
    <row r="16" spans="2:23" ht="19.9" customHeight="1">
      <c r="B16" s="1537" t="s">
        <v>1338</v>
      </c>
      <c r="C16" s="1538"/>
      <c r="D16" s="1038" t="s">
        <v>1339</v>
      </c>
      <c r="E16" s="1039">
        <v>121.59205902640025</v>
      </c>
      <c r="F16" s="1040"/>
      <c r="G16" s="1039">
        <v>142.42771436123024</v>
      </c>
      <c r="H16" s="1040"/>
      <c r="I16" s="1040"/>
      <c r="J16" s="1039">
        <v>158.5100226040138</v>
      </c>
      <c r="K16" s="1040"/>
      <c r="L16" s="1040"/>
      <c r="M16" s="1039">
        <v>187.71585610863275</v>
      </c>
      <c r="N16" s="1040"/>
      <c r="O16" s="1040"/>
      <c r="P16" s="1039">
        <v>194.1221032693958</v>
      </c>
      <c r="Q16" s="1040"/>
      <c r="R16" s="1040"/>
      <c r="S16" s="1039">
        <v>200.16579158389527</v>
      </c>
      <c r="T16" s="1040"/>
      <c r="U16" s="1040"/>
      <c r="V16" s="1039">
        <v>209.3022782667291</v>
      </c>
      <c r="W16" s="1040"/>
    </row>
    <row r="17" spans="2:23" ht="19.9" customHeight="1">
      <c r="B17" s="1537" t="s">
        <v>1340</v>
      </c>
      <c r="C17" s="1538"/>
      <c r="D17" s="1038" t="s">
        <v>1163</v>
      </c>
      <c r="E17" s="1039">
        <v>628.1752459573041</v>
      </c>
      <c r="F17" s="1039">
        <v>854.9421</v>
      </c>
      <c r="G17" s="1039">
        <v>743.7657798783255</v>
      </c>
      <c r="H17" s="1039">
        <f>((G17/F17)-1)*100</f>
        <v>-13.00395899578165</v>
      </c>
      <c r="I17" s="1039">
        <v>1064.2009</v>
      </c>
      <c r="J17" s="1039">
        <v>914.1662856333055</v>
      </c>
      <c r="K17" s="1039">
        <f>((J17/I17)-1)*100</f>
        <v>-14.0983356024877</v>
      </c>
      <c r="L17" s="1039">
        <v>1155.7174</v>
      </c>
      <c r="M17" s="1039">
        <v>1004.9392098443684</v>
      </c>
      <c r="N17" s="1039">
        <f>((M17/L17)-1)*100</f>
        <v>-13.046285376998878</v>
      </c>
      <c r="O17" s="1039">
        <v>1171.2722</v>
      </c>
      <c r="P17" s="1039">
        <v>1017.712732119526</v>
      </c>
      <c r="Q17" s="1039">
        <f>((P17/O17)-1)*100</f>
        <v>-13.110485152851247</v>
      </c>
      <c r="R17" s="1039">
        <v>1134.0356</v>
      </c>
      <c r="S17" s="1039">
        <v>979.4988505225905</v>
      </c>
      <c r="T17" s="1039">
        <f>((S17/R17)-1)*100</f>
        <v>-13.627151517766233</v>
      </c>
      <c r="U17" s="1039">
        <v>1247.6133</v>
      </c>
      <c r="V17" s="1039">
        <v>1084.9077189763816</v>
      </c>
      <c r="W17" s="1039">
        <f>((V17/U17)-1)*100</f>
        <v>-13.041347108404377</v>
      </c>
    </row>
    <row r="18" spans="2:23" ht="19.9" customHeight="1">
      <c r="B18" s="1550" t="s">
        <v>1341</v>
      </c>
      <c r="C18" s="1550"/>
      <c r="D18" s="1550"/>
      <c r="E18" s="1028">
        <f>SUM(E7,E10)</f>
        <v>20204.796980513114</v>
      </c>
      <c r="F18" s="1037">
        <f>SUM(F7,F10)</f>
        <v>21664.2631</v>
      </c>
      <c r="G18" s="1037">
        <f>SUM(G7,G10)</f>
        <v>22822.421192771144</v>
      </c>
      <c r="H18" s="1037">
        <f>((G18/F18)-1)*100</f>
        <v>5.345938089032631</v>
      </c>
      <c r="I18" s="1037">
        <f>SUM(I7,I10)</f>
        <v>22410.9531</v>
      </c>
      <c r="J18" s="1037">
        <f>SUM(J7,J10)</f>
        <v>24099.776212175508</v>
      </c>
      <c r="K18" s="1037">
        <f>((J18/I18)-1)*100</f>
        <v>7.535704102542207</v>
      </c>
      <c r="L18" s="1037">
        <f>SUM(L7,L10)</f>
        <v>23802.1005</v>
      </c>
      <c r="M18" s="1037">
        <f>SUM(M7,M10)</f>
        <v>25580.062881669422</v>
      </c>
      <c r="N18" s="1037">
        <f>((M18/L18)-1)*100</f>
        <v>7.469770920719454</v>
      </c>
      <c r="O18" s="1037">
        <f>SUM(O7,O10)</f>
        <v>24036.4727</v>
      </c>
      <c r="P18" s="1037">
        <f>SUM(P7,P10)</f>
        <v>26048.01947959274</v>
      </c>
      <c r="Q18" s="1037">
        <f>((P18/O18)-1)*100</f>
        <v>8.368726995424502</v>
      </c>
      <c r="R18" s="1037">
        <f>SUM(R7,R10)</f>
        <v>23959.6884</v>
      </c>
      <c r="S18" s="1037">
        <f>SUM(S7,S10)</f>
        <v>25840.066201708105</v>
      </c>
      <c r="T18" s="1037">
        <f>((S18/R18)-1)*100</f>
        <v>7.848089550730997</v>
      </c>
      <c r="U18" s="1037">
        <f>SUM(U7,U10)</f>
        <v>24173.3439</v>
      </c>
      <c r="V18" s="1037">
        <f>SUM(V7,V10)</f>
        <v>25910.294712920986</v>
      </c>
      <c r="W18" s="1037">
        <f>((V18/U18)-1)*100</f>
        <v>7.185397353822398</v>
      </c>
    </row>
    <row r="20" spans="6:17" ht="15">
      <c r="F20" s="1043"/>
      <c r="G20" s="1043"/>
      <c r="H20" s="1043"/>
      <c r="I20" s="1043"/>
      <c r="J20" s="1043"/>
      <c r="K20" s="1043"/>
      <c r="L20" s="1043"/>
      <c r="M20" s="1043"/>
      <c r="N20" s="1043"/>
      <c r="O20" s="1043"/>
      <c r="P20" s="1043"/>
      <c r="Q20" s="1043"/>
    </row>
    <row r="21" spans="2:17" ht="14.45" customHeight="1">
      <c r="B21" s="1514" t="s">
        <v>1342</v>
      </c>
      <c r="C21" s="1514"/>
      <c r="D21" s="1514"/>
      <c r="E21" s="1514"/>
      <c r="F21" s="1514"/>
      <c r="G21" s="1514"/>
      <c r="H21" s="1514"/>
      <c r="I21" s="1514"/>
      <c r="J21" s="1514"/>
      <c r="K21" s="1514"/>
      <c r="L21" s="1514"/>
      <c r="M21" s="1514"/>
      <c r="N21" s="1514"/>
      <c r="O21" s="1514"/>
      <c r="P21" s="1514"/>
      <c r="Q21" s="1044"/>
    </row>
    <row r="22" spans="2:16" ht="15">
      <c r="B22" s="1514"/>
      <c r="C22" s="1514"/>
      <c r="D22" s="1514"/>
      <c r="E22" s="1514"/>
      <c r="F22" s="1514"/>
      <c r="G22" s="1514"/>
      <c r="H22" s="1514"/>
      <c r="I22" s="1514"/>
      <c r="J22" s="1514"/>
      <c r="K22" s="1514"/>
      <c r="L22" s="1514"/>
      <c r="M22" s="1514"/>
      <c r="N22" s="1514"/>
      <c r="O22" s="1514"/>
      <c r="P22" s="1514"/>
    </row>
    <row r="23" spans="2:16" ht="14.45" customHeight="1">
      <c r="B23" s="1514"/>
      <c r="C23" s="1514"/>
      <c r="D23" s="1514"/>
      <c r="E23" s="1514"/>
      <c r="F23" s="1514"/>
      <c r="G23" s="1514"/>
      <c r="H23" s="1514"/>
      <c r="I23" s="1514"/>
      <c r="J23" s="1514"/>
      <c r="K23" s="1514"/>
      <c r="L23" s="1514"/>
      <c r="M23" s="1514"/>
      <c r="N23" s="1514"/>
      <c r="O23" s="1514"/>
      <c r="P23" s="1514"/>
    </row>
    <row r="24" ht="14.45" customHeight="1"/>
    <row r="25" spans="2:33" ht="21" customHeight="1">
      <c r="B25" s="1549" t="s">
        <v>1647</v>
      </c>
      <c r="C25" s="1549"/>
      <c r="D25" s="1549"/>
      <c r="E25" s="1549"/>
      <c r="F25" s="1549"/>
      <c r="G25" s="1549"/>
      <c r="H25" s="1549"/>
      <c r="I25" s="1549"/>
      <c r="J25" s="1549"/>
      <c r="K25" s="1549"/>
      <c r="L25" s="1549"/>
      <c r="M25" s="1549"/>
      <c r="N25" s="1549"/>
      <c r="O25" s="1549"/>
      <c r="P25" s="1549"/>
      <c r="Q25" s="1549"/>
      <c r="R25" s="1549"/>
      <c r="S25" s="1549"/>
      <c r="T25" s="1549"/>
      <c r="U25" s="1549"/>
      <c r="AA25" s="1526" t="s">
        <v>1318</v>
      </c>
      <c r="AB25" s="1526"/>
      <c r="AC25" s="1526"/>
      <c r="AD25" s="1526"/>
      <c r="AE25" s="1526"/>
      <c r="AF25" s="1526"/>
      <c r="AG25" s="1526"/>
    </row>
    <row r="26" spans="27:39" ht="15">
      <c r="AA26" s="1518" t="s">
        <v>1320</v>
      </c>
      <c r="AB26" s="1100">
        <v>1994</v>
      </c>
      <c r="AC26" s="1515">
        <v>2000</v>
      </c>
      <c r="AD26" s="1515"/>
      <c r="AE26" s="1515">
        <v>2005</v>
      </c>
      <c r="AF26" s="1515"/>
      <c r="AG26" s="1515">
        <v>2010</v>
      </c>
      <c r="AH26" s="1515"/>
      <c r="AI26" s="1515">
        <v>2012</v>
      </c>
      <c r="AJ26" s="1515"/>
      <c r="AK26" s="1515">
        <v>2014</v>
      </c>
      <c r="AL26" s="1515"/>
      <c r="AM26" s="1100">
        <v>2016</v>
      </c>
    </row>
    <row r="27" spans="2:39" ht="15">
      <c r="B27" s="1521" t="s">
        <v>1320</v>
      </c>
      <c r="C27" s="1521"/>
      <c r="D27" s="1521"/>
      <c r="E27" s="1521">
        <v>2000</v>
      </c>
      <c r="F27" s="1521"/>
      <c r="G27" s="1521"/>
      <c r="H27" s="1521">
        <v>2005</v>
      </c>
      <c r="I27" s="1521"/>
      <c r="J27" s="1521"/>
      <c r="K27" s="1521">
        <v>2010</v>
      </c>
      <c r="L27" s="1521"/>
      <c r="M27" s="1521"/>
      <c r="N27" s="1521">
        <v>2012</v>
      </c>
      <c r="O27" s="1521"/>
      <c r="P27" s="1521"/>
      <c r="Q27" s="1521">
        <v>2014</v>
      </c>
      <c r="R27" s="1521"/>
      <c r="S27" s="1521"/>
      <c r="T27" s="1106">
        <v>2015</v>
      </c>
      <c r="AA27" s="1518"/>
      <c r="AB27" s="1100" t="s">
        <v>14</v>
      </c>
      <c r="AC27" s="1102" t="s">
        <v>1322</v>
      </c>
      <c r="AD27" s="1102" t="s">
        <v>14</v>
      </c>
      <c r="AE27" s="1102" t="s">
        <v>1322</v>
      </c>
      <c r="AF27" s="1102" t="s">
        <v>14</v>
      </c>
      <c r="AG27" s="1102" t="s">
        <v>1322</v>
      </c>
      <c r="AH27" s="1102" t="s">
        <v>14</v>
      </c>
      <c r="AI27" s="1102" t="s">
        <v>1322</v>
      </c>
      <c r="AJ27" s="1102" t="s">
        <v>14</v>
      </c>
      <c r="AK27" s="1102" t="s">
        <v>1322</v>
      </c>
      <c r="AL27" s="1102" t="s">
        <v>14</v>
      </c>
      <c r="AM27" s="1102" t="s">
        <v>14</v>
      </c>
    </row>
    <row r="28" spans="2:39" ht="25.5">
      <c r="B28" s="1521"/>
      <c r="C28" s="1521"/>
      <c r="D28" s="1521"/>
      <c r="E28" s="1521" t="s">
        <v>1636</v>
      </c>
      <c r="F28" s="1521"/>
      <c r="G28" s="1521"/>
      <c r="H28" s="1521" t="s">
        <v>1636</v>
      </c>
      <c r="I28" s="1521"/>
      <c r="J28" s="1521"/>
      <c r="K28" s="1521" t="s">
        <v>1636</v>
      </c>
      <c r="L28" s="1521"/>
      <c r="M28" s="1521"/>
      <c r="N28" s="1521" t="s">
        <v>1636</v>
      </c>
      <c r="O28" s="1521"/>
      <c r="P28" s="1521"/>
      <c r="Q28" s="1522" t="s">
        <v>1636</v>
      </c>
      <c r="R28" s="1523"/>
      <c r="S28" s="1524"/>
      <c r="T28" s="1106" t="s">
        <v>1636</v>
      </c>
      <c r="AA28" s="1025" t="s">
        <v>575</v>
      </c>
      <c r="AB28" s="1026">
        <v>9484.368573448253</v>
      </c>
      <c r="AC28" s="1103">
        <v>8727.37</v>
      </c>
      <c r="AD28" s="1103">
        <v>10376</v>
      </c>
      <c r="AE28" s="1103">
        <v>9117.53</v>
      </c>
      <c r="AF28" s="1103">
        <v>11089.31</v>
      </c>
      <c r="AG28" s="1103">
        <v>9473.16</v>
      </c>
      <c r="AH28" s="1103">
        <v>11564.62</v>
      </c>
      <c r="AI28" s="1103">
        <v>9347.59</v>
      </c>
      <c r="AJ28" s="1103">
        <v>11613.43</v>
      </c>
      <c r="AK28" s="1103">
        <v>9316.9</v>
      </c>
      <c r="AL28" s="1103">
        <v>11533.32</v>
      </c>
      <c r="AM28" s="1103">
        <v>11462.848005765238</v>
      </c>
    </row>
    <row r="29" spans="2:39" ht="15" customHeight="1">
      <c r="B29" s="1521"/>
      <c r="C29" s="1521"/>
      <c r="D29" s="1521"/>
      <c r="E29" s="1521" t="s">
        <v>1643</v>
      </c>
      <c r="F29" s="1521"/>
      <c r="G29" s="1521"/>
      <c r="H29" s="1521" t="s">
        <v>1643</v>
      </c>
      <c r="I29" s="1521"/>
      <c r="J29" s="1521"/>
      <c r="K29" s="1521" t="s">
        <v>1643</v>
      </c>
      <c r="L29" s="1521"/>
      <c r="M29" s="1521"/>
      <c r="N29" s="1521" t="s">
        <v>1643</v>
      </c>
      <c r="O29" s="1521"/>
      <c r="P29" s="1521"/>
      <c r="Q29" s="1522" t="s">
        <v>1643</v>
      </c>
      <c r="R29" s="1523"/>
      <c r="S29" s="1524"/>
      <c r="T29" s="1106" t="s">
        <v>1643</v>
      </c>
      <c r="AA29" s="1029" t="s">
        <v>1324</v>
      </c>
      <c r="AB29" s="1030">
        <v>497.30004230416614</v>
      </c>
      <c r="AC29" s="1103">
        <v>1045.15</v>
      </c>
      <c r="AD29" s="1103">
        <v>537.88</v>
      </c>
      <c r="AE29" s="1103">
        <v>1114.88</v>
      </c>
      <c r="AF29" s="1103">
        <v>583.6</v>
      </c>
      <c r="AG29" s="1103">
        <v>1319.64</v>
      </c>
      <c r="AH29" s="1103">
        <v>620.41</v>
      </c>
      <c r="AI29" s="1103">
        <v>1341.96</v>
      </c>
      <c r="AJ29" s="1103">
        <v>615.24</v>
      </c>
      <c r="AK29" s="1103">
        <v>1394.94</v>
      </c>
      <c r="AL29" s="1103">
        <v>628.06</v>
      </c>
      <c r="AM29" s="1103">
        <v>621.8444194781752</v>
      </c>
    </row>
    <row r="30" spans="2:39" ht="15">
      <c r="B30" s="1521"/>
      <c r="C30" s="1521"/>
      <c r="D30" s="1521"/>
      <c r="E30" s="1106" t="s">
        <v>1322</v>
      </c>
      <c r="F30" s="1106" t="s">
        <v>14</v>
      </c>
      <c r="G30" s="1106" t="s">
        <v>1323</v>
      </c>
      <c r="H30" s="1106" t="s">
        <v>1322</v>
      </c>
      <c r="I30" s="1106" t="s">
        <v>14</v>
      </c>
      <c r="J30" s="1106" t="s">
        <v>1323</v>
      </c>
      <c r="K30" s="1106" t="s">
        <v>1322</v>
      </c>
      <c r="L30" s="1106" t="s">
        <v>14</v>
      </c>
      <c r="M30" s="1106" t="s">
        <v>1323</v>
      </c>
      <c r="N30" s="1106" t="s">
        <v>1322</v>
      </c>
      <c r="O30" s="1106" t="s">
        <v>14</v>
      </c>
      <c r="P30" s="1106" t="s">
        <v>1323</v>
      </c>
      <c r="Q30" s="1106" t="s">
        <v>1322</v>
      </c>
      <c r="R30" s="1106" t="s">
        <v>14</v>
      </c>
      <c r="S30" s="1106" t="s">
        <v>1323</v>
      </c>
      <c r="T30" s="1106" t="s">
        <v>14</v>
      </c>
      <c r="AA30" s="1033" t="s">
        <v>1325</v>
      </c>
      <c r="AB30" s="1026">
        <v>1801.487277802257</v>
      </c>
      <c r="AC30" s="1103">
        <v>684.95</v>
      </c>
      <c r="AD30" s="1103">
        <v>1800.74</v>
      </c>
      <c r="AE30" s="1103">
        <v>689.61</v>
      </c>
      <c r="AF30" s="1103">
        <v>1816.65</v>
      </c>
      <c r="AG30" s="1103">
        <v>830.3</v>
      </c>
      <c r="AH30" s="1103">
        <v>1862.62</v>
      </c>
      <c r="AI30" s="1103">
        <v>871.44</v>
      </c>
      <c r="AJ30" s="1103">
        <v>1875.81</v>
      </c>
      <c r="AK30" s="1103">
        <v>908.28</v>
      </c>
      <c r="AL30" s="1103">
        <v>1883.56</v>
      </c>
      <c r="AM30" s="1103">
        <v>1891.3302211521877</v>
      </c>
    </row>
    <row r="31" spans="2:39" ht="25.5">
      <c r="B31" s="1107" t="s">
        <v>1288</v>
      </c>
      <c r="C31" s="1519" t="s">
        <v>169</v>
      </c>
      <c r="D31" s="1519"/>
      <c r="E31" s="1112">
        <v>9772.52</v>
      </c>
      <c r="F31" s="1110">
        <v>10913.9</v>
      </c>
      <c r="G31" s="1115">
        <f>+(F31-E31)/E31</f>
        <v>0.11679484923029057</v>
      </c>
      <c r="H31" s="1110">
        <v>10232.41</v>
      </c>
      <c r="I31" s="1110">
        <v>11672.91</v>
      </c>
      <c r="J31" s="1115">
        <f>+(I31-H31)/H31</f>
        <v>0.14077817444766189</v>
      </c>
      <c r="K31" s="1110">
        <v>10792.8</v>
      </c>
      <c r="L31" s="1110">
        <v>12185</v>
      </c>
      <c r="M31" s="1115">
        <f>+(L31-K31)/K31</f>
        <v>0.12899340300941375</v>
      </c>
      <c r="N31" s="1110">
        <v>10689.55</v>
      </c>
      <c r="O31" s="1110">
        <v>12228.67</v>
      </c>
      <c r="P31" s="1115">
        <f>+(O31-N31)/N31</f>
        <v>0.14398361016132585</v>
      </c>
      <c r="Q31" s="1110">
        <v>10711.84</v>
      </c>
      <c r="R31" s="1110">
        <v>12161.38</v>
      </c>
      <c r="S31" s="1115">
        <f>+(R31-Q31)/Q31</f>
        <v>0.13532128933964652</v>
      </c>
      <c r="T31" s="1110">
        <f>SUM(T32:T33)</f>
        <v>12084.692425243413</v>
      </c>
      <c r="AA31" s="1033" t="s">
        <v>617</v>
      </c>
      <c r="AB31" s="1030">
        <v>155.19753333333335</v>
      </c>
      <c r="AC31" s="1104">
        <v>0</v>
      </c>
      <c r="AD31" s="1103">
        <v>256.77</v>
      </c>
      <c r="AE31" s="1104">
        <v>0</v>
      </c>
      <c r="AF31" s="1103">
        <v>181.77</v>
      </c>
      <c r="AG31" s="1104">
        <v>0</v>
      </c>
      <c r="AH31" s="1103">
        <v>239.83</v>
      </c>
      <c r="AI31" s="1104">
        <v>0</v>
      </c>
      <c r="AJ31" s="1103">
        <v>293.87</v>
      </c>
      <c r="AK31" s="1104">
        <v>0</v>
      </c>
      <c r="AL31" s="1103">
        <v>250.73</v>
      </c>
      <c r="AM31" s="1103">
        <v>262.53951122300003</v>
      </c>
    </row>
    <row r="32" spans="2:39" ht="15">
      <c r="B32" s="1107"/>
      <c r="C32" s="1107" t="s">
        <v>1266</v>
      </c>
      <c r="D32" s="1108" t="s">
        <v>575</v>
      </c>
      <c r="E32" s="1113">
        <v>8727.37</v>
      </c>
      <c r="F32" s="1103">
        <v>10376</v>
      </c>
      <c r="G32" s="1116">
        <f aca="true" t="shared" si="0" ref="G32:G35">+(F32-E32)/E32</f>
        <v>0.18890341534734967</v>
      </c>
      <c r="H32" s="1103">
        <v>9117.53</v>
      </c>
      <c r="I32" s="1103">
        <v>11089.31</v>
      </c>
      <c r="J32" s="1116">
        <f aca="true" t="shared" si="1" ref="J32:J33">+(I32-H32)/H32</f>
        <v>0.21626251846717243</v>
      </c>
      <c r="K32" s="1103">
        <v>9473.16</v>
      </c>
      <c r="L32" s="1103">
        <v>11564.62</v>
      </c>
      <c r="M32" s="1116">
        <f aca="true" t="shared" si="2" ref="M32:M35">+(L32-K32)/K32</f>
        <v>0.2207774385738234</v>
      </c>
      <c r="N32" s="1103">
        <v>9347.59</v>
      </c>
      <c r="O32" s="1103">
        <v>11613.43</v>
      </c>
      <c r="P32" s="1116">
        <f aca="true" t="shared" si="3" ref="P32:P33">+(O32-N32)/N32</f>
        <v>0.24239830801308146</v>
      </c>
      <c r="Q32" s="1103">
        <v>9316.9</v>
      </c>
      <c r="R32" s="1103">
        <v>11533.32</v>
      </c>
      <c r="S32" s="1116">
        <f aca="true" t="shared" si="4" ref="S32:S33">+(R32-Q32)/Q32</f>
        <v>0.23789243203211372</v>
      </c>
      <c r="T32" s="1103">
        <v>11462.848005765238</v>
      </c>
      <c r="AA32" s="1033" t="s">
        <v>1328</v>
      </c>
      <c r="AB32" s="1026">
        <v>5534.160244874101</v>
      </c>
      <c r="AC32" s="1513">
        <v>11520.72</v>
      </c>
      <c r="AD32" s="1103">
        <v>6626.31</v>
      </c>
      <c r="AE32" s="1513">
        <v>11765.58</v>
      </c>
      <c r="AF32" s="1103">
        <v>6918.56</v>
      </c>
      <c r="AG32" s="1513">
        <v>13100.54</v>
      </c>
      <c r="AH32" s="1103">
        <v>7486.27</v>
      </c>
      <c r="AI32" s="1513">
        <v>12932.43</v>
      </c>
      <c r="AJ32" s="1103">
        <v>7763.15</v>
      </c>
      <c r="AK32" s="1513">
        <v>13479.04</v>
      </c>
      <c r="AL32" s="1103">
        <v>7704.6</v>
      </c>
      <c r="AM32" s="1103">
        <v>7709.85946982283</v>
      </c>
    </row>
    <row r="33" spans="2:39" ht="15">
      <c r="B33" s="1107"/>
      <c r="C33" s="1107" t="s">
        <v>5</v>
      </c>
      <c r="D33" s="1108" t="s">
        <v>582</v>
      </c>
      <c r="E33" s="1113">
        <v>1045.15</v>
      </c>
      <c r="F33" s="1103">
        <v>537.88</v>
      </c>
      <c r="G33" s="1116">
        <f t="shared" si="0"/>
        <v>-0.4853561689709612</v>
      </c>
      <c r="H33" s="1103">
        <v>1114.88</v>
      </c>
      <c r="I33" s="1103">
        <v>583.6</v>
      </c>
      <c r="J33" s="1116">
        <f t="shared" si="1"/>
        <v>-0.47653559127439726</v>
      </c>
      <c r="K33" s="1103">
        <v>1319.64</v>
      </c>
      <c r="L33" s="1103">
        <v>620.41</v>
      </c>
      <c r="M33" s="1116">
        <f t="shared" si="2"/>
        <v>-0.5298642053893486</v>
      </c>
      <c r="N33" s="1103">
        <v>1341.96</v>
      </c>
      <c r="O33" s="1103">
        <v>615.24</v>
      </c>
      <c r="P33" s="1116">
        <f t="shared" si="3"/>
        <v>-0.5415362603952428</v>
      </c>
      <c r="Q33" s="1103">
        <v>1394.94</v>
      </c>
      <c r="R33" s="1103">
        <v>628.06</v>
      </c>
      <c r="S33" s="1116">
        <f t="shared" si="4"/>
        <v>-0.54975841254821</v>
      </c>
      <c r="T33" s="1103">
        <v>621.8444194781752</v>
      </c>
      <c r="AA33" s="1033" t="s">
        <v>1329</v>
      </c>
      <c r="AB33" s="1030">
        <v>1982.516003767302</v>
      </c>
      <c r="AC33" s="1513"/>
      <c r="AD33" s="1103">
        <v>2338.43</v>
      </c>
      <c r="AE33" s="1513"/>
      <c r="AF33" s="1103">
        <v>2437.21</v>
      </c>
      <c r="AG33" s="1513"/>
      <c r="AH33" s="1103">
        <v>2613.65</v>
      </c>
      <c r="AI33" s="1513"/>
      <c r="AJ33" s="1103">
        <v>2674.69</v>
      </c>
      <c r="AK33" s="1513"/>
      <c r="AL33" s="1103">
        <v>2660.13</v>
      </c>
      <c r="AM33" s="1103">
        <v>2667.6630882364475</v>
      </c>
    </row>
    <row r="34" spans="2:39" ht="25.5">
      <c r="B34" s="1107" t="s">
        <v>607</v>
      </c>
      <c r="C34" s="1519" t="s">
        <v>1637</v>
      </c>
      <c r="D34" s="1519"/>
      <c r="E34" s="1112">
        <v>13060.61</v>
      </c>
      <c r="F34" s="1110">
        <v>11908.4</v>
      </c>
      <c r="G34" s="1115">
        <f t="shared" si="0"/>
        <v>-0.088220228611068</v>
      </c>
      <c r="H34" s="1110">
        <v>13519.39</v>
      </c>
      <c r="I34" s="1110">
        <v>12426.86</v>
      </c>
      <c r="J34" s="1115">
        <f>+(I34-H34)/H34</f>
        <v>-0.08081207805973487</v>
      </c>
      <c r="K34" s="1110">
        <v>15086.55</v>
      </c>
      <c r="L34" s="1110">
        <v>13395</v>
      </c>
      <c r="M34" s="1115">
        <f>+(L34-K34)/K34</f>
        <v>-0.11212305000149135</v>
      </c>
      <c r="N34" s="1110">
        <v>14975.14</v>
      </c>
      <c r="O34" s="1110">
        <v>13819.35</v>
      </c>
      <c r="P34" s="1115">
        <f>+(O34-N34)/N34</f>
        <v>-0.07718058061560687</v>
      </c>
      <c r="Q34" s="1110">
        <v>15521.36</v>
      </c>
      <c r="R34" s="1110">
        <v>13678.69</v>
      </c>
      <c r="S34" s="1115">
        <f>+(R34-Q34)/Q34</f>
        <v>-0.11871833396042615</v>
      </c>
      <c r="T34" s="1110">
        <f>SUM(T35:T41)</f>
        <v>13825.602287677575</v>
      </c>
      <c r="AA34" s="1033" t="s">
        <v>1332</v>
      </c>
      <c r="AB34" s="1026">
        <v>121.59205902640025</v>
      </c>
      <c r="AC34" s="1104">
        <v>0</v>
      </c>
      <c r="AD34" s="1103">
        <v>142.43</v>
      </c>
      <c r="AE34" s="1104">
        <v>0</v>
      </c>
      <c r="AF34" s="1103">
        <v>158.51</v>
      </c>
      <c r="AG34" s="1104">
        <v>0</v>
      </c>
      <c r="AH34" s="1103">
        <v>187.72</v>
      </c>
      <c r="AI34" s="1104">
        <v>0</v>
      </c>
      <c r="AJ34" s="1103">
        <v>194.12</v>
      </c>
      <c r="AK34" s="1104">
        <v>0</v>
      </c>
      <c r="AL34" s="1103">
        <v>200.17</v>
      </c>
      <c r="AM34" s="1103">
        <v>209.3022782667291</v>
      </c>
    </row>
    <row r="35" spans="2:39" ht="15">
      <c r="B35" s="1107"/>
      <c r="C35" s="1107" t="s">
        <v>1289</v>
      </c>
      <c r="D35" s="574" t="s">
        <v>1638</v>
      </c>
      <c r="E35" s="1113">
        <v>684.95</v>
      </c>
      <c r="F35" s="1103">
        <v>1800.74</v>
      </c>
      <c r="G35" s="1116">
        <f t="shared" si="0"/>
        <v>1.6290094167457476</v>
      </c>
      <c r="H35" s="1103">
        <v>689.61</v>
      </c>
      <c r="I35" s="1103">
        <v>1816.65</v>
      </c>
      <c r="J35" s="1116">
        <f aca="true" t="shared" si="5" ref="J35">+(I35-H35)/H35</f>
        <v>1.63431504763562</v>
      </c>
      <c r="K35" s="1103">
        <v>830.3</v>
      </c>
      <c r="L35" s="1103">
        <v>1862.62</v>
      </c>
      <c r="M35" s="1116">
        <f t="shared" si="2"/>
        <v>1.2433096471155005</v>
      </c>
      <c r="N35" s="1103">
        <v>871.44</v>
      </c>
      <c r="O35" s="1103">
        <v>1875.81</v>
      </c>
      <c r="P35" s="1116">
        <f aca="true" t="shared" si="6" ref="P35">+(O35-N35)/N35</f>
        <v>1.1525406224180665</v>
      </c>
      <c r="Q35" s="1103">
        <v>908.28</v>
      </c>
      <c r="R35" s="1103">
        <v>1883.56</v>
      </c>
      <c r="S35" s="1116">
        <f aca="true" t="shared" si="7" ref="S35">+(R35-Q35)/Q35</f>
        <v>1.0737657990927907</v>
      </c>
      <c r="T35" s="1103">
        <v>1891.3302211521877</v>
      </c>
      <c r="AA35" s="1033" t="s">
        <v>1163</v>
      </c>
      <c r="AB35" s="1030">
        <v>628.1752459573041</v>
      </c>
      <c r="AC35" s="1103">
        <v>854.94</v>
      </c>
      <c r="AD35" s="1103">
        <v>743.77</v>
      </c>
      <c r="AE35" s="1103">
        <v>1064.2</v>
      </c>
      <c r="AF35" s="1103">
        <v>914.17</v>
      </c>
      <c r="AG35" s="1103">
        <v>1155.72</v>
      </c>
      <c r="AH35" s="1103">
        <v>1004.94</v>
      </c>
      <c r="AI35" s="1103">
        <v>1171.27</v>
      </c>
      <c r="AJ35" s="1103">
        <v>1017.71</v>
      </c>
      <c r="AK35" s="1103">
        <v>1134.04</v>
      </c>
      <c r="AL35" s="1103">
        <v>979.5</v>
      </c>
      <c r="AM35" s="1103">
        <v>1084.9077189763816</v>
      </c>
    </row>
    <row r="36" spans="2:39" ht="15">
      <c r="B36" s="1107"/>
      <c r="C36" s="1107" t="s">
        <v>20</v>
      </c>
      <c r="D36" s="574" t="s">
        <v>1331</v>
      </c>
      <c r="E36" s="1114">
        <v>0</v>
      </c>
      <c r="F36" s="1111">
        <v>0</v>
      </c>
      <c r="G36" s="1111">
        <v>0</v>
      </c>
      <c r="H36" s="1111">
        <v>0</v>
      </c>
      <c r="I36" s="1111">
        <v>0</v>
      </c>
      <c r="J36" s="1111">
        <v>0</v>
      </c>
      <c r="K36" s="1111">
        <v>0</v>
      </c>
      <c r="L36" s="1111">
        <v>0</v>
      </c>
      <c r="M36" s="1111">
        <v>0</v>
      </c>
      <c r="N36" s="1111">
        <v>0</v>
      </c>
      <c r="O36" s="1111">
        <v>0</v>
      </c>
      <c r="P36" s="1111">
        <v>0</v>
      </c>
      <c r="Q36" s="1111">
        <v>0</v>
      </c>
      <c r="R36" s="1111">
        <v>0</v>
      </c>
      <c r="S36" s="1111">
        <v>0</v>
      </c>
      <c r="T36" s="1111">
        <v>0</v>
      </c>
      <c r="AA36" s="1105"/>
      <c r="AB36" s="1042">
        <v>20204.796980513114</v>
      </c>
      <c r="AC36" s="1042">
        <f>+SUM(AC28:AC35)</f>
        <v>22833.13</v>
      </c>
      <c r="AD36" s="1042">
        <f>+SUM(AD28:AD35)</f>
        <v>22822.33</v>
      </c>
      <c r="AE36" s="1042">
        <f aca="true" t="shared" si="8" ref="AE36:AM36">+SUM(AE28:AE35)</f>
        <v>23751.8</v>
      </c>
      <c r="AF36" s="1042">
        <f t="shared" si="8"/>
        <v>24099.779999999995</v>
      </c>
      <c r="AG36" s="1042">
        <f t="shared" si="8"/>
        <v>25879.36</v>
      </c>
      <c r="AH36" s="1042">
        <f t="shared" si="8"/>
        <v>25580.06</v>
      </c>
      <c r="AI36" s="1042">
        <f t="shared" si="8"/>
        <v>25664.69</v>
      </c>
      <c r="AJ36" s="1042">
        <f t="shared" si="8"/>
        <v>26048.019999999997</v>
      </c>
      <c r="AK36" s="1042">
        <f t="shared" si="8"/>
        <v>26233.200000000004</v>
      </c>
      <c r="AL36" s="1042">
        <f t="shared" si="8"/>
        <v>25840.069999999996</v>
      </c>
      <c r="AM36" s="1042">
        <f t="shared" si="8"/>
        <v>25910.294712920986</v>
      </c>
    </row>
    <row r="37" spans="2:20" ht="15">
      <c r="B37" s="1107"/>
      <c r="C37" s="1107" t="s">
        <v>21</v>
      </c>
      <c r="D37" s="574" t="s">
        <v>617</v>
      </c>
      <c r="E37" s="1114">
        <v>0</v>
      </c>
      <c r="F37" s="1103">
        <v>256.77</v>
      </c>
      <c r="G37" s="1111">
        <v>0</v>
      </c>
      <c r="H37" s="1111">
        <v>0</v>
      </c>
      <c r="I37" s="1103">
        <v>181.77</v>
      </c>
      <c r="J37" s="1111">
        <v>0</v>
      </c>
      <c r="K37" s="1111">
        <v>0</v>
      </c>
      <c r="L37" s="1103">
        <v>239.83</v>
      </c>
      <c r="M37" s="1111">
        <v>0</v>
      </c>
      <c r="N37" s="1111">
        <v>0</v>
      </c>
      <c r="O37" s="1103">
        <v>293.87</v>
      </c>
      <c r="P37" s="1111">
        <v>0</v>
      </c>
      <c r="Q37" s="1111">
        <v>0</v>
      </c>
      <c r="R37" s="1103">
        <v>250.73</v>
      </c>
      <c r="S37" s="1111">
        <v>0</v>
      </c>
      <c r="T37" s="1103">
        <v>262.53951122300003</v>
      </c>
    </row>
    <row r="38" spans="2:20" ht="15">
      <c r="B38" s="1107"/>
      <c r="C38" s="1107" t="s">
        <v>24</v>
      </c>
      <c r="D38" s="574" t="s">
        <v>1644</v>
      </c>
      <c r="E38" s="1520">
        <v>11520.72</v>
      </c>
      <c r="F38" s="1103">
        <v>6626.31</v>
      </c>
      <c r="G38" s="1516">
        <f>+(F38+F39-E38)/E38</f>
        <v>-0.2218593976765341</v>
      </c>
      <c r="H38" s="1513">
        <v>11765.58</v>
      </c>
      <c r="I38" s="1103">
        <v>6918.56</v>
      </c>
      <c r="J38" s="1516">
        <f>+(I38+I39-H38)/H38</f>
        <v>-0.20481863197564418</v>
      </c>
      <c r="K38" s="1513">
        <v>13100.54</v>
      </c>
      <c r="L38" s="1103">
        <v>7486.27</v>
      </c>
      <c r="M38" s="1516">
        <f>+(L38+L39-K38)/K38</f>
        <v>-0.22904552026099692</v>
      </c>
      <c r="N38" s="1513">
        <v>12932.43</v>
      </c>
      <c r="O38" s="1103">
        <v>7763.15</v>
      </c>
      <c r="P38" s="1516">
        <f>+(O38+O39-N38)/N38</f>
        <v>-0.1928941428641021</v>
      </c>
      <c r="Q38" s="1513">
        <v>13479.04</v>
      </c>
      <c r="R38" s="1103">
        <v>7704.6</v>
      </c>
      <c r="S38" s="1516">
        <f>+(R38+R39-Q38)/Q38</f>
        <v>-0.23104835359194728</v>
      </c>
      <c r="T38" s="1103">
        <v>7709.85946982283</v>
      </c>
    </row>
    <row r="39" spans="2:20" ht="15">
      <c r="B39" s="1107"/>
      <c r="C39" s="1107" t="s">
        <v>33</v>
      </c>
      <c r="D39" s="574" t="s">
        <v>1645</v>
      </c>
      <c r="E39" s="1520"/>
      <c r="F39" s="1103">
        <v>2338.43</v>
      </c>
      <c r="G39" s="1516"/>
      <c r="H39" s="1513"/>
      <c r="I39" s="1103">
        <v>2437.21</v>
      </c>
      <c r="J39" s="1516"/>
      <c r="K39" s="1513"/>
      <c r="L39" s="1103">
        <v>2613.65</v>
      </c>
      <c r="M39" s="1516"/>
      <c r="N39" s="1513"/>
      <c r="O39" s="1103">
        <v>2674.69</v>
      </c>
      <c r="P39" s="1516"/>
      <c r="Q39" s="1513"/>
      <c r="R39" s="1103">
        <v>2660.13</v>
      </c>
      <c r="S39" s="1516"/>
      <c r="T39" s="1103">
        <v>2667.6630882364475</v>
      </c>
    </row>
    <row r="40" spans="2:20" ht="28.5">
      <c r="B40" s="574"/>
      <c r="C40" s="1107" t="s">
        <v>34</v>
      </c>
      <c r="D40" s="574" t="s">
        <v>1646</v>
      </c>
      <c r="E40" s="1114">
        <v>0</v>
      </c>
      <c r="F40" s="1103">
        <v>142.43</v>
      </c>
      <c r="G40" s="1111">
        <v>0</v>
      </c>
      <c r="H40" s="1111">
        <v>0</v>
      </c>
      <c r="I40" s="1103">
        <v>158.51</v>
      </c>
      <c r="J40" s="1111">
        <v>0</v>
      </c>
      <c r="K40" s="1111">
        <v>0</v>
      </c>
      <c r="L40" s="1103">
        <v>187.72</v>
      </c>
      <c r="M40" s="1111">
        <v>0</v>
      </c>
      <c r="N40" s="1111">
        <v>0</v>
      </c>
      <c r="O40" s="1103">
        <v>194.12</v>
      </c>
      <c r="P40" s="1111">
        <v>0</v>
      </c>
      <c r="Q40" s="1111">
        <v>0</v>
      </c>
      <c r="R40" s="1103">
        <v>200.17</v>
      </c>
      <c r="S40" s="1111">
        <v>0</v>
      </c>
      <c r="T40" s="1103">
        <v>209.3022782667291</v>
      </c>
    </row>
    <row r="41" spans="2:20" ht="15">
      <c r="B41" s="1107"/>
      <c r="C41" s="1107" t="s">
        <v>36</v>
      </c>
      <c r="D41" s="574" t="s">
        <v>1163</v>
      </c>
      <c r="E41" s="1113">
        <v>854.94</v>
      </c>
      <c r="F41" s="1103">
        <v>743.77</v>
      </c>
      <c r="G41" s="1116">
        <f aca="true" t="shared" si="9" ref="G41:G42">+(F41-E41)/E41</f>
        <v>-0.13003251690177095</v>
      </c>
      <c r="H41" s="1103">
        <v>1064.2</v>
      </c>
      <c r="I41" s="1103">
        <v>914.17</v>
      </c>
      <c r="J41" s="1116">
        <f aca="true" t="shared" si="10" ref="J41:J42">+(I41-H41)/H41</f>
        <v>-0.14097913925953776</v>
      </c>
      <c r="K41" s="1103">
        <v>1155.72</v>
      </c>
      <c r="L41" s="1103">
        <v>1004.94</v>
      </c>
      <c r="M41" s="1116">
        <f aca="true" t="shared" si="11" ref="M41:M42">+(L41-K41)/K41</f>
        <v>-0.13046412625895543</v>
      </c>
      <c r="N41" s="1103">
        <v>1171.27</v>
      </c>
      <c r="O41" s="1103">
        <v>1017.71</v>
      </c>
      <c r="P41" s="1116">
        <f aca="true" t="shared" si="12" ref="P41:P42">+(O41-N41)/N41</f>
        <v>-0.13110555209302718</v>
      </c>
      <c r="Q41" s="1103">
        <v>1134.04</v>
      </c>
      <c r="R41" s="1103">
        <v>979.5</v>
      </c>
      <c r="S41" s="1116">
        <f aca="true" t="shared" si="13" ref="S41:S42">+(R41-Q41)/Q41</f>
        <v>-0.13627385277415255</v>
      </c>
      <c r="T41" s="1103">
        <v>1084.9077189763816</v>
      </c>
    </row>
    <row r="42" spans="2:20" ht="15">
      <c r="B42" s="1517" t="s">
        <v>167</v>
      </c>
      <c r="C42" s="1517"/>
      <c r="D42" s="1517"/>
      <c r="E42" s="1109">
        <f>+E32+E33+E35+E36+E37+E38+E40+E41</f>
        <v>22833.13</v>
      </c>
      <c r="F42" s="1109">
        <f>+F32+F33+F35+F36+F37+F38+F39+F40+F41</f>
        <v>22822.33</v>
      </c>
      <c r="G42" s="1117">
        <f t="shared" si="9"/>
        <v>-0.00047299691281919176</v>
      </c>
      <c r="H42" s="1109">
        <f>+H32+H33+H35+H36+H37+H38+H40+H41</f>
        <v>23751.8</v>
      </c>
      <c r="I42" s="1109">
        <f>+I32+I33+I35+I36+I37+I38+I39+I40+I41</f>
        <v>24099.779999999995</v>
      </c>
      <c r="J42" s="1117">
        <f t="shared" si="10"/>
        <v>0.014650679106425446</v>
      </c>
      <c r="K42" s="1109">
        <f>+K32+K33+K35+K36+K37+K38+K40+K41</f>
        <v>25879.36</v>
      </c>
      <c r="L42" s="1109">
        <f>+L32+L33+L35+L36+L37+L38+L39+L40+L41</f>
        <v>25580.06</v>
      </c>
      <c r="M42" s="1117">
        <f t="shared" si="11"/>
        <v>-0.011565200994151295</v>
      </c>
      <c r="N42" s="1109">
        <f>+N32+N33+N35+N36+N37+N38+N40+N41</f>
        <v>25664.69</v>
      </c>
      <c r="O42" s="1109">
        <f>+O32+O33+O35+O36+O37+O38+O39+O40+O41</f>
        <v>26048.019999999997</v>
      </c>
      <c r="P42" s="1117">
        <f t="shared" si="12"/>
        <v>0.014936085337481112</v>
      </c>
      <c r="Q42" s="1109">
        <f>+Q32+Q33+Q35+Q36+Q37+Q38+Q40+Q41</f>
        <v>26233.200000000004</v>
      </c>
      <c r="R42" s="1109">
        <f>+R32+R33+R35+R36+R37+R38+R39+R40+R41</f>
        <v>25840.069999999996</v>
      </c>
      <c r="S42" s="1117">
        <f t="shared" si="13"/>
        <v>-0.014985971974444911</v>
      </c>
      <c r="T42" s="1109">
        <f>+T32+T33+T35+T36+T37+T38+T39+T40+T41</f>
        <v>25910.294712920986</v>
      </c>
    </row>
    <row r="44" spans="2:16" ht="15">
      <c r="B44" s="1514" t="s">
        <v>1639</v>
      </c>
      <c r="C44" s="1514"/>
      <c r="D44" s="1514"/>
      <c r="E44" s="1514"/>
      <c r="F44" s="1514"/>
      <c r="G44" s="1514"/>
      <c r="H44" s="1514"/>
      <c r="I44" s="1514"/>
      <c r="J44" s="1514"/>
      <c r="K44" s="1514"/>
      <c r="L44" s="1514"/>
      <c r="M44" s="1514"/>
      <c r="N44" s="1514"/>
      <c r="O44" s="1514"/>
      <c r="P44" s="1514"/>
    </row>
    <row r="45" spans="2:16" ht="15">
      <c r="B45" s="1514"/>
      <c r="C45" s="1514"/>
      <c r="D45" s="1514"/>
      <c r="E45" s="1514"/>
      <c r="F45" s="1514"/>
      <c r="G45" s="1514"/>
      <c r="H45" s="1514"/>
      <c r="I45" s="1514"/>
      <c r="J45" s="1514"/>
      <c r="K45" s="1514"/>
      <c r="L45" s="1514"/>
      <c r="M45" s="1514"/>
      <c r="N45" s="1514"/>
      <c r="O45" s="1514"/>
      <c r="P45" s="1514"/>
    </row>
    <row r="46" spans="2:16" ht="15">
      <c r="B46" s="1514"/>
      <c r="C46" s="1514"/>
      <c r="D46" s="1514"/>
      <c r="E46" s="1514"/>
      <c r="F46" s="1514"/>
      <c r="G46" s="1514"/>
      <c r="H46" s="1514"/>
      <c r="I46" s="1514"/>
      <c r="J46" s="1514"/>
      <c r="K46" s="1514"/>
      <c r="L46" s="1514"/>
      <c r="M46" s="1514"/>
      <c r="N46" s="1514"/>
      <c r="O46" s="1514"/>
      <c r="P46" s="1514"/>
    </row>
  </sheetData>
  <mergeCells count="97">
    <mergeCell ref="AA25:AG25"/>
    <mergeCell ref="B25:U25"/>
    <mergeCell ref="B21:P23"/>
    <mergeCell ref="U14:U15"/>
    <mergeCell ref="W14:W15"/>
    <mergeCell ref="B15:C15"/>
    <mergeCell ref="B16:C16"/>
    <mergeCell ref="B17:C17"/>
    <mergeCell ref="B18:D18"/>
    <mergeCell ref="L14:L15"/>
    <mergeCell ref="N14:N15"/>
    <mergeCell ref="O14:O15"/>
    <mergeCell ref="Q14:Q15"/>
    <mergeCell ref="R14:R15"/>
    <mergeCell ref="T14:T15"/>
    <mergeCell ref="K14:K15"/>
    <mergeCell ref="B13:C13"/>
    <mergeCell ref="B14:C14"/>
    <mergeCell ref="F14:F15"/>
    <mergeCell ref="H14:H15"/>
    <mergeCell ref="I14:I15"/>
    <mergeCell ref="AG10:AG11"/>
    <mergeCell ref="AI10:AI11"/>
    <mergeCell ref="AK10:AK11"/>
    <mergeCell ref="AM10:AM11"/>
    <mergeCell ref="B11:C11"/>
    <mergeCell ref="AC10:AC11"/>
    <mergeCell ref="AE10:AE11"/>
    <mergeCell ref="B12:C12"/>
    <mergeCell ref="B7:C7"/>
    <mergeCell ref="B8:C8"/>
    <mergeCell ref="B9:C9"/>
    <mergeCell ref="B10:C10"/>
    <mergeCell ref="AM4:AN4"/>
    <mergeCell ref="F5:H5"/>
    <mergeCell ref="I5:K5"/>
    <mergeCell ref="L5:N5"/>
    <mergeCell ref="O5:Q5"/>
    <mergeCell ref="R5:T5"/>
    <mergeCell ref="U5:W5"/>
    <mergeCell ref="AA4:AA5"/>
    <mergeCell ref="AC4:AD4"/>
    <mergeCell ref="AE4:AF4"/>
    <mergeCell ref="AG4:AH4"/>
    <mergeCell ref="AI4:AJ4"/>
    <mergeCell ref="AK4:AL4"/>
    <mergeCell ref="B2:J2"/>
    <mergeCell ref="AA2:AG2"/>
    <mergeCell ref="B4:C6"/>
    <mergeCell ref="D4:D6"/>
    <mergeCell ref="F4:H4"/>
    <mergeCell ref="I4:K4"/>
    <mergeCell ref="L4:N4"/>
    <mergeCell ref="O4:Q4"/>
    <mergeCell ref="R4:T4"/>
    <mergeCell ref="U4:W4"/>
    <mergeCell ref="B27:D30"/>
    <mergeCell ref="E27:G27"/>
    <mergeCell ref="H27:J27"/>
    <mergeCell ref="K27:M27"/>
    <mergeCell ref="N27:P27"/>
    <mergeCell ref="Q27:S27"/>
    <mergeCell ref="E28:G28"/>
    <mergeCell ref="E29:G29"/>
    <mergeCell ref="H28:J28"/>
    <mergeCell ref="H29:J29"/>
    <mergeCell ref="K28:M28"/>
    <mergeCell ref="K29:M29"/>
    <mergeCell ref="N28:P28"/>
    <mergeCell ref="N29:P29"/>
    <mergeCell ref="Q28:S28"/>
    <mergeCell ref="Q29:S29"/>
    <mergeCell ref="K38:K39"/>
    <mergeCell ref="M38:M39"/>
    <mergeCell ref="N38:N39"/>
    <mergeCell ref="P38:P39"/>
    <mergeCell ref="C31:D31"/>
    <mergeCell ref="C34:D34"/>
    <mergeCell ref="E38:E39"/>
    <mergeCell ref="G38:G39"/>
    <mergeCell ref="H38:H39"/>
    <mergeCell ref="AI32:AI33"/>
    <mergeCell ref="AK32:AK33"/>
    <mergeCell ref="B44:P46"/>
    <mergeCell ref="AC26:AD26"/>
    <mergeCell ref="AE26:AF26"/>
    <mergeCell ref="AG26:AH26"/>
    <mergeCell ref="AI26:AJ26"/>
    <mergeCell ref="AK26:AL26"/>
    <mergeCell ref="AC32:AC33"/>
    <mergeCell ref="AE32:AE33"/>
    <mergeCell ref="Q38:Q39"/>
    <mergeCell ref="S38:S39"/>
    <mergeCell ref="B42:D42"/>
    <mergeCell ref="AA26:AA27"/>
    <mergeCell ref="AG32:AG33"/>
    <mergeCell ref="J38:J39"/>
  </mergeCells>
  <printOptions/>
  <pageMargins left="0.7" right="0.7" top="0.75" bottom="0.75" header="0.3" footer="0.3"/>
  <pageSetup horizontalDpi="300" verticalDpi="300" orientation="portrait" paperSize="9"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V9"/>
  <sheetViews>
    <sheetView workbookViewId="0" topLeftCell="A1">
      <selection activeCell="I15" sqref="I15"/>
    </sheetView>
  </sheetViews>
  <sheetFormatPr defaultColWidth="11.421875" defaultRowHeight="15"/>
  <sheetData>
    <row r="1" spans="1:22" ht="15">
      <c r="A1" s="419"/>
      <c r="B1" s="419"/>
      <c r="C1" s="419"/>
      <c r="D1" s="419"/>
      <c r="E1" s="419"/>
      <c r="F1" s="419"/>
      <c r="G1" s="419"/>
      <c r="H1" s="419"/>
      <c r="I1" s="419"/>
      <c r="J1" s="419"/>
      <c r="K1" s="419"/>
      <c r="L1" s="419"/>
      <c r="M1" s="22"/>
      <c r="N1" s="22"/>
      <c r="O1" s="22"/>
      <c r="P1" s="22"/>
      <c r="Q1" s="22"/>
      <c r="R1" s="22"/>
      <c r="S1" s="22"/>
      <c r="T1" s="22"/>
      <c r="U1" s="22"/>
      <c r="V1" s="22"/>
    </row>
    <row r="2" spans="1:22" ht="15">
      <c r="A2" s="419"/>
      <c r="B2" s="469" t="s">
        <v>1040</v>
      </c>
      <c r="C2" s="469"/>
      <c r="D2" s="469"/>
      <c r="E2" s="469"/>
      <c r="F2" s="469"/>
      <c r="G2" s="469"/>
      <c r="H2" s="419"/>
      <c r="I2" s="419"/>
      <c r="J2" s="419"/>
      <c r="K2" s="419"/>
      <c r="L2" s="419"/>
      <c r="M2" s="22"/>
      <c r="N2" s="22"/>
      <c r="O2" s="22"/>
      <c r="P2" s="22"/>
      <c r="Q2" s="22"/>
      <c r="R2" s="22"/>
      <c r="S2" s="22"/>
      <c r="T2" s="22"/>
      <c r="U2" s="22"/>
      <c r="V2" s="22"/>
    </row>
    <row r="3" spans="1:22" ht="15.75" thickBot="1">
      <c r="A3" s="419"/>
      <c r="B3" s="419"/>
      <c r="C3" s="420"/>
      <c r="D3" s="420"/>
      <c r="E3" s="420"/>
      <c r="F3" s="420"/>
      <c r="G3" s="419"/>
      <c r="H3" s="420"/>
      <c r="I3" s="420"/>
      <c r="J3" s="420"/>
      <c r="K3" s="420"/>
      <c r="L3" s="420"/>
      <c r="M3" s="23"/>
      <c r="N3" s="23"/>
      <c r="O3" s="23"/>
      <c r="P3" s="23"/>
      <c r="Q3" s="23"/>
      <c r="R3" s="23"/>
      <c r="S3" s="23"/>
      <c r="T3" s="23"/>
      <c r="U3" s="23"/>
      <c r="V3" s="23"/>
    </row>
    <row r="4" spans="1:22" ht="30" customHeight="1" thickBot="1">
      <c r="A4" s="419"/>
      <c r="B4" s="419"/>
      <c r="C4" s="419"/>
      <c r="D4" s="419"/>
      <c r="E4" s="1506" t="s">
        <v>1137</v>
      </c>
      <c r="F4" s="1507"/>
      <c r="G4" s="1507"/>
      <c r="H4" s="1507"/>
      <c r="I4" s="1507"/>
      <c r="J4" s="1507"/>
      <c r="K4" s="1508"/>
      <c r="L4" s="447"/>
      <c r="M4" s="24"/>
      <c r="N4" s="24"/>
      <c r="O4" s="24"/>
      <c r="P4" s="24"/>
      <c r="Q4" s="24"/>
      <c r="R4" s="24"/>
      <c r="S4" s="24"/>
      <c r="T4" s="24"/>
      <c r="U4" s="24"/>
      <c r="V4" s="24"/>
    </row>
    <row r="5" spans="1:22" ht="64.5" thickBot="1">
      <c r="A5" s="419"/>
      <c r="B5" s="550" t="s">
        <v>625</v>
      </c>
      <c r="C5" s="557" t="s">
        <v>572</v>
      </c>
      <c r="D5" s="557" t="s">
        <v>1039</v>
      </c>
      <c r="E5" s="556">
        <v>1994</v>
      </c>
      <c r="F5" s="556">
        <v>2000</v>
      </c>
      <c r="G5" s="556">
        <v>2005</v>
      </c>
      <c r="H5" s="556">
        <v>2010</v>
      </c>
      <c r="I5" s="556">
        <v>2012</v>
      </c>
      <c r="J5" s="556">
        <v>2014</v>
      </c>
      <c r="K5" s="556">
        <v>2016</v>
      </c>
      <c r="L5" s="447"/>
      <c r="M5" s="24"/>
      <c r="N5" s="24"/>
      <c r="O5" s="24"/>
      <c r="P5" s="24"/>
      <c r="Q5" s="24"/>
      <c r="R5" s="24"/>
      <c r="S5" s="24"/>
      <c r="T5" s="24"/>
      <c r="U5" s="24"/>
      <c r="V5" s="24"/>
    </row>
    <row r="6" spans="1:22" ht="15">
      <c r="A6" s="419"/>
      <c r="B6" s="551">
        <v>3</v>
      </c>
      <c r="C6" s="558" t="s">
        <v>574</v>
      </c>
      <c r="D6" s="560" t="s">
        <v>657</v>
      </c>
      <c r="E6" s="552">
        <f>'Recálculos RAGEI anteriores'!H6</f>
        <v>20204.796980513118</v>
      </c>
      <c r="F6" s="552">
        <f>'Recálculos RAGEI anteriores'!I6</f>
        <v>22822.421192771137</v>
      </c>
      <c r="G6" s="552">
        <f>'Recálculos RAGEI anteriores'!J6</f>
        <v>24099.776212175508</v>
      </c>
      <c r="H6" s="552">
        <f>'Recálculos RAGEI anteriores'!K6</f>
        <v>25580.062881669422</v>
      </c>
      <c r="I6" s="552">
        <f>'Recálculos RAGEI anteriores'!L6</f>
        <v>26048.01947959274</v>
      </c>
      <c r="J6" s="552">
        <f>'Recálculos RAGEI anteriores'!M6</f>
        <v>25840.066201708105</v>
      </c>
      <c r="K6" s="552">
        <f>'Recálculos RAGEI anteriores'!N6</f>
        <v>25910.29471292099</v>
      </c>
      <c r="L6" s="447"/>
      <c r="M6" s="24"/>
      <c r="N6" s="24"/>
      <c r="O6" s="24"/>
      <c r="P6" s="24"/>
      <c r="Q6" s="24"/>
      <c r="R6" s="24"/>
      <c r="S6" s="24"/>
      <c r="T6" s="24"/>
      <c r="U6" s="24"/>
      <c r="V6" s="24"/>
    </row>
    <row r="7" spans="2:11" ht="15.75" thickBot="1">
      <c r="B7" s="553">
        <v>3</v>
      </c>
      <c r="C7" s="559" t="s">
        <v>574</v>
      </c>
      <c r="D7" s="561" t="s">
        <v>1041</v>
      </c>
      <c r="E7" s="554"/>
      <c r="F7" s="555">
        <v>21664.2631</v>
      </c>
      <c r="G7" s="555">
        <v>22410.9531</v>
      </c>
      <c r="H7" s="555">
        <v>23802.1</v>
      </c>
      <c r="I7" s="555">
        <v>24036.472700000002</v>
      </c>
      <c r="J7" s="555">
        <v>23959.688400000003</v>
      </c>
      <c r="K7" s="555">
        <v>24173.343899999996</v>
      </c>
    </row>
    <row r="9" ht="15">
      <c r="K9" s="582"/>
    </row>
  </sheetData>
  <mergeCells count="1">
    <mergeCell ref="E4:K4"/>
  </mergeCell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AF109"/>
  <sheetViews>
    <sheetView zoomScale="98" zoomScaleNormal="98" workbookViewId="0" topLeftCell="J1">
      <selection activeCell="AC33" sqref="AC33"/>
    </sheetView>
  </sheetViews>
  <sheetFormatPr defaultColWidth="11.421875" defaultRowHeight="15"/>
  <cols>
    <col min="1" max="1" width="2.00390625" style="6" bestFit="1" customWidth="1"/>
    <col min="2" max="2" width="3.7109375" style="6" customWidth="1"/>
    <col min="3" max="3" width="4.57421875" style="6" bestFit="1" customWidth="1"/>
    <col min="4" max="4" width="5.8515625" style="6" customWidth="1"/>
    <col min="5" max="5" width="7.00390625" style="6" bestFit="1" customWidth="1"/>
    <col min="6" max="6" width="45.28125" style="6" customWidth="1"/>
    <col min="7" max="7" width="7.00390625" style="667" customWidth="1"/>
    <col min="8" max="8" width="16.00390625" style="667" customWidth="1"/>
    <col min="9" max="9" width="15.00390625" style="667" customWidth="1"/>
    <col min="10" max="10" width="13.8515625" style="667" customWidth="1"/>
    <col min="11" max="11" width="2.8515625" style="0" customWidth="1"/>
    <col min="12" max="12" width="2.28125" style="0" customWidth="1"/>
    <col min="13" max="13" width="3.421875" style="0" customWidth="1"/>
    <col min="14" max="14" width="3.8515625" style="0" customWidth="1"/>
    <col min="15" max="15" width="5.7109375" style="0" customWidth="1"/>
    <col min="16" max="16" width="43.7109375" style="0" customWidth="1"/>
    <col min="17" max="17" width="5.57421875" style="655" customWidth="1"/>
    <col min="18" max="18" width="10.00390625" style="0" customWidth="1"/>
    <col min="19" max="19" width="16.00390625" style="666" customWidth="1"/>
    <col min="20" max="20" width="17.421875" style="666" customWidth="1"/>
    <col min="21" max="21" width="13.421875" style="586" customWidth="1"/>
    <col min="22" max="22" width="3.00390625" style="0" customWidth="1"/>
    <col min="23" max="23" width="3.28125" style="0" customWidth="1"/>
    <col min="24" max="25" width="4.00390625" style="0" customWidth="1"/>
    <col min="26" max="26" width="6.57421875" style="0" customWidth="1"/>
    <col min="27" max="27" width="44.421875" style="0" customWidth="1"/>
    <col min="28" max="28" width="7.00390625" style="655" customWidth="1"/>
    <col min="29" max="29" width="11.8515625" style="0" customWidth="1"/>
    <col min="30" max="30" width="15.8515625" style="0" customWidth="1"/>
    <col min="31" max="31" width="15.421875" style="0" customWidth="1"/>
    <col min="32" max="32" width="13.57421875" style="0" customWidth="1"/>
  </cols>
  <sheetData>
    <row r="2" spans="1:21" ht="15">
      <c r="A2" s="1556" t="s">
        <v>1243</v>
      </c>
      <c r="B2" s="1556"/>
      <c r="C2" s="1556"/>
      <c r="D2" s="1556"/>
      <c r="E2" s="1556"/>
      <c r="F2" s="1556"/>
      <c r="G2" s="1556"/>
      <c r="H2" s="1556"/>
      <c r="I2" s="1556"/>
      <c r="J2" s="1556"/>
      <c r="L2" s="1556"/>
      <c r="M2" s="1556"/>
      <c r="N2" s="1556"/>
      <c r="O2" s="1556"/>
      <c r="P2" s="1556"/>
      <c r="Q2" s="1556"/>
      <c r="R2" s="1556"/>
      <c r="S2" s="1556"/>
      <c r="T2" s="1556"/>
      <c r="U2" s="1556"/>
    </row>
    <row r="3" spans="12:21" ht="15.75" thickBot="1">
      <c r="L3" s="667"/>
      <c r="M3" s="667"/>
      <c r="N3" s="667"/>
      <c r="O3" s="667"/>
      <c r="P3" s="667"/>
      <c r="Q3" s="974"/>
      <c r="R3" s="667"/>
      <c r="S3" s="696"/>
      <c r="T3" s="696"/>
      <c r="U3" s="695"/>
    </row>
    <row r="4" spans="1:32" ht="15">
      <c r="A4" s="1559" t="s">
        <v>14</v>
      </c>
      <c r="B4" s="1560"/>
      <c r="C4" s="1560"/>
      <c r="D4" s="1560"/>
      <c r="E4" s="1560"/>
      <c r="F4" s="1560"/>
      <c r="G4" s="758" t="s">
        <v>1165</v>
      </c>
      <c r="H4" s="758" t="s">
        <v>1242</v>
      </c>
      <c r="I4" s="758" t="s">
        <v>25</v>
      </c>
      <c r="J4" s="759" t="s">
        <v>136</v>
      </c>
      <c r="L4" s="1551" t="s">
        <v>14</v>
      </c>
      <c r="M4" s="1552"/>
      <c r="N4" s="1552"/>
      <c r="O4" s="1552"/>
      <c r="P4" s="1552"/>
      <c r="Q4" s="922" t="s">
        <v>1165</v>
      </c>
      <c r="R4" s="922"/>
      <c r="S4" s="781" t="s">
        <v>1242</v>
      </c>
      <c r="T4" s="781" t="s">
        <v>25</v>
      </c>
      <c r="U4" s="782" t="s">
        <v>136</v>
      </c>
      <c r="W4" s="1551" t="s">
        <v>14</v>
      </c>
      <c r="X4" s="1552"/>
      <c r="Y4" s="1552"/>
      <c r="Z4" s="1552"/>
      <c r="AA4" s="1552"/>
      <c r="AB4" s="922" t="s">
        <v>1165</v>
      </c>
      <c r="AC4" s="922"/>
      <c r="AD4" s="781" t="s">
        <v>1242</v>
      </c>
      <c r="AE4" s="781" t="s">
        <v>25</v>
      </c>
      <c r="AF4" s="782" t="s">
        <v>136</v>
      </c>
    </row>
    <row r="5" spans="1:32" ht="37.5" customHeight="1">
      <c r="A5" s="1557" t="s">
        <v>625</v>
      </c>
      <c r="B5" s="1558"/>
      <c r="C5" s="1558"/>
      <c r="D5" s="1558"/>
      <c r="E5" s="1558"/>
      <c r="F5" s="721" t="s">
        <v>572</v>
      </c>
      <c r="G5" s="725" t="s">
        <v>1239</v>
      </c>
      <c r="H5" s="725" t="s">
        <v>1238</v>
      </c>
      <c r="I5" s="725" t="s">
        <v>1237</v>
      </c>
      <c r="J5" s="760" t="s">
        <v>1241</v>
      </c>
      <c r="L5" s="1553" t="s">
        <v>1240</v>
      </c>
      <c r="M5" s="1554"/>
      <c r="N5" s="1554"/>
      <c r="O5" s="1555"/>
      <c r="P5" s="924" t="s">
        <v>81</v>
      </c>
      <c r="Q5" s="924" t="s">
        <v>1239</v>
      </c>
      <c r="R5" s="924" t="s">
        <v>1291</v>
      </c>
      <c r="S5" s="924" t="s">
        <v>1238</v>
      </c>
      <c r="T5" s="924" t="s">
        <v>1237</v>
      </c>
      <c r="U5" s="760" t="s">
        <v>1241</v>
      </c>
      <c r="W5" s="1553" t="s">
        <v>1240</v>
      </c>
      <c r="X5" s="1554"/>
      <c r="Y5" s="1554"/>
      <c r="Z5" s="1555"/>
      <c r="AA5" s="924" t="s">
        <v>81</v>
      </c>
      <c r="AB5" s="924" t="s">
        <v>1239</v>
      </c>
      <c r="AC5" s="924" t="s">
        <v>1291</v>
      </c>
      <c r="AD5" s="924" t="s">
        <v>1238</v>
      </c>
      <c r="AE5" s="924" t="s">
        <v>1237</v>
      </c>
      <c r="AF5" s="760" t="s">
        <v>1241</v>
      </c>
    </row>
    <row r="6" spans="1:32" ht="13.5" customHeight="1">
      <c r="A6" s="769"/>
      <c r="B6" s="770"/>
      <c r="C6" s="770"/>
      <c r="D6" s="770"/>
      <c r="E6" s="770"/>
      <c r="F6" s="721"/>
      <c r="G6" s="725"/>
      <c r="H6" s="725" t="s">
        <v>1264</v>
      </c>
      <c r="I6" s="725" t="s">
        <v>1264</v>
      </c>
      <c r="J6" s="760" t="s">
        <v>1265</v>
      </c>
      <c r="L6" s="923"/>
      <c r="M6" s="924"/>
      <c r="N6" s="924"/>
      <c r="O6" s="924"/>
      <c r="P6" s="924"/>
      <c r="Q6" s="924"/>
      <c r="R6" s="924"/>
      <c r="S6" s="924" t="s">
        <v>1264</v>
      </c>
      <c r="T6" s="924" t="s">
        <v>1264</v>
      </c>
      <c r="U6" s="760" t="s">
        <v>1265</v>
      </c>
      <c r="W6" s="923"/>
      <c r="X6" s="924"/>
      <c r="Y6" s="924"/>
      <c r="Z6" s="924"/>
      <c r="AA6" s="924"/>
      <c r="AB6" s="924"/>
      <c r="AC6" s="924"/>
      <c r="AD6" s="924" t="s">
        <v>1264</v>
      </c>
      <c r="AE6" s="924" t="s">
        <v>1264</v>
      </c>
      <c r="AF6" s="760" t="s">
        <v>1265</v>
      </c>
    </row>
    <row r="7" spans="1:32" ht="16.5" customHeight="1">
      <c r="A7" s="769"/>
      <c r="B7" s="770"/>
      <c r="C7" s="770"/>
      <c r="D7" s="770"/>
      <c r="E7" s="770"/>
      <c r="F7" s="721"/>
      <c r="G7" s="725"/>
      <c r="H7" s="725" t="s">
        <v>470</v>
      </c>
      <c r="I7" s="725" t="s">
        <v>470</v>
      </c>
      <c r="J7" s="760" t="s">
        <v>470</v>
      </c>
      <c r="L7" s="923"/>
      <c r="M7" s="924"/>
      <c r="N7" s="924"/>
      <c r="O7" s="924"/>
      <c r="P7" s="924"/>
      <c r="Q7" s="924"/>
      <c r="R7" s="924"/>
      <c r="S7" s="924" t="s">
        <v>470</v>
      </c>
      <c r="T7" s="924" t="s">
        <v>470</v>
      </c>
      <c r="U7" s="760" t="s">
        <v>470</v>
      </c>
      <c r="W7" s="923"/>
      <c r="X7" s="924"/>
      <c r="Y7" s="924"/>
      <c r="Z7" s="924"/>
      <c r="AA7" s="924"/>
      <c r="AB7" s="924"/>
      <c r="AC7" s="924"/>
      <c r="AD7" s="924" t="s">
        <v>470</v>
      </c>
      <c r="AE7" s="924" t="s">
        <v>470</v>
      </c>
      <c r="AF7" s="760" t="s">
        <v>470</v>
      </c>
    </row>
    <row r="8" spans="1:32" ht="15">
      <c r="A8" s="44">
        <v>3</v>
      </c>
      <c r="B8" s="17"/>
      <c r="C8" s="17"/>
      <c r="D8" s="17"/>
      <c r="E8" s="10"/>
      <c r="F8" s="27" t="s">
        <v>574</v>
      </c>
      <c r="G8" s="672"/>
      <c r="H8" s="672"/>
      <c r="I8" s="672"/>
      <c r="J8" s="761"/>
      <c r="L8" s="783">
        <v>3</v>
      </c>
      <c r="M8" s="673"/>
      <c r="N8" s="673"/>
      <c r="O8" s="673"/>
      <c r="P8" s="673" t="s">
        <v>574</v>
      </c>
      <c r="Q8" s="924"/>
      <c r="R8" s="924"/>
      <c r="S8" s="924"/>
      <c r="T8" s="924"/>
      <c r="U8" s="760"/>
      <c r="W8" s="783">
        <v>3</v>
      </c>
      <c r="X8" s="673"/>
      <c r="Y8" s="673"/>
      <c r="Z8" s="673"/>
      <c r="AA8" s="673" t="s">
        <v>574</v>
      </c>
      <c r="AB8" s="924"/>
      <c r="AC8" s="924"/>
      <c r="AD8" s="924"/>
      <c r="AE8" s="924"/>
      <c r="AF8" s="760"/>
    </row>
    <row r="9" spans="1:32" ht="15">
      <c r="A9" s="45"/>
      <c r="B9" s="692" t="s">
        <v>585</v>
      </c>
      <c r="C9" s="18"/>
      <c r="D9" s="18"/>
      <c r="E9" s="19"/>
      <c r="F9" s="27" t="s">
        <v>583</v>
      </c>
      <c r="G9" s="670"/>
      <c r="H9" s="694"/>
      <c r="I9" s="694"/>
      <c r="J9" s="762"/>
      <c r="L9" s="784"/>
      <c r="M9" s="775" t="s">
        <v>607</v>
      </c>
      <c r="N9" s="775"/>
      <c r="O9" s="775"/>
      <c r="P9" s="778" t="s">
        <v>883</v>
      </c>
      <c r="Q9" s="975"/>
      <c r="R9" s="653"/>
      <c r="S9" s="779"/>
      <c r="T9" s="779"/>
      <c r="U9" s="785"/>
      <c r="W9" s="784"/>
      <c r="X9" s="775" t="s">
        <v>607</v>
      </c>
      <c r="Y9" s="775"/>
      <c r="Z9" s="775"/>
      <c r="AA9" s="778" t="s">
        <v>883</v>
      </c>
      <c r="AB9" s="975"/>
      <c r="AC9" s="653"/>
      <c r="AD9" s="779"/>
      <c r="AE9" s="779"/>
      <c r="AF9" s="785"/>
    </row>
    <row r="10" spans="1:32" ht="15">
      <c r="A10" s="693"/>
      <c r="B10" s="681"/>
      <c r="C10" s="692" t="s">
        <v>586</v>
      </c>
      <c r="D10" s="692"/>
      <c r="E10" s="406"/>
      <c r="F10" s="679" t="s">
        <v>575</v>
      </c>
      <c r="G10" s="670"/>
      <c r="H10" s="690"/>
      <c r="I10" s="690"/>
      <c r="J10" s="763"/>
      <c r="L10" s="786"/>
      <c r="M10" s="669"/>
      <c r="N10" s="772" t="s">
        <v>34</v>
      </c>
      <c r="O10" s="772"/>
      <c r="P10" s="772" t="s">
        <v>617</v>
      </c>
      <c r="Q10" s="971" t="s">
        <v>934</v>
      </c>
      <c r="R10" s="970">
        <f>'RESULTADOS RAGEI 2016'!H38</f>
        <v>262.53951122300003</v>
      </c>
      <c r="S10" s="776">
        <f>H49</f>
        <v>0</v>
      </c>
      <c r="T10" s="776">
        <f>I49</f>
        <v>50</v>
      </c>
      <c r="U10" s="777">
        <f>SQRT(S10^2+T10^2)</f>
        <v>50</v>
      </c>
      <c r="W10" s="786"/>
      <c r="X10" s="669"/>
      <c r="Y10" s="772" t="s">
        <v>34</v>
      </c>
      <c r="Z10" s="772"/>
      <c r="AA10" s="772" t="s">
        <v>617</v>
      </c>
      <c r="AB10" s="971" t="s">
        <v>934</v>
      </c>
      <c r="AC10" s="970">
        <f>R10</f>
        <v>262.53951122300003</v>
      </c>
      <c r="AD10" s="776">
        <f aca="true" t="shared" si="0" ref="AD10:AE10">S10</f>
        <v>0</v>
      </c>
      <c r="AE10" s="776">
        <f t="shared" si="0"/>
        <v>50</v>
      </c>
      <c r="AF10" s="777">
        <f>SQRT(AD10^2+AE10^2)</f>
        <v>50</v>
      </c>
    </row>
    <row r="11" spans="1:32" ht="15">
      <c r="A11" s="689"/>
      <c r="B11" s="681"/>
      <c r="C11" s="681"/>
      <c r="D11" s="681" t="s">
        <v>584</v>
      </c>
      <c r="E11" s="408"/>
      <c r="F11" s="764" t="s">
        <v>587</v>
      </c>
      <c r="G11" s="670"/>
      <c r="H11" s="690"/>
      <c r="I11" s="690"/>
      <c r="J11" s="763"/>
      <c r="L11" s="784"/>
      <c r="M11" s="775" t="s">
        <v>1288</v>
      </c>
      <c r="N11" s="775"/>
      <c r="O11" s="775"/>
      <c r="P11" s="780" t="s">
        <v>583</v>
      </c>
      <c r="Q11" s="975"/>
      <c r="R11" s="653"/>
      <c r="S11" s="779"/>
      <c r="T11" s="779"/>
      <c r="U11" s="785"/>
      <c r="W11" s="784"/>
      <c r="X11" s="775" t="s">
        <v>1288</v>
      </c>
      <c r="Y11" s="775"/>
      <c r="Z11" s="775"/>
      <c r="AA11" s="780" t="s">
        <v>583</v>
      </c>
      <c r="AB11" s="975"/>
      <c r="AC11" s="653"/>
      <c r="AD11" s="779"/>
      <c r="AE11" s="779"/>
      <c r="AF11" s="785"/>
    </row>
    <row r="12" spans="1:32" ht="15">
      <c r="A12" s="689"/>
      <c r="B12" s="681"/>
      <c r="C12" s="681"/>
      <c r="D12" s="681"/>
      <c r="E12" s="408" t="s">
        <v>588</v>
      </c>
      <c r="F12" s="794" t="s">
        <v>632</v>
      </c>
      <c r="G12" s="670" t="s">
        <v>740</v>
      </c>
      <c r="H12" s="690">
        <f>'Valores de incertidumbre'!I9</f>
        <v>10</v>
      </c>
      <c r="I12" s="690">
        <f>'Valores de incertidumbre'!J9</f>
        <v>29.71212322690895</v>
      </c>
      <c r="J12" s="763">
        <f>SQRT(H12^2+I12^2)</f>
        <v>31.34980489015876</v>
      </c>
      <c r="L12" s="786"/>
      <c r="M12" s="669"/>
      <c r="N12" s="772" t="s">
        <v>1266</v>
      </c>
      <c r="O12" s="772"/>
      <c r="P12" s="772" t="s">
        <v>575</v>
      </c>
      <c r="Q12" s="976"/>
      <c r="R12" s="772"/>
      <c r="S12" s="772"/>
      <c r="T12" s="772"/>
      <c r="U12" s="787"/>
      <c r="W12" s="786"/>
      <c r="X12" s="669"/>
      <c r="Y12" s="772" t="s">
        <v>1266</v>
      </c>
      <c r="Z12" s="772"/>
      <c r="AA12" s="772" t="s">
        <v>575</v>
      </c>
      <c r="AB12" s="976"/>
      <c r="AC12" s="772"/>
      <c r="AD12" s="772"/>
      <c r="AE12" s="772"/>
      <c r="AF12" s="787"/>
    </row>
    <row r="13" spans="1:32" ht="15">
      <c r="A13" s="689"/>
      <c r="B13" s="681"/>
      <c r="C13" s="681"/>
      <c r="D13" s="681"/>
      <c r="E13" s="408" t="s">
        <v>590</v>
      </c>
      <c r="F13" s="794" t="s">
        <v>564</v>
      </c>
      <c r="G13" s="670" t="s">
        <v>740</v>
      </c>
      <c r="H13" s="690">
        <f>'Valores de incertidumbre'!I10</f>
        <v>10</v>
      </c>
      <c r="I13" s="948">
        <f>'Valores de incertidumbre'!J10</f>
        <v>11.264310810863321</v>
      </c>
      <c r="J13" s="763">
        <f>SQRT(H13^2+I13^2)</f>
        <v>15.06269225748612</v>
      </c>
      <c r="K13" s="731"/>
      <c r="L13" s="786"/>
      <c r="M13" s="669"/>
      <c r="N13" s="669"/>
      <c r="O13" s="669" t="s">
        <v>1267</v>
      </c>
      <c r="P13" s="669" t="s">
        <v>587</v>
      </c>
      <c r="Q13" s="977" t="s">
        <v>740</v>
      </c>
      <c r="R13" s="773">
        <f>SUM(R14:R15)</f>
        <v>8806.838822836235</v>
      </c>
      <c r="S13" s="773">
        <f>S14</f>
        <v>10</v>
      </c>
      <c r="T13" s="773">
        <f>SQRT(POWER((R14*T14),2)+POWER((R15*T15),2))/(R13)</f>
        <v>24.236827651242372</v>
      </c>
      <c r="U13" s="774">
        <f>SQRT(S13^2+T13^2)</f>
        <v>26.21876836535284</v>
      </c>
      <c r="W13" s="786"/>
      <c r="X13" s="669"/>
      <c r="Y13" s="669"/>
      <c r="Z13" s="669" t="s">
        <v>1267</v>
      </c>
      <c r="AA13" s="669" t="s">
        <v>587</v>
      </c>
      <c r="AB13" s="977" t="s">
        <v>740</v>
      </c>
      <c r="AC13" s="773">
        <f>R13</f>
        <v>8806.838822836235</v>
      </c>
      <c r="AD13" s="773">
        <f>S13</f>
        <v>10</v>
      </c>
      <c r="AE13" s="773">
        <f>T13</f>
        <v>24.236827651242372</v>
      </c>
      <c r="AF13" s="774">
        <f>SQRT(AD13^2+AE13^2)</f>
        <v>26.21876836535284</v>
      </c>
    </row>
    <row r="14" spans="1:32" ht="15">
      <c r="A14" s="689"/>
      <c r="B14" s="681"/>
      <c r="C14" s="681"/>
      <c r="D14" s="681" t="s">
        <v>591</v>
      </c>
      <c r="E14" s="409"/>
      <c r="F14" s="711" t="s">
        <v>576</v>
      </c>
      <c r="G14" s="712"/>
      <c r="H14" s="713"/>
      <c r="I14" s="713"/>
      <c r="J14" s="765"/>
      <c r="L14" s="786"/>
      <c r="M14" s="669"/>
      <c r="N14" s="669"/>
      <c r="O14" s="669" t="s">
        <v>1268</v>
      </c>
      <c r="P14" s="793" t="s">
        <v>632</v>
      </c>
      <c r="Q14" s="977" t="s">
        <v>740</v>
      </c>
      <c r="R14" s="962">
        <f>'RESULTADOS RAGEI 2016'!I9*21</f>
        <v>1962.4667497184105</v>
      </c>
      <c r="S14" s="962">
        <f>H12</f>
        <v>10</v>
      </c>
      <c r="T14" s="962">
        <f>I12</f>
        <v>29.71212322690895</v>
      </c>
      <c r="U14" s="963">
        <f>SQRT(S14^2+T14^2)</f>
        <v>31.34980489015876</v>
      </c>
      <c r="W14" s="786"/>
      <c r="X14" s="669"/>
      <c r="Y14" s="669"/>
      <c r="Z14" s="669" t="s">
        <v>1270</v>
      </c>
      <c r="AA14" s="669" t="s">
        <v>46</v>
      </c>
      <c r="AB14" s="977" t="s">
        <v>740</v>
      </c>
      <c r="AC14" s="773">
        <f>R16</f>
        <v>1202.319195</v>
      </c>
      <c r="AD14" s="773">
        <f>S16</f>
        <v>10</v>
      </c>
      <c r="AE14" s="773">
        <f>T16</f>
        <v>50</v>
      </c>
      <c r="AF14" s="774">
        <f aca="true" t="shared" si="1" ref="AF14:AF16">SQRT(AD14^2+AE14^2)</f>
        <v>50.99019513592785</v>
      </c>
    </row>
    <row r="15" spans="1:32" ht="15">
      <c r="A15" s="689"/>
      <c r="B15" s="681"/>
      <c r="C15" s="681"/>
      <c r="D15" s="681" t="s">
        <v>592</v>
      </c>
      <c r="E15" s="408"/>
      <c r="F15" s="688" t="s">
        <v>46</v>
      </c>
      <c r="G15" s="670" t="s">
        <v>740</v>
      </c>
      <c r="H15" s="690">
        <f>'Valores de incertidumbre'!I11</f>
        <v>10</v>
      </c>
      <c r="I15" s="690">
        <f>'Valores de incertidumbre'!J11</f>
        <v>50</v>
      </c>
      <c r="J15" s="763">
        <f aca="true" t="shared" si="2" ref="J15:J53">SQRT(H15^2+I15^2)</f>
        <v>50.99019513592785</v>
      </c>
      <c r="L15" s="786"/>
      <c r="M15" s="669"/>
      <c r="N15" s="669"/>
      <c r="O15" s="669" t="s">
        <v>1269</v>
      </c>
      <c r="P15" s="793" t="s">
        <v>564</v>
      </c>
      <c r="Q15" s="977" t="s">
        <v>740</v>
      </c>
      <c r="R15" s="962">
        <f>'RESULTADOS RAGEI 2016'!I10*21</f>
        <v>6844.372073117825</v>
      </c>
      <c r="S15" s="962">
        <f>H13</f>
        <v>10</v>
      </c>
      <c r="T15" s="962">
        <v>30</v>
      </c>
      <c r="U15" s="963">
        <f>SQRT(S15^2+T15^2)</f>
        <v>31.622776601683793</v>
      </c>
      <c r="W15" s="786"/>
      <c r="X15" s="669"/>
      <c r="Y15" s="669"/>
      <c r="Z15" s="669" t="s">
        <v>1271</v>
      </c>
      <c r="AA15" s="669" t="s">
        <v>45</v>
      </c>
      <c r="AB15" s="977" t="s">
        <v>740</v>
      </c>
      <c r="AC15" s="773">
        <f aca="true" t="shared" si="3" ref="AC15:AC20">R17</f>
        <v>197.369865</v>
      </c>
      <c r="AD15" s="773">
        <f aca="true" t="shared" si="4" ref="AD15:AD20">S17</f>
        <v>10</v>
      </c>
      <c r="AE15" s="773">
        <f aca="true" t="shared" si="5" ref="AE15:AE20">T17</f>
        <v>50</v>
      </c>
      <c r="AF15" s="774">
        <f t="shared" si="1"/>
        <v>50.99019513592785</v>
      </c>
    </row>
    <row r="16" spans="1:32" ht="15">
      <c r="A16" s="689"/>
      <c r="B16" s="681"/>
      <c r="C16" s="681"/>
      <c r="D16" s="681" t="s">
        <v>593</v>
      </c>
      <c r="E16" s="410"/>
      <c r="F16" s="691" t="s">
        <v>45</v>
      </c>
      <c r="G16" s="670" t="s">
        <v>740</v>
      </c>
      <c r="H16" s="690">
        <f>'Valores de incertidumbre'!I12</f>
        <v>10</v>
      </c>
      <c r="I16" s="690">
        <f>'Valores de incertidumbre'!J12</f>
        <v>50</v>
      </c>
      <c r="J16" s="763">
        <f t="shared" si="2"/>
        <v>50.99019513592785</v>
      </c>
      <c r="L16" s="786"/>
      <c r="M16" s="669"/>
      <c r="N16" s="669"/>
      <c r="O16" s="669" t="s">
        <v>1270</v>
      </c>
      <c r="P16" s="669" t="s">
        <v>46</v>
      </c>
      <c r="Q16" s="977" t="s">
        <v>740</v>
      </c>
      <c r="R16" s="773">
        <f>'RESULTADOS RAGEI 2016'!I12*21</f>
        <v>1202.319195</v>
      </c>
      <c r="S16" s="773">
        <f aca="true" t="shared" si="6" ref="S16:S21">H15</f>
        <v>10</v>
      </c>
      <c r="T16" s="773">
        <f>I15</f>
        <v>50</v>
      </c>
      <c r="U16" s="774">
        <f aca="true" t="shared" si="7" ref="U16:U21">SQRT(S16^2+T16^2)</f>
        <v>50.99019513592785</v>
      </c>
      <c r="W16" s="786"/>
      <c r="X16" s="669"/>
      <c r="Y16" s="669"/>
      <c r="Z16" s="669" t="s">
        <v>1272</v>
      </c>
      <c r="AA16" s="669" t="s">
        <v>577</v>
      </c>
      <c r="AB16" s="977" t="s">
        <v>740</v>
      </c>
      <c r="AC16" s="773">
        <f t="shared" si="3"/>
        <v>911.273328</v>
      </c>
      <c r="AD16" s="773">
        <f t="shared" si="4"/>
        <v>10</v>
      </c>
      <c r="AE16" s="773">
        <f t="shared" si="5"/>
        <v>50</v>
      </c>
      <c r="AF16" s="774">
        <f t="shared" si="1"/>
        <v>50.99019513592785</v>
      </c>
    </row>
    <row r="17" spans="1:32" ht="15">
      <c r="A17" s="689"/>
      <c r="B17" s="681"/>
      <c r="C17" s="681"/>
      <c r="D17" s="681" t="s">
        <v>594</v>
      </c>
      <c r="E17" s="408"/>
      <c r="F17" s="688" t="s">
        <v>577</v>
      </c>
      <c r="G17" s="670" t="s">
        <v>740</v>
      </c>
      <c r="H17" s="690">
        <f>'Valores de incertidumbre'!I13</f>
        <v>10</v>
      </c>
      <c r="I17" s="690">
        <f>'Valores de incertidumbre'!J13</f>
        <v>50</v>
      </c>
      <c r="J17" s="763">
        <f t="shared" si="2"/>
        <v>50.99019513592785</v>
      </c>
      <c r="L17" s="786"/>
      <c r="M17" s="669"/>
      <c r="N17" s="669"/>
      <c r="O17" s="669" t="s">
        <v>1271</v>
      </c>
      <c r="P17" s="669" t="s">
        <v>45</v>
      </c>
      <c r="Q17" s="977" t="s">
        <v>740</v>
      </c>
      <c r="R17" s="773">
        <f>'RESULTADOS RAGEI 2016'!I13*21</f>
        <v>197.369865</v>
      </c>
      <c r="S17" s="773">
        <f t="shared" si="6"/>
        <v>10</v>
      </c>
      <c r="T17" s="773">
        <f aca="true" t="shared" si="8" ref="T17:T21">I16</f>
        <v>50</v>
      </c>
      <c r="U17" s="774">
        <f t="shared" si="7"/>
        <v>50.99019513592785</v>
      </c>
      <c r="W17" s="786"/>
      <c r="X17" s="669"/>
      <c r="Y17" s="669"/>
      <c r="Z17" s="669" t="s">
        <v>1273</v>
      </c>
      <c r="AA17" s="669" t="s">
        <v>72</v>
      </c>
      <c r="AB17" s="977" t="s">
        <v>740</v>
      </c>
      <c r="AC17" s="773">
        <f t="shared" si="3"/>
        <v>198.9378306635744</v>
      </c>
      <c r="AD17" s="773" t="str">
        <f t="shared" si="4"/>
        <v>ND</v>
      </c>
      <c r="AE17" s="773">
        <f t="shared" si="5"/>
        <v>50</v>
      </c>
      <c r="AF17" s="774">
        <f>SQRT(AE17^2)</f>
        <v>50</v>
      </c>
    </row>
    <row r="18" spans="1:32" ht="15">
      <c r="A18" s="689"/>
      <c r="B18" s="681"/>
      <c r="C18" s="681"/>
      <c r="D18" s="681" t="s">
        <v>595</v>
      </c>
      <c r="E18" s="408"/>
      <c r="F18" s="688" t="s">
        <v>72</v>
      </c>
      <c r="G18" s="670" t="s">
        <v>740</v>
      </c>
      <c r="H18" s="690" t="str">
        <f>'Valores de incertidumbre'!I14</f>
        <v>ND</v>
      </c>
      <c r="I18" s="690">
        <f>'Valores de incertidumbre'!J14</f>
        <v>50</v>
      </c>
      <c r="J18" s="763">
        <f>SQRT(I18^2)</f>
        <v>50</v>
      </c>
      <c r="L18" s="786"/>
      <c r="M18" s="669"/>
      <c r="N18" s="669"/>
      <c r="O18" s="669" t="s">
        <v>1272</v>
      </c>
      <c r="P18" s="669" t="s">
        <v>577</v>
      </c>
      <c r="Q18" s="977" t="s">
        <v>740</v>
      </c>
      <c r="R18" s="773">
        <f>'RESULTADOS RAGEI 2016'!I14*21</f>
        <v>911.273328</v>
      </c>
      <c r="S18" s="773">
        <f t="shared" si="6"/>
        <v>10</v>
      </c>
      <c r="T18" s="773">
        <f t="shared" si="8"/>
        <v>50</v>
      </c>
      <c r="U18" s="774">
        <f t="shared" si="7"/>
        <v>50.99019513592785</v>
      </c>
      <c r="W18" s="786"/>
      <c r="X18" s="669"/>
      <c r="Y18" s="669"/>
      <c r="Z18" s="669" t="s">
        <v>1274</v>
      </c>
      <c r="AA18" s="669" t="s">
        <v>578</v>
      </c>
      <c r="AB18" s="977" t="s">
        <v>740</v>
      </c>
      <c r="AC18" s="773">
        <f t="shared" si="3"/>
        <v>123.9016188179794</v>
      </c>
      <c r="AD18" s="773" t="str">
        <f t="shared" si="4"/>
        <v>ND</v>
      </c>
      <c r="AE18" s="773">
        <f t="shared" si="5"/>
        <v>50</v>
      </c>
      <c r="AF18" s="774">
        <f>SQRT(AE18^2)</f>
        <v>50</v>
      </c>
    </row>
    <row r="19" spans="1:32" ht="15">
      <c r="A19" s="689"/>
      <c r="B19" s="681"/>
      <c r="C19" s="681"/>
      <c r="D19" s="681" t="s">
        <v>596</v>
      </c>
      <c r="E19" s="408"/>
      <c r="F19" s="29" t="s">
        <v>578</v>
      </c>
      <c r="G19" s="670" t="s">
        <v>740</v>
      </c>
      <c r="H19" s="690" t="str">
        <f>'Valores de incertidumbre'!I15</f>
        <v>ND</v>
      </c>
      <c r="I19" s="690">
        <f>'Valores de incertidumbre'!J15</f>
        <v>50</v>
      </c>
      <c r="J19" s="763">
        <f>SQRT(I19^2)</f>
        <v>50</v>
      </c>
      <c r="L19" s="786"/>
      <c r="M19" s="669"/>
      <c r="N19" s="669"/>
      <c r="O19" s="669" t="s">
        <v>1273</v>
      </c>
      <c r="P19" s="669" t="s">
        <v>72</v>
      </c>
      <c r="Q19" s="977" t="s">
        <v>740</v>
      </c>
      <c r="R19" s="773">
        <f>'RESULTADOS RAGEI 2016'!I15*21</f>
        <v>198.9378306635744</v>
      </c>
      <c r="S19" s="773" t="str">
        <f t="shared" si="6"/>
        <v>ND</v>
      </c>
      <c r="T19" s="773">
        <f t="shared" si="8"/>
        <v>50</v>
      </c>
      <c r="U19" s="774">
        <f>SQRT(T19^2)</f>
        <v>50</v>
      </c>
      <c r="W19" s="786"/>
      <c r="X19" s="669"/>
      <c r="Y19" s="669"/>
      <c r="Z19" s="669" t="s">
        <v>1275</v>
      </c>
      <c r="AA19" s="669" t="s">
        <v>579</v>
      </c>
      <c r="AB19" s="977" t="s">
        <v>740</v>
      </c>
      <c r="AC19" s="773">
        <f t="shared" si="3"/>
        <v>18.998708917808216</v>
      </c>
      <c r="AD19" s="773">
        <f t="shared" si="4"/>
        <v>10</v>
      </c>
      <c r="AE19" s="773">
        <f t="shared" si="5"/>
        <v>50</v>
      </c>
      <c r="AF19" s="774">
        <f>SQRT(AD19^2+AE19^2)</f>
        <v>50.99019513592785</v>
      </c>
    </row>
    <row r="20" spans="1:32" ht="15">
      <c r="A20" s="689"/>
      <c r="B20" s="681"/>
      <c r="C20" s="681"/>
      <c r="D20" s="681" t="s">
        <v>597</v>
      </c>
      <c r="E20" s="408"/>
      <c r="F20" s="29" t="s">
        <v>579</v>
      </c>
      <c r="G20" s="670" t="s">
        <v>740</v>
      </c>
      <c r="H20" s="690">
        <f>'Valores de incertidumbre'!I16</f>
        <v>10</v>
      </c>
      <c r="I20" s="690">
        <f>'Valores de incertidumbre'!J16</f>
        <v>50</v>
      </c>
      <c r="J20" s="763">
        <f t="shared" si="2"/>
        <v>50.99019513592785</v>
      </c>
      <c r="L20" s="786"/>
      <c r="M20" s="669"/>
      <c r="N20" s="669"/>
      <c r="O20" s="669" t="s">
        <v>1274</v>
      </c>
      <c r="P20" s="669" t="s">
        <v>578</v>
      </c>
      <c r="Q20" s="977" t="s">
        <v>740</v>
      </c>
      <c r="R20" s="773">
        <f>'RESULTADOS RAGEI 2016'!I16*21</f>
        <v>123.9016188179794</v>
      </c>
      <c r="S20" s="773" t="str">
        <f t="shared" si="6"/>
        <v>ND</v>
      </c>
      <c r="T20" s="773">
        <f t="shared" si="8"/>
        <v>50</v>
      </c>
      <c r="U20" s="774">
        <f>SQRT(T20^2)</f>
        <v>50</v>
      </c>
      <c r="W20" s="786"/>
      <c r="X20" s="669"/>
      <c r="Y20" s="669"/>
      <c r="Z20" s="669" t="s">
        <v>1276</v>
      </c>
      <c r="AA20" s="669" t="s">
        <v>581</v>
      </c>
      <c r="AB20" s="977" t="s">
        <v>740</v>
      </c>
      <c r="AC20" s="773">
        <f t="shared" si="3"/>
        <v>3.208636529639745</v>
      </c>
      <c r="AD20" s="773" t="str">
        <f t="shared" si="4"/>
        <v>ND</v>
      </c>
      <c r="AE20" s="773">
        <f t="shared" si="5"/>
        <v>50</v>
      </c>
      <c r="AF20" s="774">
        <f>SQRT(AE20^2)</f>
        <v>50</v>
      </c>
    </row>
    <row r="21" spans="1:32" ht="15">
      <c r="A21" s="689"/>
      <c r="B21" s="681"/>
      <c r="C21" s="681"/>
      <c r="D21" s="681" t="s">
        <v>598</v>
      </c>
      <c r="E21" s="409"/>
      <c r="F21" s="711" t="s">
        <v>580</v>
      </c>
      <c r="G21" s="712"/>
      <c r="H21" s="713"/>
      <c r="I21" s="713"/>
      <c r="J21" s="765"/>
      <c r="L21" s="786"/>
      <c r="M21" s="669"/>
      <c r="N21" s="669"/>
      <c r="O21" s="669" t="s">
        <v>1275</v>
      </c>
      <c r="P21" s="669" t="s">
        <v>579</v>
      </c>
      <c r="Q21" s="977" t="s">
        <v>740</v>
      </c>
      <c r="R21" s="773">
        <f>'RESULTADOS RAGEI 2016'!I17*21</f>
        <v>18.998708917808216</v>
      </c>
      <c r="S21" s="773">
        <f t="shared" si="6"/>
        <v>10</v>
      </c>
      <c r="T21" s="773">
        <f t="shared" si="8"/>
        <v>50</v>
      </c>
      <c r="U21" s="774">
        <f t="shared" si="7"/>
        <v>50.99019513592785</v>
      </c>
      <c r="W21" s="786"/>
      <c r="X21" s="669"/>
      <c r="Y21" s="772" t="s">
        <v>5</v>
      </c>
      <c r="Z21" s="772"/>
      <c r="AA21" s="772" t="s">
        <v>582</v>
      </c>
      <c r="AB21" s="977"/>
      <c r="AC21" s="773"/>
      <c r="AD21" s="773"/>
      <c r="AE21" s="685"/>
      <c r="AF21" s="774"/>
    </row>
    <row r="22" spans="1:32" ht="15">
      <c r="A22" s="689"/>
      <c r="B22" s="681"/>
      <c r="C22" s="681"/>
      <c r="D22" s="681" t="s">
        <v>599</v>
      </c>
      <c r="E22" s="408"/>
      <c r="F22" s="29" t="s">
        <v>581</v>
      </c>
      <c r="G22" s="670" t="s">
        <v>740</v>
      </c>
      <c r="H22" s="690" t="str">
        <f>'Valores de incertidumbre'!I17</f>
        <v>ND</v>
      </c>
      <c r="I22" s="690">
        <f>'Valores de incertidumbre'!J17</f>
        <v>50</v>
      </c>
      <c r="J22" s="763">
        <f>SQRT(I22^2)</f>
        <v>50</v>
      </c>
      <c r="L22" s="786"/>
      <c r="M22" s="669"/>
      <c r="N22" s="669"/>
      <c r="O22" s="669" t="s">
        <v>1276</v>
      </c>
      <c r="P22" s="669" t="s">
        <v>581</v>
      </c>
      <c r="Q22" s="977" t="s">
        <v>740</v>
      </c>
      <c r="R22" s="773">
        <f>'RESULTADOS RAGEI 2016'!I19*21</f>
        <v>3.208636529639745</v>
      </c>
      <c r="S22" s="773" t="str">
        <f>H22</f>
        <v>ND</v>
      </c>
      <c r="T22" s="773">
        <f>I22</f>
        <v>50</v>
      </c>
      <c r="U22" s="774">
        <f>SQRT(T22^2)</f>
        <v>50</v>
      </c>
      <c r="W22" s="786"/>
      <c r="X22" s="669"/>
      <c r="Y22" s="669"/>
      <c r="Z22" s="669" t="s">
        <v>1277</v>
      </c>
      <c r="AA22" s="669" t="s">
        <v>587</v>
      </c>
      <c r="AB22" s="977" t="s">
        <v>740</v>
      </c>
      <c r="AC22" s="773">
        <f>R24</f>
        <v>117.05603699999999</v>
      </c>
      <c r="AD22" s="773">
        <f>S24</f>
        <v>8.49085276352154</v>
      </c>
      <c r="AE22" s="773">
        <f>T24</f>
        <v>25.472558290564617</v>
      </c>
      <c r="AF22" s="774">
        <f>SQRT(AD22^2+AE22^2)</f>
        <v>26.85043400986311</v>
      </c>
    </row>
    <row r="23" spans="1:32" ht="15">
      <c r="A23" s="682"/>
      <c r="B23" s="680"/>
      <c r="C23" s="680" t="s">
        <v>600</v>
      </c>
      <c r="D23" s="680"/>
      <c r="E23" s="413"/>
      <c r="F23" s="679" t="s">
        <v>582</v>
      </c>
      <c r="G23" s="672"/>
      <c r="H23" s="671"/>
      <c r="I23" s="671"/>
      <c r="J23" s="763"/>
      <c r="L23" s="786"/>
      <c r="M23" s="669"/>
      <c r="N23" s="772" t="s">
        <v>5</v>
      </c>
      <c r="O23" s="772"/>
      <c r="P23" s="772" t="s">
        <v>582</v>
      </c>
      <c r="Q23" s="977"/>
      <c r="R23" s="773"/>
      <c r="S23" s="773"/>
      <c r="T23" s="685"/>
      <c r="U23" s="774"/>
      <c r="W23" s="786"/>
      <c r="X23" s="669"/>
      <c r="Y23" s="669"/>
      <c r="Z23" s="669" t="s">
        <v>1280</v>
      </c>
      <c r="AA23" s="669" t="s">
        <v>46</v>
      </c>
      <c r="AB23" s="977" t="s">
        <v>740</v>
      </c>
      <c r="AC23" s="773">
        <f>R27</f>
        <v>27.926290350000002</v>
      </c>
      <c r="AD23" s="773">
        <f>S27</f>
        <v>10</v>
      </c>
      <c r="AE23" s="773">
        <f>T27</f>
        <v>30</v>
      </c>
      <c r="AF23" s="774">
        <f>SQRT(AD23^2+AE23^2)</f>
        <v>31.622776601683793</v>
      </c>
    </row>
    <row r="24" spans="1:32" ht="15">
      <c r="A24" s="682"/>
      <c r="B24" s="681"/>
      <c r="C24" s="681"/>
      <c r="D24" s="681" t="s">
        <v>601</v>
      </c>
      <c r="E24" s="408"/>
      <c r="F24" s="688" t="s">
        <v>606</v>
      </c>
      <c r="G24" s="670"/>
      <c r="H24" s="672"/>
      <c r="I24" s="672"/>
      <c r="J24" s="763"/>
      <c r="L24" s="786"/>
      <c r="M24" s="669"/>
      <c r="N24" s="669"/>
      <c r="O24" s="669" t="s">
        <v>1277</v>
      </c>
      <c r="P24" s="669" t="s">
        <v>587</v>
      </c>
      <c r="Q24" s="977" t="s">
        <v>740</v>
      </c>
      <c r="R24" s="773">
        <f>SUM(R25:R26)</f>
        <v>117.05603699999999</v>
      </c>
      <c r="S24" s="773">
        <f>SQRT(POWER((R25*S25),2)+POWER((R26*S26),2))/(R24)</f>
        <v>8.49085276352154</v>
      </c>
      <c r="T24" s="773">
        <f>SQRT(POWER((R25*T25),2)+POWER((R26*T26),2))/(R24)</f>
        <v>25.472558290564617</v>
      </c>
      <c r="U24" s="774">
        <f aca="true" t="shared" si="9" ref="U24:U54">SQRT(S24^2+T24^2)</f>
        <v>26.85043400986311</v>
      </c>
      <c r="W24" s="786"/>
      <c r="X24" s="669"/>
      <c r="Y24" s="669"/>
      <c r="Z24" s="669" t="s">
        <v>1281</v>
      </c>
      <c r="AA24" s="669" t="s">
        <v>45</v>
      </c>
      <c r="AB24" s="977" t="s">
        <v>740</v>
      </c>
      <c r="AC24" s="773">
        <f aca="true" t="shared" si="10" ref="AC24:AC30">R28</f>
        <v>6.51608202</v>
      </c>
      <c r="AD24" s="773">
        <f aca="true" t="shared" si="11" ref="AD24:AD30">S28</f>
        <v>10</v>
      </c>
      <c r="AE24" s="773">
        <f aca="true" t="shared" si="12" ref="AE24:AE30">T28</f>
        <v>30</v>
      </c>
      <c r="AF24" s="774">
        <f>SQRT(AD24^2+AE24^2)</f>
        <v>31.622776601683793</v>
      </c>
    </row>
    <row r="25" spans="1:32" ht="15">
      <c r="A25" s="682"/>
      <c r="B25" s="681"/>
      <c r="C25" s="681"/>
      <c r="D25" s="681"/>
      <c r="E25" s="408" t="s">
        <v>602</v>
      </c>
      <c r="F25" s="794" t="s">
        <v>589</v>
      </c>
      <c r="G25" s="670" t="s">
        <v>740</v>
      </c>
      <c r="H25" s="690">
        <f>'Valores de incertidumbre'!I53</f>
        <v>10</v>
      </c>
      <c r="I25" s="690">
        <f>'Valores de incertidumbre'!J53</f>
        <v>30</v>
      </c>
      <c r="J25" s="763">
        <f t="shared" si="2"/>
        <v>31.622776601683793</v>
      </c>
      <c r="L25" s="786"/>
      <c r="M25" s="669"/>
      <c r="N25" s="669"/>
      <c r="O25" s="669" t="s">
        <v>1278</v>
      </c>
      <c r="P25" s="793" t="s">
        <v>632</v>
      </c>
      <c r="Q25" s="977" t="s">
        <v>740</v>
      </c>
      <c r="R25" s="962">
        <f>'RESULTADOS RAGEI 2016'!I22*21</f>
        <v>19.62156</v>
      </c>
      <c r="S25" s="962">
        <f>H25</f>
        <v>10</v>
      </c>
      <c r="T25" s="962">
        <f>I25</f>
        <v>30</v>
      </c>
      <c r="U25" s="963">
        <f t="shared" si="9"/>
        <v>31.622776601683793</v>
      </c>
      <c r="W25" s="786"/>
      <c r="X25" s="669"/>
      <c r="Y25" s="669"/>
      <c r="Z25" s="669" t="s">
        <v>1282</v>
      </c>
      <c r="AA25" s="669" t="s">
        <v>577</v>
      </c>
      <c r="AB25" s="977" t="s">
        <v>740</v>
      </c>
      <c r="AC25" s="773">
        <f t="shared" si="10"/>
        <v>24.42314430340879</v>
      </c>
      <c r="AD25" s="773">
        <f t="shared" si="11"/>
        <v>10</v>
      </c>
      <c r="AE25" s="773">
        <f t="shared" si="12"/>
        <v>30</v>
      </c>
      <c r="AF25" s="774">
        <f>SQRT(AD25^2+AE25^2)</f>
        <v>31.622776601683793</v>
      </c>
    </row>
    <row r="26" spans="1:32" ht="15">
      <c r="A26" s="682"/>
      <c r="B26" s="681"/>
      <c r="C26" s="681"/>
      <c r="D26" s="681"/>
      <c r="E26" s="408" t="s">
        <v>603</v>
      </c>
      <c r="F26" s="794" t="s">
        <v>564</v>
      </c>
      <c r="G26" s="670" t="s">
        <v>740</v>
      </c>
      <c r="H26" s="690">
        <f>'Valores de incertidumbre'!I54</f>
        <v>10</v>
      </c>
      <c r="I26" s="690">
        <f>'Valores de incertidumbre'!J54</f>
        <v>30</v>
      </c>
      <c r="J26" s="763">
        <f t="shared" si="2"/>
        <v>31.622776601683793</v>
      </c>
      <c r="L26" s="786"/>
      <c r="M26" s="669"/>
      <c r="N26" s="669"/>
      <c r="O26" s="669" t="s">
        <v>1279</v>
      </c>
      <c r="P26" s="793" t="s">
        <v>564</v>
      </c>
      <c r="Q26" s="977" t="s">
        <v>740</v>
      </c>
      <c r="R26" s="962">
        <f>'RESULTADOS RAGEI 2016'!I23*21</f>
        <v>97.43447699999999</v>
      </c>
      <c r="S26" s="962">
        <f>H26</f>
        <v>10</v>
      </c>
      <c r="T26" s="962">
        <f>I26</f>
        <v>30</v>
      </c>
      <c r="U26" s="963">
        <f t="shared" si="9"/>
        <v>31.622776601683793</v>
      </c>
      <c r="W26" s="786"/>
      <c r="X26" s="669"/>
      <c r="Y26" s="669"/>
      <c r="Z26" s="669" t="s">
        <v>1283</v>
      </c>
      <c r="AA26" s="669" t="s">
        <v>72</v>
      </c>
      <c r="AB26" s="977" t="s">
        <v>740</v>
      </c>
      <c r="AC26" s="773">
        <f t="shared" si="10"/>
        <v>15.85466186359637</v>
      </c>
      <c r="AD26" s="773" t="str">
        <f t="shared" si="11"/>
        <v>ND</v>
      </c>
      <c r="AE26" s="773">
        <f t="shared" si="12"/>
        <v>30</v>
      </c>
      <c r="AF26" s="774">
        <f>SQRT(AE26^2)</f>
        <v>30</v>
      </c>
    </row>
    <row r="27" spans="1:32" ht="15">
      <c r="A27" s="682"/>
      <c r="B27" s="681"/>
      <c r="C27" s="681"/>
      <c r="D27" s="681" t="s">
        <v>601</v>
      </c>
      <c r="E27" s="408"/>
      <c r="F27" s="688" t="s">
        <v>606</v>
      </c>
      <c r="G27" s="670"/>
      <c r="H27" s="672"/>
      <c r="I27" s="672"/>
      <c r="J27" s="763"/>
      <c r="L27" s="786"/>
      <c r="M27" s="669"/>
      <c r="N27" s="669"/>
      <c r="O27" s="669" t="s">
        <v>1280</v>
      </c>
      <c r="P27" s="669" t="s">
        <v>46</v>
      </c>
      <c r="Q27" s="977" t="s">
        <v>740</v>
      </c>
      <c r="R27" s="773">
        <f>'RESULTADOS RAGEI 2016'!I25*21</f>
        <v>27.926290350000002</v>
      </c>
      <c r="S27" s="773">
        <f aca="true" t="shared" si="13" ref="S27:T29">H31</f>
        <v>10</v>
      </c>
      <c r="T27" s="773">
        <f t="shared" si="13"/>
        <v>30</v>
      </c>
      <c r="U27" s="774">
        <f t="shared" si="9"/>
        <v>31.622776601683793</v>
      </c>
      <c r="W27" s="786"/>
      <c r="X27" s="669"/>
      <c r="Y27" s="669"/>
      <c r="Z27" s="669" t="s">
        <v>1284</v>
      </c>
      <c r="AA27" s="669" t="s">
        <v>578</v>
      </c>
      <c r="AB27" s="977" t="s">
        <v>740</v>
      </c>
      <c r="AC27" s="773">
        <f t="shared" si="10"/>
        <v>9.882978980154583</v>
      </c>
      <c r="AD27" s="773" t="str">
        <f t="shared" si="11"/>
        <v>ND</v>
      </c>
      <c r="AE27" s="773">
        <f t="shared" si="12"/>
        <v>30</v>
      </c>
      <c r="AF27" s="774">
        <f>SQRT(AE27^2)</f>
        <v>30</v>
      </c>
    </row>
    <row r="28" spans="1:32" ht="15">
      <c r="A28" s="682"/>
      <c r="B28" s="681"/>
      <c r="C28" s="681"/>
      <c r="D28" s="681"/>
      <c r="E28" s="408" t="s">
        <v>602</v>
      </c>
      <c r="F28" s="794" t="s">
        <v>589</v>
      </c>
      <c r="G28" s="670" t="s">
        <v>965</v>
      </c>
      <c r="H28" s="690">
        <f>'Valores de incertidumbre'!I53</f>
        <v>10</v>
      </c>
      <c r="I28" s="690">
        <f>'Valores de incertidumbre'!K53</f>
        <v>75</v>
      </c>
      <c r="J28" s="763">
        <f>SQRT(H28^2+I28^2)</f>
        <v>75.66372975210778</v>
      </c>
      <c r="L28" s="786"/>
      <c r="M28" s="669"/>
      <c r="N28" s="669"/>
      <c r="O28" s="669" t="s">
        <v>1281</v>
      </c>
      <c r="P28" s="669" t="s">
        <v>45</v>
      </c>
      <c r="Q28" s="977" t="s">
        <v>740</v>
      </c>
      <c r="R28" s="773">
        <f>'RESULTADOS RAGEI 2016'!I26*21</f>
        <v>6.51608202</v>
      </c>
      <c r="S28" s="773">
        <f t="shared" si="13"/>
        <v>10</v>
      </c>
      <c r="T28" s="773">
        <f t="shared" si="13"/>
        <v>30</v>
      </c>
      <c r="U28" s="774">
        <f t="shared" si="9"/>
        <v>31.622776601683793</v>
      </c>
      <c r="W28" s="786"/>
      <c r="X28" s="669"/>
      <c r="Y28" s="669"/>
      <c r="Z28" s="669" t="s">
        <v>1285</v>
      </c>
      <c r="AA28" s="669" t="s">
        <v>579</v>
      </c>
      <c r="AB28" s="977" t="s">
        <v>740</v>
      </c>
      <c r="AC28" s="773">
        <f t="shared" si="10"/>
        <v>21.00605634246575</v>
      </c>
      <c r="AD28" s="773">
        <f t="shared" si="11"/>
        <v>10</v>
      </c>
      <c r="AE28" s="773">
        <f t="shared" si="12"/>
        <v>30</v>
      </c>
      <c r="AF28" s="774">
        <f>SQRT(AD28^2+AE28^2)</f>
        <v>31.622776601683793</v>
      </c>
    </row>
    <row r="29" spans="1:32" ht="15">
      <c r="A29" s="682"/>
      <c r="B29" s="681"/>
      <c r="C29" s="681"/>
      <c r="D29" s="681"/>
      <c r="E29" s="408" t="s">
        <v>603</v>
      </c>
      <c r="F29" s="794" t="s">
        <v>564</v>
      </c>
      <c r="G29" s="670" t="s">
        <v>965</v>
      </c>
      <c r="H29" s="690">
        <f>'Valores de incertidumbre'!I54</f>
        <v>10</v>
      </c>
      <c r="I29" s="690">
        <f>'Valores de incertidumbre'!K54</f>
        <v>75</v>
      </c>
      <c r="J29" s="763">
        <f>SQRT(H29^2+I29^2)</f>
        <v>75.66372975210778</v>
      </c>
      <c r="L29" s="786"/>
      <c r="M29" s="669"/>
      <c r="N29" s="669"/>
      <c r="O29" s="669" t="s">
        <v>1282</v>
      </c>
      <c r="P29" s="669" t="s">
        <v>577</v>
      </c>
      <c r="Q29" s="977" t="s">
        <v>740</v>
      </c>
      <c r="R29" s="773">
        <f>'RESULTADOS RAGEI 2016'!I27*21</f>
        <v>24.42314430340879</v>
      </c>
      <c r="S29" s="773">
        <f t="shared" si="13"/>
        <v>10</v>
      </c>
      <c r="T29" s="773">
        <f t="shared" si="13"/>
        <v>30</v>
      </c>
      <c r="U29" s="774">
        <f t="shared" si="9"/>
        <v>31.622776601683793</v>
      </c>
      <c r="W29" s="786"/>
      <c r="X29" s="669"/>
      <c r="Y29" s="669"/>
      <c r="Z29" s="669" t="s">
        <v>1287</v>
      </c>
      <c r="AA29" s="669" t="s">
        <v>580</v>
      </c>
      <c r="AB29" s="977" t="s">
        <v>740</v>
      </c>
      <c r="AC29" s="773">
        <f t="shared" si="10"/>
        <v>20.160236223866395</v>
      </c>
      <c r="AD29" s="773">
        <f t="shared" si="11"/>
        <v>5</v>
      </c>
      <c r="AE29" s="773">
        <f t="shared" si="12"/>
        <v>30</v>
      </c>
      <c r="AF29" s="774">
        <f>SQRT(AD29^2+AE29^2)</f>
        <v>30.4138126514911</v>
      </c>
    </row>
    <row r="30" spans="1:32" ht="15">
      <c r="A30" s="682"/>
      <c r="B30" s="681"/>
      <c r="C30" s="681"/>
      <c r="D30" s="681" t="s">
        <v>604</v>
      </c>
      <c r="E30" s="409"/>
      <c r="F30" s="711" t="s">
        <v>576</v>
      </c>
      <c r="G30" s="712"/>
      <c r="H30" s="713"/>
      <c r="I30" s="713"/>
      <c r="J30" s="765"/>
      <c r="L30" s="786"/>
      <c r="M30" s="669"/>
      <c r="N30" s="669"/>
      <c r="O30" s="669" t="s">
        <v>1283</v>
      </c>
      <c r="P30" s="669" t="s">
        <v>72</v>
      </c>
      <c r="Q30" s="977" t="s">
        <v>740</v>
      </c>
      <c r="R30" s="773">
        <f>'RESULTADOS RAGEI 2016'!I28*21</f>
        <v>15.85466186359637</v>
      </c>
      <c r="S30" s="773" t="str">
        <f>H35</f>
        <v>ND</v>
      </c>
      <c r="T30" s="773">
        <f aca="true" t="shared" si="14" ref="S30:T32">I35</f>
        <v>30</v>
      </c>
      <c r="U30" s="774">
        <f>SQRT(T30^2)</f>
        <v>30</v>
      </c>
      <c r="W30" s="786"/>
      <c r="X30" s="669"/>
      <c r="Y30" s="669"/>
      <c r="Z30" s="669" t="s">
        <v>1286</v>
      </c>
      <c r="AA30" s="669" t="s">
        <v>581</v>
      </c>
      <c r="AB30" s="977" t="s">
        <v>740</v>
      </c>
      <c r="AC30" s="773">
        <f t="shared" si="10"/>
        <v>3.2086365296397465</v>
      </c>
      <c r="AD30" s="773" t="str">
        <f t="shared" si="11"/>
        <v>ND</v>
      </c>
      <c r="AE30" s="773">
        <f t="shared" si="12"/>
        <v>30</v>
      </c>
      <c r="AF30" s="774">
        <f>SQRT(AE30^2)</f>
        <v>30</v>
      </c>
    </row>
    <row r="31" spans="1:32" ht="15">
      <c r="A31" s="682"/>
      <c r="B31" s="681"/>
      <c r="C31" s="681"/>
      <c r="D31" s="681" t="s">
        <v>605</v>
      </c>
      <c r="E31" s="408"/>
      <c r="F31" s="29" t="s">
        <v>46</v>
      </c>
      <c r="G31" s="670" t="s">
        <v>740</v>
      </c>
      <c r="H31" s="690">
        <f>'Valores de incertidumbre'!I55</f>
        <v>10</v>
      </c>
      <c r="I31" s="690">
        <f>'Valores de incertidumbre'!J55</f>
        <v>30</v>
      </c>
      <c r="J31" s="763">
        <f t="shared" si="2"/>
        <v>31.622776601683793</v>
      </c>
      <c r="L31" s="786"/>
      <c r="M31" s="669"/>
      <c r="N31" s="669"/>
      <c r="O31" s="669" t="s">
        <v>1284</v>
      </c>
      <c r="P31" s="669" t="s">
        <v>578</v>
      </c>
      <c r="Q31" s="977" t="s">
        <v>740</v>
      </c>
      <c r="R31" s="773">
        <f>'RESULTADOS RAGEI 2016'!I29*21</f>
        <v>9.882978980154583</v>
      </c>
      <c r="S31" s="773" t="str">
        <f>H36</f>
        <v>ND</v>
      </c>
      <c r="T31" s="773">
        <f t="shared" si="14"/>
        <v>30</v>
      </c>
      <c r="U31" s="774">
        <f>SQRT(T31^2)</f>
        <v>30</v>
      </c>
      <c r="W31" s="784"/>
      <c r="X31" s="775" t="s">
        <v>607</v>
      </c>
      <c r="Y31" s="775"/>
      <c r="Z31" s="775"/>
      <c r="AA31" s="778" t="s">
        <v>883</v>
      </c>
      <c r="AB31" s="975"/>
      <c r="AC31" s="653"/>
      <c r="AD31" s="779"/>
      <c r="AE31" s="779"/>
      <c r="AF31" s="795"/>
    </row>
    <row r="32" spans="1:32" ht="15">
      <c r="A32" s="682"/>
      <c r="B32" s="681"/>
      <c r="C32" s="681"/>
      <c r="D32" s="681" t="s">
        <v>593</v>
      </c>
      <c r="E32" s="410"/>
      <c r="F32" s="30" t="s">
        <v>45</v>
      </c>
      <c r="G32" s="670" t="s">
        <v>740</v>
      </c>
      <c r="H32" s="690">
        <f>'Valores de incertidumbre'!I56</f>
        <v>10</v>
      </c>
      <c r="I32" s="690">
        <f>'Valores de incertidumbre'!J56</f>
        <v>30</v>
      </c>
      <c r="J32" s="763">
        <f t="shared" si="2"/>
        <v>31.622776601683793</v>
      </c>
      <c r="L32" s="786"/>
      <c r="M32" s="669"/>
      <c r="N32" s="669"/>
      <c r="O32" s="669" t="s">
        <v>1285</v>
      </c>
      <c r="P32" s="669" t="s">
        <v>579</v>
      </c>
      <c r="Q32" s="977" t="s">
        <v>740</v>
      </c>
      <c r="R32" s="773">
        <f>'RESULTADOS RAGEI 2016'!I30*21</f>
        <v>21.00605634246575</v>
      </c>
      <c r="S32" s="773">
        <f t="shared" si="14"/>
        <v>10</v>
      </c>
      <c r="T32" s="773">
        <f t="shared" si="14"/>
        <v>30</v>
      </c>
      <c r="U32" s="774">
        <f t="shared" si="9"/>
        <v>31.622776601683793</v>
      </c>
      <c r="W32" s="786"/>
      <c r="X32" s="669"/>
      <c r="Y32" s="772" t="s">
        <v>1289</v>
      </c>
      <c r="Z32" s="772"/>
      <c r="AA32" s="772" t="s">
        <v>609</v>
      </c>
      <c r="AB32" s="977"/>
      <c r="AC32" s="686"/>
      <c r="AD32" s="687"/>
      <c r="AE32" s="685"/>
      <c r="AF32" s="774"/>
    </row>
    <row r="33" spans="1:32" ht="15">
      <c r="A33" s="682"/>
      <c r="B33" s="681"/>
      <c r="C33" s="681"/>
      <c r="D33" s="681" t="s">
        <v>594</v>
      </c>
      <c r="E33" s="408"/>
      <c r="F33" s="29" t="s">
        <v>577</v>
      </c>
      <c r="G33" s="670" t="s">
        <v>740</v>
      </c>
      <c r="H33" s="690">
        <f>'Valores de incertidumbre'!I57</f>
        <v>10</v>
      </c>
      <c r="I33" s="690">
        <f>'Valores de incertidumbre'!J57</f>
        <v>30</v>
      </c>
      <c r="J33" s="763">
        <f t="shared" si="2"/>
        <v>31.622776601683793</v>
      </c>
      <c r="L33" s="786"/>
      <c r="M33" s="669"/>
      <c r="N33" s="669"/>
      <c r="O33" s="669" t="s">
        <v>1287</v>
      </c>
      <c r="P33" s="669" t="s">
        <v>580</v>
      </c>
      <c r="Q33" s="977" t="s">
        <v>740</v>
      </c>
      <c r="R33" s="773">
        <f>'RESULTADOS RAGEI 2016'!I31*21</f>
        <v>20.160236223866395</v>
      </c>
      <c r="S33" s="773">
        <f>H39</f>
        <v>5</v>
      </c>
      <c r="T33" s="773">
        <f>I39</f>
        <v>30</v>
      </c>
      <c r="U33" s="774">
        <f t="shared" si="9"/>
        <v>30.4138126514911</v>
      </c>
      <c r="W33" s="786"/>
      <c r="X33" s="669"/>
      <c r="Y33" s="669"/>
      <c r="Z33" s="669" t="s">
        <v>17</v>
      </c>
      <c r="AA33" s="669" t="s">
        <v>610</v>
      </c>
      <c r="AB33" s="977" t="s">
        <v>740</v>
      </c>
      <c r="AC33" s="686">
        <f>R37</f>
        <v>57.34542171700652</v>
      </c>
      <c r="AD33" s="773">
        <f>S37</f>
        <v>10</v>
      </c>
      <c r="AE33" s="773">
        <f>T37</f>
        <v>20</v>
      </c>
      <c r="AF33" s="774">
        <f aca="true" t="shared" si="15" ref="AF33:AF35">SQRT(AD33^2+AE33^2)</f>
        <v>22.360679774997898</v>
      </c>
    </row>
    <row r="34" spans="1:32" ht="15">
      <c r="A34" s="682"/>
      <c r="B34" s="681"/>
      <c r="C34" s="681"/>
      <c r="D34" s="681" t="s">
        <v>594</v>
      </c>
      <c r="E34" s="408"/>
      <c r="F34" s="29" t="s">
        <v>577</v>
      </c>
      <c r="G34" s="670" t="s">
        <v>965</v>
      </c>
      <c r="H34" s="690">
        <f>'Valores de incertidumbre'!I57</f>
        <v>10</v>
      </c>
      <c r="I34" s="690">
        <f>'Valores de incertidumbre'!K57</f>
        <v>75</v>
      </c>
      <c r="J34" s="763">
        <f t="shared" si="2"/>
        <v>75.66372975210778</v>
      </c>
      <c r="L34" s="786"/>
      <c r="M34" s="669"/>
      <c r="N34" s="669"/>
      <c r="O34" s="669" t="s">
        <v>1286</v>
      </c>
      <c r="P34" s="669" t="s">
        <v>581</v>
      </c>
      <c r="Q34" s="977" t="s">
        <v>740</v>
      </c>
      <c r="R34" s="773">
        <f>'RESULTADOS RAGEI 2016'!I32*21</f>
        <v>3.2086365296397465</v>
      </c>
      <c r="S34" s="773" t="str">
        <f>H41</f>
        <v>ND</v>
      </c>
      <c r="T34" s="773">
        <f>I41</f>
        <v>30</v>
      </c>
      <c r="U34" s="774">
        <f>SQRT(T34^2)</f>
        <v>30</v>
      </c>
      <c r="W34" s="786"/>
      <c r="X34" s="669"/>
      <c r="Y34" s="669"/>
      <c r="Z34" s="669" t="s">
        <v>18</v>
      </c>
      <c r="AA34" s="669" t="s">
        <v>1263</v>
      </c>
      <c r="AB34" s="977" t="s">
        <v>740</v>
      </c>
      <c r="AC34" s="686">
        <f aca="true" t="shared" si="16" ref="AC34:AC35">R38</f>
        <v>771.793871893808</v>
      </c>
      <c r="AD34" s="773">
        <f aca="true" t="shared" si="17" ref="AD34:AD35">S38</f>
        <v>12.5</v>
      </c>
      <c r="AE34" s="773">
        <f aca="true" t="shared" si="18" ref="AE34:AE35">T38</f>
        <v>39.130434782608695</v>
      </c>
      <c r="AF34" s="774">
        <f t="shared" si="15"/>
        <v>41.07847278412371</v>
      </c>
    </row>
    <row r="35" spans="1:32" ht="15">
      <c r="A35" s="682"/>
      <c r="B35" s="681"/>
      <c r="C35" s="681"/>
      <c r="D35" s="681" t="s">
        <v>595</v>
      </c>
      <c r="E35" s="408"/>
      <c r="F35" s="29" t="s">
        <v>72</v>
      </c>
      <c r="G35" s="670" t="s">
        <v>740</v>
      </c>
      <c r="H35" s="690" t="str">
        <f>'Valores de incertidumbre'!I58</f>
        <v>ND</v>
      </c>
      <c r="I35" s="690">
        <f>'Valores de incertidumbre'!J58</f>
        <v>30</v>
      </c>
      <c r="J35" s="763">
        <f aca="true" t="shared" si="19" ref="J35:J36">SQRT(I35^2)</f>
        <v>30</v>
      </c>
      <c r="L35" s="784"/>
      <c r="M35" s="775" t="s">
        <v>607</v>
      </c>
      <c r="N35" s="775"/>
      <c r="O35" s="775"/>
      <c r="P35" s="778" t="s">
        <v>883</v>
      </c>
      <c r="Q35" s="975"/>
      <c r="R35" s="653"/>
      <c r="S35" s="779"/>
      <c r="T35" s="779"/>
      <c r="U35" s="795"/>
      <c r="W35" s="788"/>
      <c r="X35" s="772"/>
      <c r="Y35" s="772" t="s">
        <v>36</v>
      </c>
      <c r="Z35" s="772"/>
      <c r="AA35" s="772" t="s">
        <v>622</v>
      </c>
      <c r="AB35" s="978" t="s">
        <v>1290</v>
      </c>
      <c r="AC35" s="686">
        <f t="shared" si="16"/>
        <v>1084.9077189763816</v>
      </c>
      <c r="AD35" s="773">
        <f t="shared" si="17"/>
        <v>10</v>
      </c>
      <c r="AE35" s="773">
        <f t="shared" si="18"/>
        <v>47.38869471578695</v>
      </c>
      <c r="AF35" s="774">
        <f t="shared" si="15"/>
        <v>48.43230726349978</v>
      </c>
    </row>
    <row r="36" spans="1:32" ht="15">
      <c r="A36" s="682"/>
      <c r="B36" s="681"/>
      <c r="C36" s="681"/>
      <c r="D36" s="681" t="s">
        <v>596</v>
      </c>
      <c r="E36" s="408"/>
      <c r="F36" s="29" t="s">
        <v>578</v>
      </c>
      <c r="G36" s="670" t="s">
        <v>740</v>
      </c>
      <c r="H36" s="690" t="str">
        <f>'Valores de incertidumbre'!I59</f>
        <v>ND</v>
      </c>
      <c r="I36" s="690">
        <f>'Valores de incertidumbre'!J59</f>
        <v>30</v>
      </c>
      <c r="J36" s="763">
        <f t="shared" si="19"/>
        <v>30</v>
      </c>
      <c r="L36" s="786"/>
      <c r="M36" s="669"/>
      <c r="N36" s="772" t="s">
        <v>1289</v>
      </c>
      <c r="O36" s="772"/>
      <c r="P36" s="772" t="s">
        <v>609</v>
      </c>
      <c r="Q36" s="977"/>
      <c r="R36" s="686"/>
      <c r="S36" s="687"/>
      <c r="T36" s="685"/>
      <c r="U36" s="774"/>
      <c r="W36" s="784"/>
      <c r="X36" s="775" t="s">
        <v>1288</v>
      </c>
      <c r="Y36" s="775"/>
      <c r="Z36" s="775"/>
      <c r="AA36" s="780" t="s">
        <v>583</v>
      </c>
      <c r="AB36" s="975"/>
      <c r="AC36" s="653"/>
      <c r="AD36" s="779"/>
      <c r="AE36" s="779"/>
      <c r="AF36" s="795"/>
    </row>
    <row r="37" spans="1:32" ht="15">
      <c r="A37" s="682"/>
      <c r="B37" s="681"/>
      <c r="C37" s="681"/>
      <c r="D37" s="681" t="s">
        <v>597</v>
      </c>
      <c r="E37" s="408"/>
      <c r="F37" s="29" t="s">
        <v>579</v>
      </c>
      <c r="G37" s="670" t="s">
        <v>740</v>
      </c>
      <c r="H37" s="690">
        <f>'Valores de incertidumbre'!I60</f>
        <v>10</v>
      </c>
      <c r="I37" s="690">
        <f>'Valores de incertidumbre'!J60</f>
        <v>30</v>
      </c>
      <c r="J37" s="763">
        <f t="shared" si="2"/>
        <v>31.622776601683793</v>
      </c>
      <c r="L37" s="786"/>
      <c r="M37" s="669"/>
      <c r="N37" s="669"/>
      <c r="O37" s="669" t="s">
        <v>17</v>
      </c>
      <c r="P37" s="669" t="s">
        <v>610</v>
      </c>
      <c r="Q37" s="977" t="s">
        <v>740</v>
      </c>
      <c r="R37" s="686">
        <f>'RESULTADOS RAGEI 2016'!I35*21</f>
        <v>57.34542171700652</v>
      </c>
      <c r="S37" s="773">
        <f>H44</f>
        <v>10</v>
      </c>
      <c r="T37" s="773">
        <f>I44</f>
        <v>20</v>
      </c>
      <c r="U37" s="774">
        <f t="shared" si="9"/>
        <v>22.360679774997898</v>
      </c>
      <c r="W37" s="786"/>
      <c r="X37" s="669"/>
      <c r="Y37" s="772" t="s">
        <v>5</v>
      </c>
      <c r="Z37" s="772"/>
      <c r="AA37" s="772" t="s">
        <v>582</v>
      </c>
      <c r="AB37" s="979"/>
      <c r="AC37" s="683"/>
      <c r="AD37" s="684"/>
      <c r="AE37" s="684"/>
      <c r="AF37" s="797"/>
    </row>
    <row r="38" spans="1:32" ht="15">
      <c r="A38" s="682"/>
      <c r="B38" s="681"/>
      <c r="C38" s="681"/>
      <c r="D38" s="681" t="s">
        <v>597</v>
      </c>
      <c r="E38" s="408"/>
      <c r="F38" s="29" t="s">
        <v>579</v>
      </c>
      <c r="G38" s="670" t="s">
        <v>965</v>
      </c>
      <c r="H38" s="690">
        <f>'Valores de incertidumbre'!I60</f>
        <v>10</v>
      </c>
      <c r="I38" s="690">
        <f>'Valores de incertidumbre'!K60</f>
        <v>75</v>
      </c>
      <c r="J38" s="763">
        <f t="shared" si="2"/>
        <v>75.66372975210778</v>
      </c>
      <c r="L38" s="786"/>
      <c r="M38" s="669"/>
      <c r="N38" s="669"/>
      <c r="O38" s="669" t="s">
        <v>18</v>
      </c>
      <c r="P38" s="669" t="s">
        <v>1263</v>
      </c>
      <c r="Q38" s="977" t="s">
        <v>740</v>
      </c>
      <c r="R38" s="686">
        <f>'RESULTADOS RAGEI 2016'!I36*21</f>
        <v>771.793871893808</v>
      </c>
      <c r="S38" s="773">
        <f>H46</f>
        <v>12.5</v>
      </c>
      <c r="T38" s="773">
        <f>I46</f>
        <v>39.130434782608695</v>
      </c>
      <c r="U38" s="774">
        <f t="shared" si="9"/>
        <v>41.07847278412371</v>
      </c>
      <c r="W38" s="786"/>
      <c r="X38" s="669"/>
      <c r="Y38" s="669"/>
      <c r="Z38" s="669" t="s">
        <v>1277</v>
      </c>
      <c r="AA38" s="669" t="s">
        <v>587</v>
      </c>
      <c r="AB38" s="972" t="s">
        <v>738</v>
      </c>
      <c r="AC38" s="968">
        <f>R42</f>
        <v>165.32683965259793</v>
      </c>
      <c r="AD38" s="968">
        <f>S42</f>
        <v>7.071413124125557</v>
      </c>
      <c r="AE38" s="968">
        <f>T42</f>
        <v>53.035598430941675</v>
      </c>
      <c r="AF38" s="797">
        <f aca="true" t="shared" si="20" ref="AF38">SQRT(AD38^2+AE38^2)</f>
        <v>53.50494915893443</v>
      </c>
    </row>
    <row r="39" spans="1:32" ht="15">
      <c r="A39" s="682"/>
      <c r="B39" s="681"/>
      <c r="C39" s="681"/>
      <c r="D39" s="681" t="s">
        <v>598</v>
      </c>
      <c r="E39" s="408"/>
      <c r="F39" s="29" t="s">
        <v>580</v>
      </c>
      <c r="G39" s="670" t="s">
        <v>740</v>
      </c>
      <c r="H39" s="690">
        <f>'Valores de incertidumbre'!I61</f>
        <v>5</v>
      </c>
      <c r="I39" s="690">
        <f>'Valores de incertidumbre'!J61</f>
        <v>30</v>
      </c>
      <c r="J39" s="763">
        <f t="shared" si="2"/>
        <v>30.4138126514911</v>
      </c>
      <c r="L39" s="788"/>
      <c r="M39" s="772"/>
      <c r="N39" s="772" t="s">
        <v>36</v>
      </c>
      <c r="O39" s="772"/>
      <c r="P39" s="772" t="s">
        <v>622</v>
      </c>
      <c r="Q39" s="978" t="s">
        <v>1290</v>
      </c>
      <c r="R39" s="792">
        <f>'RESULTADOS RAGEI 2016'!I42*21</f>
        <v>1084.9077189763816</v>
      </c>
      <c r="S39" s="773">
        <f>H53</f>
        <v>10</v>
      </c>
      <c r="T39" s="773">
        <f>I53</f>
        <v>47.38869471578695</v>
      </c>
      <c r="U39" s="774">
        <f t="shared" si="9"/>
        <v>48.43230726349978</v>
      </c>
      <c r="W39" s="786"/>
      <c r="X39" s="669"/>
      <c r="Y39" s="669"/>
      <c r="Z39" s="669" t="s">
        <v>1282</v>
      </c>
      <c r="AA39" s="669" t="s">
        <v>577</v>
      </c>
      <c r="AB39" s="972" t="s">
        <v>738</v>
      </c>
      <c r="AC39" s="968">
        <f>R45</f>
        <v>157.7881774616963</v>
      </c>
      <c r="AD39" s="796">
        <f>S45</f>
        <v>10</v>
      </c>
      <c r="AE39" s="796">
        <f>T45</f>
        <v>75</v>
      </c>
      <c r="AF39" s="797">
        <f>SQRT(AD39^2+AE39^2)</f>
        <v>75.66372975210778</v>
      </c>
    </row>
    <row r="40" spans="1:32" ht="15">
      <c r="A40" s="682"/>
      <c r="B40" s="681"/>
      <c r="C40" s="681"/>
      <c r="D40" s="681" t="s">
        <v>598</v>
      </c>
      <c r="E40" s="408"/>
      <c r="F40" s="29" t="s">
        <v>580</v>
      </c>
      <c r="G40" s="670" t="s">
        <v>965</v>
      </c>
      <c r="H40" s="690">
        <f>'Valores de incertidumbre'!I61</f>
        <v>5</v>
      </c>
      <c r="I40" s="690">
        <f>'Valores de incertidumbre'!K61</f>
        <v>75</v>
      </c>
      <c r="J40" s="763">
        <f t="shared" si="2"/>
        <v>75.16648189186454</v>
      </c>
      <c r="L40" s="784"/>
      <c r="M40" s="775" t="s">
        <v>1288</v>
      </c>
      <c r="N40" s="775"/>
      <c r="O40" s="775"/>
      <c r="P40" s="780" t="s">
        <v>583</v>
      </c>
      <c r="Q40" s="975"/>
      <c r="R40" s="653"/>
      <c r="S40" s="779"/>
      <c r="T40" s="779"/>
      <c r="U40" s="795"/>
      <c r="W40" s="786"/>
      <c r="X40" s="669"/>
      <c r="Y40" s="669"/>
      <c r="Z40" s="669" t="s">
        <v>1285</v>
      </c>
      <c r="AA40" s="669" t="s">
        <v>579</v>
      </c>
      <c r="AB40" s="972" t="s">
        <v>738</v>
      </c>
      <c r="AC40" s="968">
        <f aca="true" t="shared" si="21" ref="AC40:AC41">R46</f>
        <v>24.376413983090398</v>
      </c>
      <c r="AD40" s="796">
        <f aca="true" t="shared" si="22" ref="AD40:AD41">S46</f>
        <v>10</v>
      </c>
      <c r="AE40" s="796">
        <f aca="true" t="shared" si="23" ref="AE40:AE41">T46</f>
        <v>75</v>
      </c>
      <c r="AF40" s="797">
        <f>SQRT(AD40^2+AE40^2)</f>
        <v>75.66372975210778</v>
      </c>
    </row>
    <row r="41" spans="1:32" ht="15">
      <c r="A41" s="682"/>
      <c r="B41" s="681"/>
      <c r="C41" s="681"/>
      <c r="D41" s="681" t="s">
        <v>599</v>
      </c>
      <c r="E41" s="408"/>
      <c r="F41" s="29" t="s">
        <v>581</v>
      </c>
      <c r="G41" s="670" t="s">
        <v>740</v>
      </c>
      <c r="H41" s="690" t="str">
        <f>'Valores de incertidumbre'!I62</f>
        <v>ND</v>
      </c>
      <c r="I41" s="690">
        <f>'Valores de incertidumbre'!J62</f>
        <v>30</v>
      </c>
      <c r="J41" s="763">
        <f>SQRT(I41^2)</f>
        <v>30</v>
      </c>
      <c r="L41" s="786"/>
      <c r="M41" s="669"/>
      <c r="N41" s="772" t="s">
        <v>5</v>
      </c>
      <c r="O41" s="772"/>
      <c r="P41" s="772" t="s">
        <v>582</v>
      </c>
      <c r="Q41" s="979"/>
      <c r="R41" s="683"/>
      <c r="S41" s="684"/>
      <c r="T41" s="684"/>
      <c r="U41" s="797"/>
      <c r="W41" s="786"/>
      <c r="X41" s="669"/>
      <c r="Y41" s="669"/>
      <c r="Z41" s="669" t="s">
        <v>1287</v>
      </c>
      <c r="AA41" s="669" t="s">
        <v>580</v>
      </c>
      <c r="AB41" s="972" t="s">
        <v>738</v>
      </c>
      <c r="AC41" s="968">
        <f t="shared" si="21"/>
        <v>28.31886476765884</v>
      </c>
      <c r="AD41" s="796">
        <f t="shared" si="22"/>
        <v>5</v>
      </c>
      <c r="AE41" s="796">
        <f t="shared" si="23"/>
        <v>75</v>
      </c>
      <c r="AF41" s="797">
        <f>SQRT(AD41^2+AE41^2)</f>
        <v>75.16648189186454</v>
      </c>
    </row>
    <row r="42" spans="1:32" ht="15">
      <c r="A42" s="682"/>
      <c r="B42" s="681" t="s">
        <v>607</v>
      </c>
      <c r="C42" s="681"/>
      <c r="D42" s="681"/>
      <c r="E42" s="408"/>
      <c r="F42" s="27" t="s">
        <v>883</v>
      </c>
      <c r="G42" s="670"/>
      <c r="H42" s="668"/>
      <c r="I42" s="668"/>
      <c r="J42" s="763"/>
      <c r="L42" s="786"/>
      <c r="M42" s="669"/>
      <c r="N42" s="669"/>
      <c r="O42" s="669" t="s">
        <v>1277</v>
      </c>
      <c r="P42" s="669" t="s">
        <v>587</v>
      </c>
      <c r="Q42" s="972" t="s">
        <v>738</v>
      </c>
      <c r="R42" s="968">
        <f>SUM(R43:R44)</f>
        <v>165.32683965259793</v>
      </c>
      <c r="S42" s="968">
        <f>SQRT(POWER((R43*S43),2)+POWER((R44*S44),2))/(R42)</f>
        <v>7.071413124125557</v>
      </c>
      <c r="T42" s="968">
        <f>SQRT(POWER((R44*T44),2)+POWER((R43*T43),2))/(R42)</f>
        <v>53.035598430941675</v>
      </c>
      <c r="U42" s="797">
        <f t="shared" si="9"/>
        <v>53.50494915893443</v>
      </c>
      <c r="W42" s="784"/>
      <c r="X42" s="775" t="s">
        <v>607</v>
      </c>
      <c r="Y42" s="775"/>
      <c r="Z42" s="775"/>
      <c r="AA42" s="778" t="s">
        <v>883</v>
      </c>
      <c r="AB42" s="975"/>
      <c r="AC42" s="653"/>
      <c r="AD42" s="779"/>
      <c r="AE42" s="779"/>
      <c r="AF42" s="795"/>
    </row>
    <row r="43" spans="1:32" ht="15">
      <c r="A43" s="682"/>
      <c r="B43" s="681"/>
      <c r="C43" s="681" t="s">
        <v>608</v>
      </c>
      <c r="D43" s="681"/>
      <c r="E43" s="408"/>
      <c r="F43" s="386" t="s">
        <v>609</v>
      </c>
      <c r="G43" s="670"/>
      <c r="H43" s="668"/>
      <c r="I43" s="668"/>
      <c r="J43" s="763"/>
      <c r="L43" s="786"/>
      <c r="M43" s="669"/>
      <c r="N43" s="669"/>
      <c r="O43" s="669" t="s">
        <v>1278</v>
      </c>
      <c r="P43" s="793" t="s">
        <v>632</v>
      </c>
      <c r="Q43" s="972" t="s">
        <v>738</v>
      </c>
      <c r="R43" s="965">
        <f>'RESULTADOS RAGEI 2016'!J22*310</f>
        <v>83.48037300345601</v>
      </c>
      <c r="S43" s="966">
        <f>H28</f>
        <v>10</v>
      </c>
      <c r="T43" s="966">
        <f>I28</f>
        <v>75</v>
      </c>
      <c r="U43" s="967">
        <f t="shared" si="9"/>
        <v>75.66372975210778</v>
      </c>
      <c r="W43" s="786"/>
      <c r="X43" s="669"/>
      <c r="Y43" s="772" t="s">
        <v>1289</v>
      </c>
      <c r="Z43" s="772"/>
      <c r="AA43" s="772" t="s">
        <v>609</v>
      </c>
      <c r="AB43" s="972"/>
      <c r="AC43" s="674"/>
      <c r="AD43" s="796"/>
      <c r="AE43" s="796"/>
      <c r="AF43" s="797"/>
    </row>
    <row r="44" spans="1:32" ht="15">
      <c r="A44" s="682"/>
      <c r="B44" s="681"/>
      <c r="C44" s="681"/>
      <c r="D44" s="681" t="s">
        <v>612</v>
      </c>
      <c r="E44" s="408"/>
      <c r="F44" s="29" t="s">
        <v>610</v>
      </c>
      <c r="G44" s="670" t="s">
        <v>740</v>
      </c>
      <c r="H44" s="690">
        <f>'Valores de incertidumbre'!I74</f>
        <v>10</v>
      </c>
      <c r="I44" s="690">
        <f>'Valores de incertidumbre'!J74</f>
        <v>20</v>
      </c>
      <c r="J44" s="763">
        <f t="shared" si="2"/>
        <v>22.360679774997898</v>
      </c>
      <c r="L44" s="786"/>
      <c r="M44" s="669"/>
      <c r="N44" s="669"/>
      <c r="O44" s="669" t="s">
        <v>1279</v>
      </c>
      <c r="P44" s="793" t="s">
        <v>564</v>
      </c>
      <c r="Q44" s="972" t="s">
        <v>738</v>
      </c>
      <c r="R44" s="965">
        <f>'RESULTADOS RAGEI 2016'!J23*310</f>
        <v>81.8464666491419</v>
      </c>
      <c r="S44" s="966">
        <f>H29</f>
        <v>10</v>
      </c>
      <c r="T44" s="966">
        <f>I29</f>
        <v>75</v>
      </c>
      <c r="U44" s="967">
        <f t="shared" si="9"/>
        <v>75.66372975210778</v>
      </c>
      <c r="W44" s="786"/>
      <c r="X44" s="669"/>
      <c r="Y44" s="669"/>
      <c r="Z44" s="669" t="s">
        <v>17</v>
      </c>
      <c r="AA44" s="669" t="s">
        <v>610</v>
      </c>
      <c r="AB44" s="972" t="s">
        <v>738</v>
      </c>
      <c r="AC44" s="964">
        <f>R50</f>
        <v>21.94701324971855</v>
      </c>
      <c r="AD44" s="796">
        <f>S50</f>
        <v>10</v>
      </c>
      <c r="AE44" s="796">
        <f>T50</f>
        <v>20</v>
      </c>
      <c r="AF44" s="797">
        <f aca="true" t="shared" si="24" ref="AF44:AF48">SQRT(AD44^2+AE44^2)</f>
        <v>22.360679774997898</v>
      </c>
    </row>
    <row r="45" spans="1:32" ht="15">
      <c r="A45" s="682"/>
      <c r="B45" s="681"/>
      <c r="C45" s="681"/>
      <c r="D45" s="681" t="s">
        <v>612</v>
      </c>
      <c r="E45" s="408"/>
      <c r="F45" s="29" t="s">
        <v>610</v>
      </c>
      <c r="G45" s="670" t="s">
        <v>965</v>
      </c>
      <c r="H45" s="690">
        <f>'Valores de incertidumbre'!I74</f>
        <v>10</v>
      </c>
      <c r="I45" s="690">
        <f>'Valores de incertidumbre'!K74</f>
        <v>20</v>
      </c>
      <c r="J45" s="763">
        <f t="shared" si="2"/>
        <v>22.360679774997898</v>
      </c>
      <c r="L45" s="786"/>
      <c r="M45" s="669"/>
      <c r="N45" s="669"/>
      <c r="O45" s="669" t="s">
        <v>1282</v>
      </c>
      <c r="P45" s="669" t="s">
        <v>577</v>
      </c>
      <c r="Q45" s="972" t="s">
        <v>738</v>
      </c>
      <c r="R45" s="968">
        <f>'RESULTADOS RAGEI 2016'!J27*310</f>
        <v>157.7881774616963</v>
      </c>
      <c r="S45" s="796">
        <f>H34</f>
        <v>10</v>
      </c>
      <c r="T45" s="796">
        <f>I34</f>
        <v>75</v>
      </c>
      <c r="U45" s="797">
        <f t="shared" si="9"/>
        <v>75.66372975210778</v>
      </c>
      <c r="W45" s="786"/>
      <c r="X45" s="669"/>
      <c r="Y45" s="669"/>
      <c r="Z45" s="669" t="s">
        <v>18</v>
      </c>
      <c r="AA45" s="669" t="s">
        <v>1263</v>
      </c>
      <c r="AB45" s="972" t="s">
        <v>738</v>
      </c>
      <c r="AC45" s="964">
        <f aca="true" t="shared" si="25" ref="AC45:AC48">R51</f>
        <v>1040.2439142916546</v>
      </c>
      <c r="AD45" s="796">
        <f aca="true" t="shared" si="26" ref="AD45:AD48">S51</f>
        <v>12.5</v>
      </c>
      <c r="AE45" s="796">
        <f aca="true" t="shared" si="27" ref="AE45:AE48">T51</f>
        <v>47.61904761904762</v>
      </c>
      <c r="AF45" s="797">
        <f t="shared" si="24"/>
        <v>49.23234400417194</v>
      </c>
    </row>
    <row r="46" spans="1:32" ht="15">
      <c r="A46" s="682"/>
      <c r="B46" s="681"/>
      <c r="C46" s="681"/>
      <c r="D46" s="681" t="s">
        <v>613</v>
      </c>
      <c r="E46" s="408"/>
      <c r="F46" s="29" t="s">
        <v>1263</v>
      </c>
      <c r="G46" s="670" t="s">
        <v>740</v>
      </c>
      <c r="H46" s="690">
        <f>'Valores de incertidumbre'!I75</f>
        <v>12.5</v>
      </c>
      <c r="I46" s="690">
        <f>'Valores de incertidumbre'!J75</f>
        <v>39.130434782608695</v>
      </c>
      <c r="J46" s="763">
        <f t="shared" si="2"/>
        <v>41.07847278412371</v>
      </c>
      <c r="L46" s="786"/>
      <c r="M46" s="669"/>
      <c r="N46" s="669"/>
      <c r="O46" s="669" t="s">
        <v>1285</v>
      </c>
      <c r="P46" s="669" t="s">
        <v>579</v>
      </c>
      <c r="Q46" s="972" t="s">
        <v>738</v>
      </c>
      <c r="R46" s="968">
        <f>'RESULTADOS RAGEI 2016'!J30*310</f>
        <v>24.376413983090398</v>
      </c>
      <c r="S46" s="796">
        <f>H38</f>
        <v>10</v>
      </c>
      <c r="T46" s="796">
        <f>I38</f>
        <v>75</v>
      </c>
      <c r="U46" s="797">
        <f t="shared" si="9"/>
        <v>75.66372975210778</v>
      </c>
      <c r="W46" s="786"/>
      <c r="X46" s="669"/>
      <c r="Y46" s="772" t="s">
        <v>24</v>
      </c>
      <c r="Z46" s="772"/>
      <c r="AA46" s="772" t="s">
        <v>884</v>
      </c>
      <c r="AB46" s="972" t="s">
        <v>738</v>
      </c>
      <c r="AC46" s="964">
        <f t="shared" si="25"/>
        <v>7709.85946982283</v>
      </c>
      <c r="AD46" s="796">
        <f t="shared" si="26"/>
        <v>16.85312368013057</v>
      </c>
      <c r="AE46" s="796">
        <f t="shared" si="27"/>
        <v>75.7806458151165</v>
      </c>
      <c r="AF46" s="797">
        <f t="shared" si="24"/>
        <v>77.63204272678847</v>
      </c>
    </row>
    <row r="47" spans="1:32" ht="15">
      <c r="A47" s="682"/>
      <c r="B47" s="681"/>
      <c r="C47" s="681"/>
      <c r="D47" s="681" t="s">
        <v>613</v>
      </c>
      <c r="E47" s="408"/>
      <c r="F47" s="29" t="s">
        <v>1263</v>
      </c>
      <c r="G47" s="670" t="s">
        <v>965</v>
      </c>
      <c r="H47" s="690">
        <f>'Valores de incertidumbre'!I75</f>
        <v>12.5</v>
      </c>
      <c r="I47" s="690">
        <f>'Valores de incertidumbre'!K75</f>
        <v>47.61904761904762</v>
      </c>
      <c r="J47" s="763">
        <f t="shared" si="2"/>
        <v>49.23234400417194</v>
      </c>
      <c r="L47" s="786"/>
      <c r="M47" s="669"/>
      <c r="N47" s="669"/>
      <c r="O47" s="669" t="s">
        <v>1287</v>
      </c>
      <c r="P47" s="669" t="s">
        <v>580</v>
      </c>
      <c r="Q47" s="972" t="s">
        <v>738</v>
      </c>
      <c r="R47" s="968">
        <f>'RESULTADOS RAGEI 2016'!J31*310</f>
        <v>28.31886476765884</v>
      </c>
      <c r="S47" s="796">
        <f>H40</f>
        <v>5</v>
      </c>
      <c r="T47" s="796">
        <f>I40</f>
        <v>75</v>
      </c>
      <c r="U47" s="797">
        <f t="shared" si="9"/>
        <v>75.16648189186454</v>
      </c>
      <c r="W47" s="786"/>
      <c r="X47" s="669"/>
      <c r="Y47" s="772" t="s">
        <v>33</v>
      </c>
      <c r="Z47" s="772"/>
      <c r="AA47" s="772" t="s">
        <v>885</v>
      </c>
      <c r="AB47" s="972" t="s">
        <v>738</v>
      </c>
      <c r="AC47" s="964">
        <f t="shared" si="25"/>
        <v>2667.663088236448</v>
      </c>
      <c r="AD47" s="796">
        <f t="shared" si="26"/>
        <v>16.85312368013057</v>
      </c>
      <c r="AE47" s="796">
        <f t="shared" si="27"/>
        <v>151.5228984274102</v>
      </c>
      <c r="AF47" s="797">
        <f t="shared" si="24"/>
        <v>152.4572613082796</v>
      </c>
    </row>
    <row r="48" spans="1:32" ht="15.75" thickBot="1">
      <c r="A48" s="682"/>
      <c r="B48" s="681"/>
      <c r="C48" s="681" t="s">
        <v>614</v>
      </c>
      <c r="D48" s="681"/>
      <c r="E48" s="408"/>
      <c r="F48" s="711" t="s">
        <v>615</v>
      </c>
      <c r="G48" s="712"/>
      <c r="H48" s="713"/>
      <c r="I48" s="713"/>
      <c r="J48" s="765"/>
      <c r="L48" s="784"/>
      <c r="M48" s="775" t="s">
        <v>607</v>
      </c>
      <c r="N48" s="775"/>
      <c r="O48" s="775"/>
      <c r="P48" s="778" t="s">
        <v>883</v>
      </c>
      <c r="Q48" s="975"/>
      <c r="R48" s="653"/>
      <c r="S48" s="779"/>
      <c r="T48" s="779"/>
      <c r="U48" s="795"/>
      <c r="W48" s="789"/>
      <c r="X48" s="790"/>
      <c r="Y48" s="791" t="s">
        <v>34</v>
      </c>
      <c r="Z48" s="791"/>
      <c r="AA48" s="791" t="s">
        <v>886</v>
      </c>
      <c r="AB48" s="973" t="s">
        <v>738</v>
      </c>
      <c r="AC48" s="969">
        <f t="shared" si="25"/>
        <v>209.3022782667291</v>
      </c>
      <c r="AD48" s="799">
        <f t="shared" si="26"/>
        <v>4.208866585177471</v>
      </c>
      <c r="AE48" s="799">
        <f t="shared" si="27"/>
        <v>240</v>
      </c>
      <c r="AF48" s="798">
        <f t="shared" si="24"/>
        <v>240.03690249195398</v>
      </c>
    </row>
    <row r="49" spans="1:21" ht="15">
      <c r="A49" s="682"/>
      <c r="B49" s="681"/>
      <c r="C49" s="681" t="s">
        <v>616</v>
      </c>
      <c r="D49" s="681"/>
      <c r="E49" s="408"/>
      <c r="F49" s="386" t="s">
        <v>617</v>
      </c>
      <c r="G49" s="670" t="s">
        <v>934</v>
      </c>
      <c r="H49" s="690">
        <f>'Valores de incertidumbre'!H93</f>
        <v>0</v>
      </c>
      <c r="I49" s="690">
        <f>'Valores de incertidumbre'!I93</f>
        <v>50</v>
      </c>
      <c r="J49" s="763">
        <f t="shared" si="2"/>
        <v>50</v>
      </c>
      <c r="L49" s="786"/>
      <c r="M49" s="669"/>
      <c r="N49" s="772" t="s">
        <v>1289</v>
      </c>
      <c r="O49" s="772"/>
      <c r="P49" s="772" t="s">
        <v>609</v>
      </c>
      <c r="Q49" s="972"/>
      <c r="R49" s="674"/>
      <c r="S49" s="796"/>
      <c r="T49" s="796"/>
      <c r="U49" s="797"/>
    </row>
    <row r="50" spans="1:21" ht="15">
      <c r="A50" s="682"/>
      <c r="B50" s="681"/>
      <c r="C50" s="681" t="s">
        <v>618</v>
      </c>
      <c r="D50" s="681"/>
      <c r="E50" s="408"/>
      <c r="F50" s="679" t="s">
        <v>884</v>
      </c>
      <c r="G50" s="670" t="s">
        <v>965</v>
      </c>
      <c r="H50" s="690">
        <f>'Valores de incertidumbre'!I104</f>
        <v>16.85312368013057</v>
      </c>
      <c r="I50" s="690">
        <f>'Valores de incertidumbre'!J104</f>
        <v>75.7806458151165</v>
      </c>
      <c r="J50" s="763">
        <f t="shared" si="2"/>
        <v>77.63204272678847</v>
      </c>
      <c r="L50" s="786"/>
      <c r="M50" s="669"/>
      <c r="N50" s="669"/>
      <c r="O50" s="669" t="s">
        <v>17</v>
      </c>
      <c r="P50" s="669" t="s">
        <v>610</v>
      </c>
      <c r="Q50" s="972" t="s">
        <v>738</v>
      </c>
      <c r="R50" s="964">
        <f>'RESULTADOS RAGEI 2016'!J35*310</f>
        <v>21.94701324971855</v>
      </c>
      <c r="S50" s="796">
        <f>H45</f>
        <v>10</v>
      </c>
      <c r="T50" s="796">
        <f>I45</f>
        <v>20</v>
      </c>
      <c r="U50" s="797">
        <f t="shared" si="9"/>
        <v>22.360679774997898</v>
      </c>
    </row>
    <row r="51" spans="1:21" ht="15">
      <c r="A51" s="682"/>
      <c r="B51" s="680"/>
      <c r="C51" s="681" t="s">
        <v>619</v>
      </c>
      <c r="D51" s="680"/>
      <c r="E51" s="413"/>
      <c r="F51" s="679" t="s">
        <v>885</v>
      </c>
      <c r="G51" s="670" t="s">
        <v>965</v>
      </c>
      <c r="H51" s="690">
        <f>'Valores de incertidumbre'!J138</f>
        <v>16.85312368013057</v>
      </c>
      <c r="I51" s="690">
        <f>'Valores de incertidumbre'!K138</f>
        <v>151.5228984274102</v>
      </c>
      <c r="J51" s="763">
        <f t="shared" si="2"/>
        <v>152.4572613082796</v>
      </c>
      <c r="L51" s="786"/>
      <c r="M51" s="669"/>
      <c r="N51" s="669"/>
      <c r="O51" s="669" t="s">
        <v>18</v>
      </c>
      <c r="P51" s="669" t="s">
        <v>1263</v>
      </c>
      <c r="Q51" s="972" t="s">
        <v>738</v>
      </c>
      <c r="R51" s="964">
        <f>'RESULTADOS RAGEI 2016'!J36*310</f>
        <v>1040.2439142916546</v>
      </c>
      <c r="S51" s="796">
        <f>H47</f>
        <v>12.5</v>
      </c>
      <c r="T51" s="796">
        <f>I47</f>
        <v>47.61904761904762</v>
      </c>
      <c r="U51" s="797">
        <f t="shared" si="9"/>
        <v>49.23234400417194</v>
      </c>
    </row>
    <row r="52" spans="1:21" ht="15">
      <c r="A52" s="682"/>
      <c r="B52" s="680"/>
      <c r="C52" s="681" t="s">
        <v>620</v>
      </c>
      <c r="D52" s="680"/>
      <c r="E52" s="413"/>
      <c r="F52" s="679" t="s">
        <v>886</v>
      </c>
      <c r="G52" s="670" t="s">
        <v>965</v>
      </c>
      <c r="H52" s="690">
        <f>'Valores de incertidumbre'!J175</f>
        <v>4.208866585177471</v>
      </c>
      <c r="I52" s="690">
        <f>'Valores de incertidumbre'!K175</f>
        <v>240</v>
      </c>
      <c r="J52" s="763">
        <f t="shared" si="2"/>
        <v>240.03690249195398</v>
      </c>
      <c r="L52" s="786"/>
      <c r="M52" s="669"/>
      <c r="N52" s="772" t="s">
        <v>24</v>
      </c>
      <c r="O52" s="772"/>
      <c r="P52" s="772" t="s">
        <v>884</v>
      </c>
      <c r="Q52" s="972" t="s">
        <v>738</v>
      </c>
      <c r="R52" s="964">
        <f>'RESULTADOS RAGEI 2016'!J39*310</f>
        <v>7709.85946982283</v>
      </c>
      <c r="S52" s="796">
        <f aca="true" t="shared" si="28" ref="S52:T54">H50</f>
        <v>16.85312368013057</v>
      </c>
      <c r="T52" s="796">
        <f t="shared" si="28"/>
        <v>75.7806458151165</v>
      </c>
      <c r="U52" s="797">
        <f t="shared" si="9"/>
        <v>77.63204272678847</v>
      </c>
    </row>
    <row r="53" spans="1:21" ht="15.75" thickBot="1">
      <c r="A53" s="678"/>
      <c r="B53" s="676"/>
      <c r="C53" s="677" t="s">
        <v>621</v>
      </c>
      <c r="D53" s="676"/>
      <c r="E53" s="418"/>
      <c r="F53" s="675" t="s">
        <v>622</v>
      </c>
      <c r="G53" s="766" t="s">
        <v>740</v>
      </c>
      <c r="H53" s="767">
        <f>'Valores de incertidumbre'!I193</f>
        <v>10</v>
      </c>
      <c r="I53" s="767">
        <f>'Valores de incertidumbre'!J193</f>
        <v>47.38869471578695</v>
      </c>
      <c r="J53" s="768">
        <f t="shared" si="2"/>
        <v>48.43230726349978</v>
      </c>
      <c r="L53" s="786"/>
      <c r="M53" s="669"/>
      <c r="N53" s="772" t="s">
        <v>33</v>
      </c>
      <c r="O53" s="772"/>
      <c r="P53" s="772" t="s">
        <v>885</v>
      </c>
      <c r="Q53" s="972" t="s">
        <v>738</v>
      </c>
      <c r="R53" s="964">
        <f>'RESULTADOS RAGEI 2016'!J40*310</f>
        <v>2667.663088236448</v>
      </c>
      <c r="S53" s="796">
        <f t="shared" si="28"/>
        <v>16.85312368013057</v>
      </c>
      <c r="T53" s="796">
        <f t="shared" si="28"/>
        <v>151.5228984274102</v>
      </c>
      <c r="U53" s="797">
        <f t="shared" si="9"/>
        <v>152.4572613082796</v>
      </c>
    </row>
    <row r="54" spans="7:21" ht="15.75" thickBot="1">
      <c r="G54" s="764"/>
      <c r="H54" s="764"/>
      <c r="I54" s="764"/>
      <c r="J54" s="764"/>
      <c r="L54" s="789"/>
      <c r="M54" s="790"/>
      <c r="N54" s="791" t="s">
        <v>34</v>
      </c>
      <c r="O54" s="791"/>
      <c r="P54" s="791" t="s">
        <v>886</v>
      </c>
      <c r="Q54" s="973" t="s">
        <v>738</v>
      </c>
      <c r="R54" s="969">
        <f>'RESULTADOS RAGEI 2016'!J41*310</f>
        <v>209.3022782667291</v>
      </c>
      <c r="S54" s="799">
        <f t="shared" si="28"/>
        <v>4.208866585177471</v>
      </c>
      <c r="T54" s="799">
        <f t="shared" si="28"/>
        <v>240</v>
      </c>
      <c r="U54" s="798">
        <f t="shared" si="9"/>
        <v>240.03690249195398</v>
      </c>
    </row>
    <row r="55" spans="1:21" ht="15">
      <c r="A55"/>
      <c r="B55"/>
      <c r="C55"/>
      <c r="D55"/>
      <c r="E55"/>
      <c r="F55"/>
      <c r="G55" s="801"/>
      <c r="H55" s="771"/>
      <c r="I55" s="771"/>
      <c r="J55" s="771"/>
      <c r="S55"/>
      <c r="T55"/>
      <c r="U55"/>
    </row>
    <row r="56" spans="1:28" s="726" customFormat="1" ht="15">
      <c r="A56" s="800"/>
      <c r="B56" s="800"/>
      <c r="C56" s="800"/>
      <c r="D56" s="800"/>
      <c r="E56" s="800"/>
      <c r="F56" s="800"/>
      <c r="G56" s="764"/>
      <c r="H56" s="764"/>
      <c r="I56" s="764"/>
      <c r="J56" s="764"/>
      <c r="Q56" s="921"/>
      <c r="AB56" s="921"/>
    </row>
    <row r="57" spans="1:28" s="726" customFormat="1" ht="15">
      <c r="A57" s="800"/>
      <c r="B57" s="800"/>
      <c r="C57" s="800"/>
      <c r="D57" s="800"/>
      <c r="E57" s="800"/>
      <c r="F57" s="800"/>
      <c r="G57" s="801"/>
      <c r="H57" s="771"/>
      <c r="I57" s="771"/>
      <c r="J57" s="771"/>
      <c r="Q57" s="921"/>
      <c r="AB57" s="921"/>
    </row>
    <row r="58" spans="1:28" s="726" customFormat="1" ht="15">
      <c r="A58" s="800"/>
      <c r="B58" s="800"/>
      <c r="C58" s="800"/>
      <c r="D58" s="800"/>
      <c r="E58" s="800"/>
      <c r="F58" s="800"/>
      <c r="G58" s="764"/>
      <c r="H58" s="802"/>
      <c r="I58" s="802"/>
      <c r="J58" s="802"/>
      <c r="Q58" s="921"/>
      <c r="AB58" s="921"/>
    </row>
    <row r="59" spans="1:28" s="726" customFormat="1" ht="15">
      <c r="A59" s="800"/>
      <c r="B59" s="800"/>
      <c r="C59" s="800"/>
      <c r="D59" s="800"/>
      <c r="E59" s="800"/>
      <c r="F59" s="800"/>
      <c r="G59" s="764"/>
      <c r="H59" s="764"/>
      <c r="I59" s="764"/>
      <c r="J59" s="764"/>
      <c r="Q59" s="921"/>
      <c r="AB59" s="921"/>
    </row>
    <row r="60" spans="1:28" s="726" customFormat="1" ht="15">
      <c r="A60" s="800"/>
      <c r="B60" s="800"/>
      <c r="C60" s="800"/>
      <c r="D60" s="800"/>
      <c r="E60" s="800"/>
      <c r="F60" s="800"/>
      <c r="G60" s="801"/>
      <c r="H60" s="771"/>
      <c r="I60" s="771"/>
      <c r="J60" s="771"/>
      <c r="Q60" s="921"/>
      <c r="AB60" s="921"/>
    </row>
    <row r="61" spans="1:28" s="726" customFormat="1" ht="15">
      <c r="A61" s="800"/>
      <c r="B61" s="800"/>
      <c r="C61" s="800"/>
      <c r="D61" s="800"/>
      <c r="E61" s="800"/>
      <c r="F61" s="800"/>
      <c r="G61" s="801"/>
      <c r="H61" s="771"/>
      <c r="I61" s="771"/>
      <c r="J61" s="771"/>
      <c r="Q61" s="921"/>
      <c r="AB61" s="921"/>
    </row>
    <row r="62" spans="1:28" s="726" customFormat="1" ht="15">
      <c r="A62" s="800"/>
      <c r="B62" s="800"/>
      <c r="C62" s="800"/>
      <c r="D62" s="800"/>
      <c r="E62" s="800"/>
      <c r="F62" s="800"/>
      <c r="G62" s="801"/>
      <c r="H62" s="771"/>
      <c r="I62" s="771"/>
      <c r="J62" s="771"/>
      <c r="Q62" s="921"/>
      <c r="AB62" s="921"/>
    </row>
    <row r="63" spans="1:28" s="726" customFormat="1" ht="15">
      <c r="A63" s="800"/>
      <c r="B63" s="800"/>
      <c r="C63" s="800"/>
      <c r="D63" s="800"/>
      <c r="E63" s="800"/>
      <c r="F63" s="800"/>
      <c r="G63" s="801"/>
      <c r="H63" s="771"/>
      <c r="I63" s="771"/>
      <c r="J63" s="771"/>
      <c r="Q63" s="921"/>
      <c r="AB63" s="921"/>
    </row>
    <row r="64" spans="1:28" s="726" customFormat="1" ht="15">
      <c r="A64" s="800"/>
      <c r="B64" s="800"/>
      <c r="C64" s="800"/>
      <c r="D64" s="800"/>
      <c r="E64" s="800"/>
      <c r="F64" s="800"/>
      <c r="G64" s="801"/>
      <c r="H64" s="771"/>
      <c r="I64" s="771"/>
      <c r="J64" s="771"/>
      <c r="Q64" s="921"/>
      <c r="AB64" s="921"/>
    </row>
    <row r="65" spans="1:28" s="726" customFormat="1" ht="15">
      <c r="A65" s="800"/>
      <c r="B65" s="800"/>
      <c r="C65" s="800"/>
      <c r="D65" s="800"/>
      <c r="E65" s="800"/>
      <c r="F65" s="800"/>
      <c r="G65" s="801"/>
      <c r="H65" s="771"/>
      <c r="I65" s="771"/>
      <c r="J65" s="771"/>
      <c r="Q65" s="921"/>
      <c r="AB65" s="921"/>
    </row>
    <row r="66" spans="1:28" s="726" customFormat="1" ht="15">
      <c r="A66" s="800"/>
      <c r="B66" s="800"/>
      <c r="C66" s="800"/>
      <c r="D66" s="800"/>
      <c r="E66" s="800"/>
      <c r="F66" s="800"/>
      <c r="G66" s="801"/>
      <c r="H66" s="771"/>
      <c r="I66" s="771"/>
      <c r="J66" s="771"/>
      <c r="Q66" s="921"/>
      <c r="AB66" s="921"/>
    </row>
    <row r="67" spans="1:28" s="726" customFormat="1" ht="15">
      <c r="A67" s="800"/>
      <c r="B67" s="800"/>
      <c r="C67" s="800"/>
      <c r="D67" s="800"/>
      <c r="E67" s="800"/>
      <c r="F67" s="800"/>
      <c r="G67" s="764"/>
      <c r="H67" s="802"/>
      <c r="I67" s="802"/>
      <c r="J67" s="802"/>
      <c r="Q67" s="921"/>
      <c r="AB67" s="921"/>
    </row>
    <row r="68" spans="1:28" s="726" customFormat="1" ht="15">
      <c r="A68" s="800"/>
      <c r="B68" s="800"/>
      <c r="C68" s="800"/>
      <c r="D68" s="800"/>
      <c r="E68" s="800"/>
      <c r="F68" s="800"/>
      <c r="G68" s="764"/>
      <c r="H68" s="802"/>
      <c r="I68" s="802"/>
      <c r="J68" s="802"/>
      <c r="Q68" s="921"/>
      <c r="AB68" s="921"/>
    </row>
    <row r="69" spans="1:28" s="726" customFormat="1" ht="15">
      <c r="A69" s="800"/>
      <c r="B69" s="800"/>
      <c r="C69" s="800"/>
      <c r="D69" s="800"/>
      <c r="E69" s="800"/>
      <c r="F69" s="800"/>
      <c r="G69" s="803"/>
      <c r="H69" s="803"/>
      <c r="I69" s="803"/>
      <c r="J69" s="803"/>
      <c r="Q69" s="921"/>
      <c r="AB69" s="921"/>
    </row>
    <row r="70" spans="1:28" s="726" customFormat="1" ht="15">
      <c r="A70" s="800"/>
      <c r="B70" s="800"/>
      <c r="C70" s="800"/>
      <c r="D70" s="800"/>
      <c r="E70" s="800"/>
      <c r="F70" s="800"/>
      <c r="G70" s="804"/>
      <c r="H70" s="805"/>
      <c r="I70" s="805"/>
      <c r="J70" s="805"/>
      <c r="Q70" s="921"/>
      <c r="AB70" s="921"/>
    </row>
    <row r="71" spans="1:28" s="726" customFormat="1" ht="15">
      <c r="A71" s="800"/>
      <c r="B71" s="800"/>
      <c r="C71" s="800"/>
      <c r="D71" s="800"/>
      <c r="E71" s="800"/>
      <c r="F71" s="800"/>
      <c r="G71" s="764"/>
      <c r="H71" s="764"/>
      <c r="I71" s="764"/>
      <c r="J71" s="764"/>
      <c r="Q71" s="921"/>
      <c r="AB71" s="921"/>
    </row>
    <row r="72" spans="1:28" s="726" customFormat="1" ht="15">
      <c r="A72" s="800"/>
      <c r="B72" s="800"/>
      <c r="C72" s="800"/>
      <c r="D72" s="800"/>
      <c r="E72" s="800"/>
      <c r="F72" s="800"/>
      <c r="G72" s="801"/>
      <c r="H72" s="802"/>
      <c r="I72" s="802"/>
      <c r="J72" s="802"/>
      <c r="Q72" s="921"/>
      <c r="AB72" s="921"/>
    </row>
    <row r="73" spans="1:28" s="726" customFormat="1" ht="15">
      <c r="A73" s="800"/>
      <c r="B73" s="800"/>
      <c r="C73" s="800"/>
      <c r="D73" s="800"/>
      <c r="E73" s="800"/>
      <c r="F73" s="800"/>
      <c r="G73" s="801"/>
      <c r="H73" s="806"/>
      <c r="I73" s="806"/>
      <c r="J73" s="771"/>
      <c r="Q73" s="921"/>
      <c r="AB73" s="921"/>
    </row>
    <row r="74" spans="1:28" s="726" customFormat="1" ht="15">
      <c r="A74" s="800"/>
      <c r="B74" s="800"/>
      <c r="C74" s="800"/>
      <c r="D74" s="800"/>
      <c r="E74" s="800"/>
      <c r="F74" s="800"/>
      <c r="G74" s="801"/>
      <c r="H74" s="806"/>
      <c r="I74" s="806"/>
      <c r="J74" s="806"/>
      <c r="Q74" s="921"/>
      <c r="AB74" s="921"/>
    </row>
    <row r="75" spans="1:28" s="726" customFormat="1" ht="15">
      <c r="A75" s="800"/>
      <c r="B75" s="800"/>
      <c r="C75" s="800"/>
      <c r="D75" s="800"/>
      <c r="E75" s="800"/>
      <c r="F75" s="800"/>
      <c r="G75" s="801"/>
      <c r="H75" s="806"/>
      <c r="I75" s="806"/>
      <c r="J75" s="771"/>
      <c r="Q75" s="921"/>
      <c r="AB75" s="921"/>
    </row>
    <row r="76" spans="1:28" s="726" customFormat="1" ht="15">
      <c r="A76" s="800"/>
      <c r="B76" s="800"/>
      <c r="C76" s="800"/>
      <c r="D76" s="800"/>
      <c r="E76" s="800"/>
      <c r="F76" s="800"/>
      <c r="G76" s="801"/>
      <c r="H76" s="806"/>
      <c r="I76" s="806"/>
      <c r="J76" s="771"/>
      <c r="Q76" s="921"/>
      <c r="AB76" s="921"/>
    </row>
    <row r="77" spans="1:28" s="726" customFormat="1" ht="15">
      <c r="A77" s="800"/>
      <c r="B77" s="800"/>
      <c r="C77" s="800"/>
      <c r="D77" s="800"/>
      <c r="E77" s="800"/>
      <c r="F77" s="800"/>
      <c r="G77" s="801"/>
      <c r="H77" s="806"/>
      <c r="I77" s="806"/>
      <c r="J77" s="771"/>
      <c r="Q77" s="921"/>
      <c r="AB77" s="921"/>
    </row>
    <row r="78" spans="1:28" s="726" customFormat="1" ht="15">
      <c r="A78" s="800"/>
      <c r="B78" s="800"/>
      <c r="C78" s="800"/>
      <c r="D78" s="800"/>
      <c r="E78" s="800"/>
      <c r="F78" s="800"/>
      <c r="G78" s="801"/>
      <c r="H78" s="806"/>
      <c r="I78" s="806"/>
      <c r="J78" s="771"/>
      <c r="Q78" s="921"/>
      <c r="AB78" s="921"/>
    </row>
    <row r="79" spans="1:28" s="726" customFormat="1" ht="15">
      <c r="A79" s="800"/>
      <c r="B79" s="800"/>
      <c r="C79" s="800"/>
      <c r="D79" s="800"/>
      <c r="E79" s="800"/>
      <c r="F79" s="800"/>
      <c r="G79" s="801"/>
      <c r="H79" s="806"/>
      <c r="I79" s="806"/>
      <c r="J79" s="771"/>
      <c r="Q79" s="921"/>
      <c r="AB79" s="921"/>
    </row>
    <row r="80" spans="1:28" s="726" customFormat="1" ht="15">
      <c r="A80" s="800"/>
      <c r="B80" s="800"/>
      <c r="C80" s="800"/>
      <c r="D80" s="800"/>
      <c r="E80" s="800"/>
      <c r="F80" s="800"/>
      <c r="G80" s="764"/>
      <c r="H80" s="802"/>
      <c r="I80" s="802"/>
      <c r="J80" s="802"/>
      <c r="Q80" s="921"/>
      <c r="AB80" s="921"/>
    </row>
    <row r="81" spans="1:28" s="726" customFormat="1" ht="15">
      <c r="A81" s="800"/>
      <c r="B81" s="800"/>
      <c r="C81" s="800"/>
      <c r="D81" s="800"/>
      <c r="E81" s="800"/>
      <c r="F81" s="800"/>
      <c r="G81" s="764"/>
      <c r="H81" s="764"/>
      <c r="I81" s="764"/>
      <c r="J81" s="764"/>
      <c r="Q81" s="921"/>
      <c r="AB81" s="921"/>
    </row>
    <row r="82" spans="1:28" s="726" customFormat="1" ht="15">
      <c r="A82" s="800"/>
      <c r="B82" s="800"/>
      <c r="C82" s="800"/>
      <c r="D82" s="800"/>
      <c r="E82" s="800"/>
      <c r="F82" s="800"/>
      <c r="G82" s="801"/>
      <c r="H82" s="806"/>
      <c r="I82" s="806"/>
      <c r="J82" s="771"/>
      <c r="Q82" s="921"/>
      <c r="AB82" s="921"/>
    </row>
    <row r="83" spans="1:28" s="726" customFormat="1" ht="15">
      <c r="A83" s="800"/>
      <c r="B83" s="800"/>
      <c r="C83" s="800"/>
      <c r="D83" s="800"/>
      <c r="E83" s="800"/>
      <c r="F83" s="800"/>
      <c r="G83" s="801"/>
      <c r="H83" s="806"/>
      <c r="I83" s="806"/>
      <c r="J83" s="771"/>
      <c r="Q83" s="921"/>
      <c r="AB83" s="921"/>
    </row>
    <row r="84" spans="1:28" s="726" customFormat="1" ht="15">
      <c r="A84" s="800"/>
      <c r="B84" s="800"/>
      <c r="C84" s="800"/>
      <c r="D84" s="800"/>
      <c r="E84" s="800"/>
      <c r="F84" s="800"/>
      <c r="G84" s="801"/>
      <c r="H84" s="806"/>
      <c r="I84" s="806"/>
      <c r="J84" s="771"/>
      <c r="Q84" s="921"/>
      <c r="AB84" s="921"/>
    </row>
    <row r="85" spans="1:28" s="726" customFormat="1" ht="15">
      <c r="A85" s="800"/>
      <c r="B85" s="800"/>
      <c r="C85" s="800"/>
      <c r="D85" s="800"/>
      <c r="E85" s="800"/>
      <c r="F85" s="800"/>
      <c r="G85" s="801"/>
      <c r="H85" s="806"/>
      <c r="I85" s="806"/>
      <c r="J85" s="771"/>
      <c r="Q85" s="921"/>
      <c r="AB85" s="921"/>
    </row>
    <row r="86" spans="1:28" s="726" customFormat="1" ht="15">
      <c r="A86" s="800"/>
      <c r="B86" s="800"/>
      <c r="C86" s="800"/>
      <c r="D86" s="800"/>
      <c r="E86" s="800"/>
      <c r="F86" s="800"/>
      <c r="G86" s="801"/>
      <c r="H86" s="806"/>
      <c r="I86" s="806"/>
      <c r="J86" s="771"/>
      <c r="Q86" s="921"/>
      <c r="AB86" s="921"/>
    </row>
    <row r="87" spans="1:28" s="726" customFormat="1" ht="15">
      <c r="A87" s="800"/>
      <c r="B87" s="800"/>
      <c r="C87" s="800"/>
      <c r="D87" s="800"/>
      <c r="E87" s="800"/>
      <c r="F87" s="800"/>
      <c r="G87" s="801"/>
      <c r="H87" s="806"/>
      <c r="I87" s="806"/>
      <c r="J87" s="771"/>
      <c r="Q87" s="921"/>
      <c r="AB87" s="921"/>
    </row>
    <row r="88" spans="1:28" s="726" customFormat="1" ht="15">
      <c r="A88" s="800"/>
      <c r="B88" s="800"/>
      <c r="C88" s="800"/>
      <c r="D88" s="800"/>
      <c r="E88" s="800"/>
      <c r="F88" s="800"/>
      <c r="G88" s="801"/>
      <c r="H88" s="806"/>
      <c r="I88" s="806"/>
      <c r="J88" s="771"/>
      <c r="Q88" s="921"/>
      <c r="AB88" s="921"/>
    </row>
    <row r="89" spans="1:28" s="726" customFormat="1" ht="15">
      <c r="A89" s="800"/>
      <c r="B89" s="800"/>
      <c r="C89" s="800"/>
      <c r="D89" s="800"/>
      <c r="E89" s="800"/>
      <c r="F89" s="800"/>
      <c r="G89" s="764"/>
      <c r="H89" s="802"/>
      <c r="I89" s="802"/>
      <c r="J89" s="802"/>
      <c r="Q89" s="921"/>
      <c r="AB89" s="921"/>
    </row>
    <row r="90" spans="1:28" s="726" customFormat="1" ht="15">
      <c r="A90" s="800"/>
      <c r="B90" s="800"/>
      <c r="C90" s="800"/>
      <c r="D90" s="800"/>
      <c r="E90" s="800"/>
      <c r="F90" s="800"/>
      <c r="G90" s="764"/>
      <c r="H90" s="764"/>
      <c r="I90" s="764"/>
      <c r="J90" s="764"/>
      <c r="Q90" s="921"/>
      <c r="AB90" s="921"/>
    </row>
    <row r="91" spans="1:28" s="726" customFormat="1" ht="15">
      <c r="A91" s="800"/>
      <c r="B91" s="800"/>
      <c r="C91" s="800"/>
      <c r="D91" s="800"/>
      <c r="E91" s="800"/>
      <c r="F91" s="800"/>
      <c r="G91" s="801"/>
      <c r="H91" s="806"/>
      <c r="I91" s="806"/>
      <c r="J91" s="771"/>
      <c r="Q91" s="921"/>
      <c r="AB91" s="921"/>
    </row>
    <row r="92" spans="1:28" s="726" customFormat="1" ht="15">
      <c r="A92" s="800"/>
      <c r="B92" s="800"/>
      <c r="C92" s="800"/>
      <c r="D92" s="800"/>
      <c r="E92" s="800"/>
      <c r="F92" s="800"/>
      <c r="G92" s="764"/>
      <c r="H92" s="802"/>
      <c r="I92" s="802"/>
      <c r="J92" s="802"/>
      <c r="Q92" s="921"/>
      <c r="AB92" s="921"/>
    </row>
    <row r="93" spans="1:28" s="726" customFormat="1" ht="15">
      <c r="A93" s="800"/>
      <c r="B93" s="800"/>
      <c r="C93" s="800"/>
      <c r="D93" s="800"/>
      <c r="E93" s="800"/>
      <c r="F93" s="800"/>
      <c r="G93" s="764"/>
      <c r="H93" s="802"/>
      <c r="I93" s="802"/>
      <c r="J93" s="802"/>
      <c r="Q93" s="921"/>
      <c r="AB93" s="921"/>
    </row>
    <row r="94" spans="1:28" s="726" customFormat="1" ht="15">
      <c r="A94" s="800"/>
      <c r="B94" s="800"/>
      <c r="C94" s="800"/>
      <c r="D94" s="800"/>
      <c r="E94" s="800"/>
      <c r="F94" s="800"/>
      <c r="G94" s="801"/>
      <c r="H94" s="806"/>
      <c r="I94" s="806"/>
      <c r="J94" s="771"/>
      <c r="Q94" s="921"/>
      <c r="AB94" s="921"/>
    </row>
    <row r="95" spans="1:28" s="726" customFormat="1" ht="15">
      <c r="A95" s="800"/>
      <c r="B95" s="800"/>
      <c r="C95" s="800"/>
      <c r="D95" s="800"/>
      <c r="E95" s="800"/>
      <c r="F95" s="800"/>
      <c r="G95" s="764"/>
      <c r="H95" s="802"/>
      <c r="I95" s="802"/>
      <c r="J95" s="802"/>
      <c r="Q95" s="921"/>
      <c r="AB95" s="921"/>
    </row>
    <row r="96" spans="1:28" s="726" customFormat="1" ht="15">
      <c r="A96" s="800"/>
      <c r="B96" s="800"/>
      <c r="C96" s="800"/>
      <c r="D96" s="800"/>
      <c r="E96" s="800"/>
      <c r="F96" s="800"/>
      <c r="G96" s="764"/>
      <c r="H96" s="802"/>
      <c r="I96" s="802"/>
      <c r="J96" s="802"/>
      <c r="Q96" s="921"/>
      <c r="AB96" s="921"/>
    </row>
    <row r="97" spans="1:28" s="726" customFormat="1" ht="15">
      <c r="A97" s="800"/>
      <c r="B97" s="800"/>
      <c r="C97" s="800"/>
      <c r="D97" s="800"/>
      <c r="E97" s="800"/>
      <c r="F97" s="800"/>
      <c r="G97" s="801"/>
      <c r="H97" s="806"/>
      <c r="I97" s="806"/>
      <c r="J97" s="771"/>
      <c r="Q97" s="921"/>
      <c r="AB97" s="921"/>
    </row>
    <row r="98" spans="1:28" s="726" customFormat="1" ht="15">
      <c r="A98" s="800"/>
      <c r="B98" s="800"/>
      <c r="C98" s="800"/>
      <c r="D98" s="800"/>
      <c r="E98" s="800"/>
      <c r="F98" s="800"/>
      <c r="G98" s="801"/>
      <c r="H98" s="771"/>
      <c r="I98" s="806"/>
      <c r="J98" s="771"/>
      <c r="Q98" s="921"/>
      <c r="AB98" s="921"/>
    </row>
    <row r="99" spans="1:28" s="726" customFormat="1" ht="15">
      <c r="A99" s="800"/>
      <c r="B99" s="800"/>
      <c r="C99" s="800"/>
      <c r="D99" s="800"/>
      <c r="E99" s="800"/>
      <c r="F99" s="800"/>
      <c r="G99" s="801"/>
      <c r="H99" s="771"/>
      <c r="I99" s="806"/>
      <c r="J99" s="771"/>
      <c r="Q99" s="921"/>
      <c r="AB99" s="921"/>
    </row>
    <row r="100" spans="1:28" s="726" customFormat="1" ht="15">
      <c r="A100" s="800"/>
      <c r="B100" s="800"/>
      <c r="C100" s="800"/>
      <c r="D100" s="800"/>
      <c r="E100" s="800"/>
      <c r="F100" s="800"/>
      <c r="G100" s="801"/>
      <c r="H100" s="771"/>
      <c r="I100" s="806"/>
      <c r="J100" s="771"/>
      <c r="Q100" s="921"/>
      <c r="AB100" s="921"/>
    </row>
    <row r="101" spans="1:28" s="726" customFormat="1" ht="15">
      <c r="A101" s="800"/>
      <c r="B101" s="800"/>
      <c r="C101" s="800"/>
      <c r="D101" s="800"/>
      <c r="E101" s="800"/>
      <c r="F101" s="800"/>
      <c r="G101" s="801"/>
      <c r="H101" s="771"/>
      <c r="I101" s="806"/>
      <c r="J101" s="771"/>
      <c r="Q101" s="921"/>
      <c r="AB101" s="921"/>
    </row>
    <row r="102" spans="1:28" s="726" customFormat="1" ht="15">
      <c r="A102" s="800"/>
      <c r="B102" s="800"/>
      <c r="C102" s="800"/>
      <c r="D102" s="800"/>
      <c r="E102" s="800"/>
      <c r="F102" s="800"/>
      <c r="G102" s="801"/>
      <c r="H102" s="771"/>
      <c r="I102" s="806"/>
      <c r="J102" s="771"/>
      <c r="Q102" s="921"/>
      <c r="AB102" s="921"/>
    </row>
    <row r="103" spans="1:28" s="726" customFormat="1" ht="15">
      <c r="A103" s="800"/>
      <c r="B103" s="800"/>
      <c r="C103" s="800"/>
      <c r="D103" s="800"/>
      <c r="E103" s="800"/>
      <c r="F103" s="800"/>
      <c r="G103" s="801"/>
      <c r="H103" s="771"/>
      <c r="I103" s="806"/>
      <c r="J103" s="771"/>
      <c r="Q103" s="921"/>
      <c r="AB103" s="921"/>
    </row>
    <row r="104" spans="1:28" s="726" customFormat="1" ht="15">
      <c r="A104" s="800"/>
      <c r="B104" s="800"/>
      <c r="C104" s="800"/>
      <c r="D104" s="800"/>
      <c r="E104" s="800"/>
      <c r="F104" s="800"/>
      <c r="G104" s="764"/>
      <c r="H104" s="802"/>
      <c r="I104" s="802"/>
      <c r="J104" s="802"/>
      <c r="Q104" s="921"/>
      <c r="AB104" s="921"/>
    </row>
    <row r="105" spans="1:28" s="726" customFormat="1" ht="15">
      <c r="A105" s="800"/>
      <c r="B105" s="800"/>
      <c r="C105" s="800"/>
      <c r="D105" s="800"/>
      <c r="E105" s="800"/>
      <c r="F105" s="800"/>
      <c r="G105" s="764"/>
      <c r="H105" s="764"/>
      <c r="I105" s="764"/>
      <c r="J105" s="764"/>
      <c r="Q105" s="921"/>
      <c r="AB105" s="921"/>
    </row>
    <row r="106" spans="1:28" s="726" customFormat="1" ht="15">
      <c r="A106" s="800"/>
      <c r="B106" s="800"/>
      <c r="C106" s="800"/>
      <c r="D106" s="800"/>
      <c r="E106" s="800"/>
      <c r="F106" s="800"/>
      <c r="G106" s="764"/>
      <c r="H106" s="764"/>
      <c r="I106" s="764"/>
      <c r="J106" s="764"/>
      <c r="Q106" s="921"/>
      <c r="AB106" s="921"/>
    </row>
    <row r="107" spans="1:28" s="726" customFormat="1" ht="15">
      <c r="A107" s="800"/>
      <c r="B107" s="800"/>
      <c r="C107" s="800"/>
      <c r="D107" s="800"/>
      <c r="E107" s="800"/>
      <c r="F107" s="800"/>
      <c r="G107" s="764"/>
      <c r="H107" s="764"/>
      <c r="I107" s="764"/>
      <c r="J107" s="764"/>
      <c r="Q107" s="921"/>
      <c r="AB107" s="921"/>
    </row>
    <row r="108" spans="1:28" s="726" customFormat="1" ht="15">
      <c r="A108" s="800"/>
      <c r="B108" s="800"/>
      <c r="C108" s="800"/>
      <c r="D108" s="800"/>
      <c r="E108" s="800"/>
      <c r="F108" s="800"/>
      <c r="G108" s="764"/>
      <c r="H108" s="764"/>
      <c r="I108" s="764"/>
      <c r="J108" s="764"/>
      <c r="Q108" s="921"/>
      <c r="AB108" s="921"/>
    </row>
    <row r="109" spans="1:28" s="726" customFormat="1" ht="15">
      <c r="A109" s="800"/>
      <c r="B109" s="800"/>
      <c r="C109" s="800"/>
      <c r="D109" s="800"/>
      <c r="E109" s="800"/>
      <c r="F109" s="800"/>
      <c r="G109" s="764"/>
      <c r="H109" s="764"/>
      <c r="I109" s="764"/>
      <c r="J109" s="764"/>
      <c r="Q109" s="921"/>
      <c r="S109" s="807"/>
      <c r="T109" s="807"/>
      <c r="U109" s="808"/>
      <c r="AB109" s="921"/>
    </row>
  </sheetData>
  <mergeCells count="8">
    <mergeCell ref="W4:AA4"/>
    <mergeCell ref="L5:O5"/>
    <mergeCell ref="W5:Z5"/>
    <mergeCell ref="A2:J2"/>
    <mergeCell ref="L2:U2"/>
    <mergeCell ref="A5:E5"/>
    <mergeCell ref="A4:F4"/>
    <mergeCell ref="L4:P4"/>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Q215"/>
  <sheetViews>
    <sheetView showGridLines="0" zoomScale="95" zoomScaleNormal="95" workbookViewId="0" topLeftCell="E85">
      <selection activeCell="H93" sqref="H93"/>
    </sheetView>
  </sheetViews>
  <sheetFormatPr defaultColWidth="10.8515625" defaultRowHeight="15"/>
  <cols>
    <col min="1" max="1" width="3.140625" style="0" customWidth="1"/>
    <col min="2" max="2" width="75.00390625" style="0" customWidth="1"/>
    <col min="3" max="3" width="20.8515625" style="0" customWidth="1"/>
    <col min="4" max="4" width="25.140625" style="0" customWidth="1"/>
    <col min="5" max="5" width="22.8515625" style="0" customWidth="1"/>
    <col min="6" max="6" width="29.421875" style="0" customWidth="1"/>
    <col min="7" max="7" width="33.00390625" style="0" customWidth="1"/>
    <col min="8" max="8" width="47.8515625" style="0" customWidth="1"/>
    <col min="9" max="9" width="39.28125" style="0" customWidth="1"/>
    <col min="10" max="10" width="35.8515625" style="0" customWidth="1"/>
    <col min="11" max="11" width="31.8515625" style="0" customWidth="1"/>
    <col min="12" max="12" width="40.140625" style="0" customWidth="1"/>
    <col min="13" max="13" width="22.00390625" style="0" customWidth="1"/>
    <col min="14" max="14" width="43.7109375" style="0" customWidth="1"/>
    <col min="15" max="15" width="24.421875" style="0" customWidth="1"/>
    <col min="16" max="16" width="29.140625" style="0" customWidth="1"/>
    <col min="17" max="17" width="30.28125" style="0" customWidth="1"/>
  </cols>
  <sheetData>
    <row r="2" s="664" customFormat="1" ht="15.75">
      <c r="A2" s="665" t="s">
        <v>1236</v>
      </c>
    </row>
    <row r="3" s="656" customFormat="1" ht="15.75"/>
    <row r="4" s="646" customFormat="1" ht="21">
      <c r="A4" s="648" t="s">
        <v>1235</v>
      </c>
    </row>
    <row r="5" s="656" customFormat="1" ht="16.5" thickBot="1"/>
    <row r="6" spans="2:8" s="656" customFormat="1" ht="16.5" thickBot="1">
      <c r="B6" s="1565" t="s">
        <v>1169</v>
      </c>
      <c r="C6" s="1566"/>
      <c r="D6" s="1566"/>
      <c r="E6" s="1566"/>
      <c r="F6" s="1566"/>
      <c r="G6" s="905"/>
      <c r="H6" s="895"/>
    </row>
    <row r="7" spans="2:10" s="701" customFormat="1" ht="15.75">
      <c r="B7" s="819"/>
      <c r="C7" s="810" t="s">
        <v>1211</v>
      </c>
      <c r="D7" s="810" t="s">
        <v>1292</v>
      </c>
      <c r="E7" s="810" t="s">
        <v>1148</v>
      </c>
      <c r="F7" s="820" t="s">
        <v>1147</v>
      </c>
      <c r="H7" s="1595" t="s">
        <v>81</v>
      </c>
      <c r="I7" s="1561" t="s">
        <v>1168</v>
      </c>
      <c r="J7" s="1562"/>
    </row>
    <row r="8" spans="2:10" s="703" customFormat="1" ht="24" customHeight="1">
      <c r="B8" s="907" t="s">
        <v>1234</v>
      </c>
      <c r="C8" s="892">
        <v>-10</v>
      </c>
      <c r="D8" s="908">
        <v>10</v>
      </c>
      <c r="E8" s="892">
        <f>(ABS(C8)+D8)/2</f>
        <v>10</v>
      </c>
      <c r="F8" s="1591" t="s">
        <v>1293</v>
      </c>
      <c r="H8" s="1596"/>
      <c r="I8" s="702" t="s">
        <v>1167</v>
      </c>
      <c r="J8" s="722" t="s">
        <v>1249</v>
      </c>
    </row>
    <row r="9" spans="2:10" s="703" customFormat="1" ht="15">
      <c r="B9" s="909" t="s">
        <v>1232</v>
      </c>
      <c r="C9" s="892">
        <v>-10</v>
      </c>
      <c r="D9" s="908">
        <v>10</v>
      </c>
      <c r="E9" s="892">
        <f>(ABS(C9)+D9)/2</f>
        <v>10</v>
      </c>
      <c r="F9" s="1591"/>
      <c r="H9" s="911" t="s">
        <v>1184</v>
      </c>
      <c r="I9" s="908">
        <f>E8</f>
        <v>10</v>
      </c>
      <c r="J9" s="988">
        <f>F20</f>
        <v>29.71212322690895</v>
      </c>
    </row>
    <row r="10" spans="2:10" s="703" customFormat="1" ht="15">
      <c r="B10" s="909" t="s">
        <v>1231</v>
      </c>
      <c r="C10" s="892">
        <v>-10</v>
      </c>
      <c r="D10" s="908">
        <v>10</v>
      </c>
      <c r="E10" s="892">
        <f>(ABS(C10)+D10)/2</f>
        <v>10</v>
      </c>
      <c r="F10" s="1591"/>
      <c r="H10" s="912" t="s">
        <v>1233</v>
      </c>
      <c r="I10" s="908">
        <f>E8</f>
        <v>10</v>
      </c>
      <c r="J10" s="988">
        <f>F25</f>
        <v>11.264310810863321</v>
      </c>
    </row>
    <row r="11" spans="2:10" s="703" customFormat="1" ht="15">
      <c r="B11" s="909" t="s">
        <v>1230</v>
      </c>
      <c r="C11" s="892">
        <v>-10</v>
      </c>
      <c r="D11" s="908">
        <v>10</v>
      </c>
      <c r="E11" s="892">
        <f>(ABS(C11)+D11)/2</f>
        <v>10</v>
      </c>
      <c r="F11" s="1591"/>
      <c r="H11" s="912" t="s">
        <v>46</v>
      </c>
      <c r="I11" s="908">
        <f>E9</f>
        <v>10</v>
      </c>
      <c r="J11" s="945">
        <f aca="true" t="shared" si="0" ref="J11:J17">$F$19</f>
        <v>50</v>
      </c>
    </row>
    <row r="12" spans="2:10" s="703" customFormat="1" ht="15">
      <c r="B12" s="909" t="s">
        <v>1229</v>
      </c>
      <c r="C12" s="892" t="s">
        <v>1175</v>
      </c>
      <c r="D12" s="892" t="s">
        <v>1175</v>
      </c>
      <c r="E12" s="892" t="s">
        <v>1175</v>
      </c>
      <c r="F12" s="1591"/>
      <c r="H12" s="912" t="s">
        <v>45</v>
      </c>
      <c r="I12" s="908">
        <f>E10</f>
        <v>10</v>
      </c>
      <c r="J12" s="945">
        <f t="shared" si="0"/>
        <v>50</v>
      </c>
    </row>
    <row r="13" spans="2:10" s="703" customFormat="1" ht="15">
      <c r="B13" s="909" t="s">
        <v>1228</v>
      </c>
      <c r="C13" s="892">
        <v>-10</v>
      </c>
      <c r="D13" s="908">
        <v>10</v>
      </c>
      <c r="E13" s="892">
        <f>(ABS(C13)+D13)/2</f>
        <v>10</v>
      </c>
      <c r="F13" s="1591"/>
      <c r="H13" s="912" t="s">
        <v>577</v>
      </c>
      <c r="I13" s="892">
        <f>E11</f>
        <v>10</v>
      </c>
      <c r="J13" s="946">
        <f t="shared" si="0"/>
        <v>50</v>
      </c>
    </row>
    <row r="14" spans="2:10" s="703" customFormat="1" ht="24" customHeight="1" thickBot="1">
      <c r="B14" s="910" t="s">
        <v>1227</v>
      </c>
      <c r="C14" s="906" t="s">
        <v>1175</v>
      </c>
      <c r="D14" s="906" t="s">
        <v>1175</v>
      </c>
      <c r="E14" s="906" t="s">
        <v>1175</v>
      </c>
      <c r="F14" s="1617"/>
      <c r="H14" s="912" t="s">
        <v>72</v>
      </c>
      <c r="I14" s="908" t="str">
        <f>E12</f>
        <v>ND</v>
      </c>
      <c r="J14" s="945">
        <f t="shared" si="0"/>
        <v>50</v>
      </c>
    </row>
    <row r="15" spans="2:10" s="703" customFormat="1" ht="15">
      <c r="B15" s="728"/>
      <c r="C15" s="729"/>
      <c r="D15" s="729"/>
      <c r="E15" s="729"/>
      <c r="F15" s="729"/>
      <c r="G15" s="729"/>
      <c r="H15" s="912" t="s">
        <v>578</v>
      </c>
      <c r="I15" s="908" t="str">
        <f>E12</f>
        <v>ND</v>
      </c>
      <c r="J15" s="945">
        <f t="shared" si="0"/>
        <v>50</v>
      </c>
    </row>
    <row r="16" spans="2:10" s="703" customFormat="1" ht="15" customHeight="1" thickBot="1">
      <c r="B16" s="704"/>
      <c r="C16" s="705"/>
      <c r="D16" s="705"/>
      <c r="E16" s="705"/>
      <c r="F16" s="637"/>
      <c r="G16" s="705"/>
      <c r="H16" s="912" t="s">
        <v>579</v>
      </c>
      <c r="I16" s="908">
        <f>E13</f>
        <v>10</v>
      </c>
      <c r="J16" s="945">
        <f t="shared" si="0"/>
        <v>50</v>
      </c>
    </row>
    <row r="17" spans="2:10" s="701" customFormat="1" ht="16.5" customHeight="1" thickBot="1">
      <c r="B17" s="1597" t="s">
        <v>1247</v>
      </c>
      <c r="C17" s="1598"/>
      <c r="D17" s="1598"/>
      <c r="E17" s="1598"/>
      <c r="F17" s="1598"/>
      <c r="G17" s="1599"/>
      <c r="H17" s="913" t="s">
        <v>1174</v>
      </c>
      <c r="I17" s="914" t="str">
        <f>E14</f>
        <v>ND</v>
      </c>
      <c r="J17" s="947">
        <f t="shared" si="0"/>
        <v>50</v>
      </c>
    </row>
    <row r="18" spans="2:10" s="701" customFormat="1" ht="15.75">
      <c r="B18" s="719" t="s">
        <v>1152</v>
      </c>
      <c r="C18" s="949"/>
      <c r="D18" s="950" t="s">
        <v>1211</v>
      </c>
      <c r="E18" s="950" t="s">
        <v>1292</v>
      </c>
      <c r="F18" s="810" t="s">
        <v>1148</v>
      </c>
      <c r="G18" s="720" t="s">
        <v>1147</v>
      </c>
      <c r="H18" s="714"/>
      <c r="I18" s="716"/>
      <c r="J18" s="716"/>
    </row>
    <row r="19" spans="2:10" s="703" customFormat="1" ht="45">
      <c r="B19" s="926" t="s">
        <v>1302</v>
      </c>
      <c r="C19" s="927"/>
      <c r="D19" s="927">
        <v>-50</v>
      </c>
      <c r="E19" s="927">
        <v>50</v>
      </c>
      <c r="F19" s="928">
        <f>(ABS(D19)+E19)/2</f>
        <v>50</v>
      </c>
      <c r="G19" s="929" t="s">
        <v>1311</v>
      </c>
      <c r="H19" s="717"/>
      <c r="I19" s="718"/>
      <c r="J19" s="718"/>
    </row>
    <row r="20" spans="2:10" s="703" customFormat="1" ht="18">
      <c r="B20" s="926" t="s">
        <v>1303</v>
      </c>
      <c r="C20" s="930"/>
      <c r="D20" s="930"/>
      <c r="E20" s="930"/>
      <c r="F20" s="985">
        <f>+SQRT(POWER(F21,2)+POWER(F22,2)+POWER(F23,2)+POWER(F24,2))</f>
        <v>29.71212322690895</v>
      </c>
      <c r="G20" s="944" t="s">
        <v>1225</v>
      </c>
      <c r="H20" s="915"/>
      <c r="I20" s="718"/>
      <c r="J20" s="718"/>
    </row>
    <row r="21" spans="2:10" s="703" customFormat="1" ht="20.25" customHeight="1">
      <c r="B21" s="917" t="s">
        <v>1114</v>
      </c>
      <c r="C21" s="918"/>
      <c r="D21" s="984">
        <f>-0.127278729413491*100</f>
        <v>-12.7278729413491</v>
      </c>
      <c r="E21" s="984">
        <f>0.143931335509665*100</f>
        <v>14.3931335509665</v>
      </c>
      <c r="F21" s="893">
        <f aca="true" t="shared" si="1" ref="F21:F38">(ABS(D21)+E21)/2</f>
        <v>13.5605032461578</v>
      </c>
      <c r="G21" s="1580" t="s">
        <v>1301</v>
      </c>
      <c r="H21" s="717"/>
      <c r="I21" s="718"/>
      <c r="J21" s="718"/>
    </row>
    <row r="22" spans="2:10" s="703" customFormat="1" ht="21" customHeight="1">
      <c r="B22" s="917" t="s">
        <v>1226</v>
      </c>
      <c r="C22" s="918"/>
      <c r="D22" s="984">
        <f>-0.124493388432207*100</f>
        <v>-12.4493388432207</v>
      </c>
      <c r="E22" s="984">
        <f>0.13497063446964*100</f>
        <v>13.497063446964</v>
      </c>
      <c r="F22" s="893">
        <f t="shared" si="1"/>
        <v>12.97320114509235</v>
      </c>
      <c r="G22" s="1581"/>
      <c r="H22" s="916"/>
      <c r="I22" s="718"/>
      <c r="J22" s="718"/>
    </row>
    <row r="23" spans="2:10" s="703" customFormat="1" ht="17.25" customHeight="1">
      <c r="B23" s="919" t="s">
        <v>1123</v>
      </c>
      <c r="C23" s="918"/>
      <c r="D23" s="984">
        <f>-0.254188434516303*100</f>
        <v>-25.418843451630302</v>
      </c>
      <c r="E23" s="984">
        <f>0.137813006665466*100</f>
        <v>13.781300666546601</v>
      </c>
      <c r="F23" s="893">
        <f t="shared" si="1"/>
        <v>19.60007205908845</v>
      </c>
      <c r="G23" s="1581"/>
      <c r="H23" s="717"/>
      <c r="I23" s="718"/>
      <c r="J23" s="718"/>
    </row>
    <row r="24" spans="2:10" s="703" customFormat="1" ht="14.25" customHeight="1">
      <c r="B24" s="920" t="s">
        <v>562</v>
      </c>
      <c r="C24" s="918"/>
      <c r="D24" s="984">
        <f>-0.126326963906582*100</f>
        <v>-12.632696390658198</v>
      </c>
      <c r="E24" s="984">
        <f>0.115711252653928*100</f>
        <v>11.5711252653928</v>
      </c>
      <c r="F24" s="893">
        <f t="shared" si="1"/>
        <v>12.101910828025499</v>
      </c>
      <c r="G24" s="1616"/>
      <c r="H24" s="717"/>
      <c r="I24" s="718"/>
      <c r="J24" s="718"/>
    </row>
    <row r="25" spans="2:10" s="706" customFormat="1" ht="19.5" customHeight="1">
      <c r="B25" s="926" t="s">
        <v>1304</v>
      </c>
      <c r="C25" s="931" t="s">
        <v>1294</v>
      </c>
      <c r="D25" s="930"/>
      <c r="E25" s="930"/>
      <c r="F25" s="985">
        <f>SQRT(POWER((C26*F26),2)+POWER((C27*F27),2)+POWER((C28*F28),2)+POWER((C29*F29),2)+POWER((C30*F30),2)+POWER((C31*F31),2))/(SUM(C26:C31))</f>
        <v>11.264310810863321</v>
      </c>
      <c r="G25" s="944" t="s">
        <v>1225</v>
      </c>
      <c r="H25" s="915"/>
      <c r="I25" s="718"/>
      <c r="J25" s="718"/>
    </row>
    <row r="26" spans="2:10" s="706" customFormat="1" ht="15.95" customHeight="1">
      <c r="B26" s="953" t="s">
        <v>542</v>
      </c>
      <c r="C26" s="925">
        <f>'3A1 EMISIONES T2'!G9*21</f>
        <v>2177.8501665824956</v>
      </c>
      <c r="D26" s="986">
        <f>SQRT(POWER(D33,2)+POWER(D47,2))</f>
        <v>9.949902478744537</v>
      </c>
      <c r="E26" s="986">
        <f>SQRT(POWER(E33,2)+POWER(E47,2))</f>
        <v>13.366188708979951</v>
      </c>
      <c r="F26" s="893">
        <f t="shared" si="1"/>
        <v>11.658045593862244</v>
      </c>
      <c r="G26" s="956"/>
      <c r="H26" s="717"/>
      <c r="I26" s="718"/>
      <c r="J26" s="718"/>
    </row>
    <row r="27" spans="2:10" s="706" customFormat="1" ht="15.95" customHeight="1">
      <c r="B27" s="953" t="s">
        <v>543</v>
      </c>
      <c r="C27" s="925">
        <f>'3A1 EMISIONES T2'!G10*21</f>
        <v>1528.3923263978902</v>
      </c>
      <c r="D27" s="986">
        <f>SQRT(POWER(D34,2))</f>
        <v>18.871127769815903</v>
      </c>
      <c r="E27" s="986">
        <f>SQRT(POWER(E34,2))</f>
        <v>12.428618674897999</v>
      </c>
      <c r="F27" s="893">
        <f t="shared" si="1"/>
        <v>15.649873222356952</v>
      </c>
      <c r="G27" s="956"/>
      <c r="H27" s="717"/>
      <c r="I27" s="718"/>
      <c r="J27" s="718"/>
    </row>
    <row r="28" spans="2:10" s="706" customFormat="1" ht="15.95" customHeight="1">
      <c r="B28" s="953" t="s">
        <v>681</v>
      </c>
      <c r="C28" s="925">
        <f>'3A1 EMISIONES T2'!G11*21</f>
        <v>404.74833454186546</v>
      </c>
      <c r="D28" s="986">
        <f>SQRT(POWER(D35,2)+POWER(D42,2))</f>
        <v>39.969601835124536</v>
      </c>
      <c r="E28" s="986">
        <f aca="true" t="shared" si="2" ref="E28">SQRT(POWER(E35,2)+POWER(E42,2))</f>
        <v>40.00761897019661</v>
      </c>
      <c r="F28" s="893">
        <f t="shared" si="1"/>
        <v>39.98861040266057</v>
      </c>
      <c r="G28" s="956"/>
      <c r="H28" s="717"/>
      <c r="I28" s="718"/>
      <c r="J28" s="718"/>
    </row>
    <row r="29" spans="2:10" s="706" customFormat="1" ht="15.95" customHeight="1">
      <c r="B29" s="953" t="s">
        <v>682</v>
      </c>
      <c r="C29" s="925">
        <f>'3A1 EMISIONES T2'!G12*21</f>
        <v>1211.6178273946973</v>
      </c>
      <c r="D29" s="986">
        <f>SQRT(POWER(D36,2)+POWER(D43,2))</f>
        <v>41.68305250311963</v>
      </c>
      <c r="E29" s="986">
        <f aca="true" t="shared" si="3" ref="E29">SQRT(POWER(E36,2)+POWER(E43,2))</f>
        <v>40.87814814735508</v>
      </c>
      <c r="F29" s="893">
        <f t="shared" si="1"/>
        <v>41.28060032523736</v>
      </c>
      <c r="G29" s="956"/>
      <c r="H29" s="717"/>
      <c r="I29" s="718"/>
      <c r="J29" s="718"/>
    </row>
    <row r="30" spans="2:10" s="706" customFormat="1" ht="15.95" customHeight="1">
      <c r="B30" s="953" t="s">
        <v>544</v>
      </c>
      <c r="C30" s="925">
        <f>'3A1 EMISIONES T2'!G13*21</f>
        <v>801.6243233647194</v>
      </c>
      <c r="D30" s="986">
        <f>SQRT(POWER(D37,2)+POWER(D44,2))</f>
        <v>47.27511536074059</v>
      </c>
      <c r="E30" s="986">
        <f>SQRT(POWER(E37,2)+POWER(E44,2))</f>
        <v>60.20497159874036</v>
      </c>
      <c r="F30" s="893">
        <f t="shared" si="1"/>
        <v>53.74004347974048</v>
      </c>
      <c r="G30" s="956"/>
      <c r="H30" s="717"/>
      <c r="I30" s="718"/>
      <c r="J30" s="718"/>
    </row>
    <row r="31" spans="2:10" s="706" customFormat="1" ht="15.95" customHeight="1">
      <c r="B31" s="953" t="s">
        <v>1053</v>
      </c>
      <c r="C31" s="925">
        <f>'3A1 EMISIONES T2'!G14*21</f>
        <v>720.1390948361557</v>
      </c>
      <c r="D31" s="986">
        <f>SQRT(POWER(D38,2)+POWER(D45,2))</f>
        <v>11.97831537118862</v>
      </c>
      <c r="E31" s="986">
        <f aca="true" t="shared" si="4" ref="E31">SQRT(POWER(E38,2)+POWER(E45,2))</f>
        <v>16.855900805350448</v>
      </c>
      <c r="F31" s="893">
        <f t="shared" si="1"/>
        <v>14.417108088269533</v>
      </c>
      <c r="G31" s="956"/>
      <c r="H31" s="717"/>
      <c r="I31" s="718"/>
      <c r="J31" s="718"/>
    </row>
    <row r="32" spans="1:16" s="703" customFormat="1" ht="15.95" customHeight="1">
      <c r="A32" s="706"/>
      <c r="B32" s="995" t="s">
        <v>1114</v>
      </c>
      <c r="C32" s="932"/>
      <c r="D32" s="932"/>
      <c r="E32" s="932"/>
      <c r="F32" s="933"/>
      <c r="G32" s="934"/>
      <c r="H32" s="717"/>
      <c r="I32" s="718"/>
      <c r="J32" s="718"/>
      <c r="O32" s="637"/>
      <c r="P32" s="637"/>
    </row>
    <row r="33" spans="1:16" s="703" customFormat="1" ht="15.95" customHeight="1">
      <c r="A33" s="706"/>
      <c r="B33" s="996" t="s">
        <v>542</v>
      </c>
      <c r="C33" s="935"/>
      <c r="D33" s="989">
        <f>-0.0401853967845244*100</f>
        <v>-4.0185396784524405</v>
      </c>
      <c r="E33" s="989">
        <f>0.098669069958318*100</f>
        <v>9.866906995831801</v>
      </c>
      <c r="F33" s="989">
        <f t="shared" si="1"/>
        <v>6.942723337142121</v>
      </c>
      <c r="G33" s="1634" t="s">
        <v>1301</v>
      </c>
      <c r="H33" s="717"/>
      <c r="I33" s="718"/>
      <c r="J33" s="718"/>
      <c r="O33" s="637"/>
      <c r="P33" s="637"/>
    </row>
    <row r="34" spans="1:16" s="703" customFormat="1" ht="15.95" customHeight="1">
      <c r="A34" s="706"/>
      <c r="B34" s="996" t="s">
        <v>543</v>
      </c>
      <c r="C34" s="935"/>
      <c r="D34" s="989">
        <f>-0.188711277698159*100</f>
        <v>-18.871127769815903</v>
      </c>
      <c r="E34" s="989">
        <f>0.12428618674898*100</f>
        <v>12.428618674897999</v>
      </c>
      <c r="F34" s="989">
        <f t="shared" si="1"/>
        <v>15.649873222356952</v>
      </c>
      <c r="G34" s="1635"/>
      <c r="H34" s="717"/>
      <c r="I34" s="718"/>
      <c r="J34" s="718"/>
      <c r="O34" s="637"/>
      <c r="P34" s="637"/>
    </row>
    <row r="35" spans="1:16" s="703" customFormat="1" ht="15.95" customHeight="1">
      <c r="A35" s="706"/>
      <c r="B35" s="996" t="s">
        <v>681</v>
      </c>
      <c r="C35" s="936"/>
      <c r="D35" s="990">
        <f>-0.183289007092199*100</f>
        <v>-18.3289007092199</v>
      </c>
      <c r="E35" s="990">
        <f>0.187112145390071*100</f>
        <v>18.711214539007102</v>
      </c>
      <c r="F35" s="990">
        <f t="shared" si="1"/>
        <v>18.5200576241135</v>
      </c>
      <c r="G35" s="1635"/>
      <c r="H35" s="717"/>
      <c r="I35" s="718"/>
      <c r="J35" s="718"/>
      <c r="O35" s="637"/>
      <c r="P35" s="637"/>
    </row>
    <row r="36" spans="1:16" s="703" customFormat="1" ht="15.95" customHeight="1">
      <c r="A36" s="706"/>
      <c r="B36" s="996" t="s">
        <v>682</v>
      </c>
      <c r="C36" s="936"/>
      <c r="D36" s="990">
        <f>-0.330683420951404*100</f>
        <v>-33.0683420951404</v>
      </c>
      <c r="E36" s="990">
        <f>0.267914032371014*100</f>
        <v>26.791403237101402</v>
      </c>
      <c r="F36" s="990">
        <f t="shared" si="1"/>
        <v>29.9298726661209</v>
      </c>
      <c r="G36" s="1635"/>
      <c r="H36" s="717"/>
      <c r="I36" s="718"/>
      <c r="J36" s="718"/>
      <c r="O36" s="637"/>
      <c r="P36" s="637"/>
    </row>
    <row r="37" spans="1:16" s="703" customFormat="1" ht="15.95" customHeight="1">
      <c r="A37" s="706"/>
      <c r="B37" s="996" t="s">
        <v>544</v>
      </c>
      <c r="C37" s="936"/>
      <c r="D37" s="990">
        <f>-0.325653190251216*100</f>
        <v>-32.565319025121596</v>
      </c>
      <c r="E37" s="990">
        <f>-0.0620099223766361*100</f>
        <v>-6.20099223766361</v>
      </c>
      <c r="F37" s="990">
        <f t="shared" si="1"/>
        <v>13.182163393728993</v>
      </c>
      <c r="G37" s="1635"/>
      <c r="H37" s="717"/>
      <c r="I37" s="718"/>
      <c r="J37" s="718"/>
      <c r="O37" s="637"/>
      <c r="P37" s="637"/>
    </row>
    <row r="38" spans="1:16" s="703" customFormat="1" ht="15.95" customHeight="1">
      <c r="A38" s="706"/>
      <c r="B38" s="996" t="s">
        <v>1053</v>
      </c>
      <c r="C38" s="936"/>
      <c r="D38" s="990">
        <f>-0.0855263157894737*100</f>
        <v>-8.55263157894737</v>
      </c>
      <c r="E38" s="990">
        <f>0.148269980506823*100</f>
        <v>14.826998050682299</v>
      </c>
      <c r="F38" s="990">
        <f t="shared" si="1"/>
        <v>11.689814814814834</v>
      </c>
      <c r="G38" s="1636"/>
      <c r="H38" s="717"/>
      <c r="I38" s="718"/>
      <c r="J38" s="718"/>
      <c r="O38" s="637"/>
      <c r="P38" s="637"/>
    </row>
    <row r="39" spans="1:16" s="703" customFormat="1" ht="15.95" customHeight="1">
      <c r="A39" s="706"/>
      <c r="B39" s="995" t="s">
        <v>1118</v>
      </c>
      <c r="C39" s="932"/>
      <c r="D39" s="991"/>
      <c r="E39" s="991"/>
      <c r="F39" s="991"/>
      <c r="G39" s="934"/>
      <c r="H39" s="717"/>
      <c r="I39" s="718"/>
      <c r="J39" s="718"/>
      <c r="O39" s="637"/>
      <c r="P39" s="637"/>
    </row>
    <row r="40" spans="1:16" s="703" customFormat="1" ht="15.95" customHeight="1">
      <c r="A40" s="706"/>
      <c r="B40" s="940" t="s">
        <v>542</v>
      </c>
      <c r="C40" s="941"/>
      <c r="D40" s="992"/>
      <c r="E40" s="992"/>
      <c r="F40" s="942"/>
      <c r="G40" s="943"/>
      <c r="H40" s="717"/>
      <c r="I40" s="718"/>
      <c r="J40" s="718"/>
      <c r="O40" s="637"/>
      <c r="P40" s="637"/>
    </row>
    <row r="41" spans="1:16" s="703" customFormat="1" ht="15.95" customHeight="1">
      <c r="A41" s="706"/>
      <c r="B41" s="940" t="s">
        <v>543</v>
      </c>
      <c r="C41" s="941"/>
      <c r="D41" s="992"/>
      <c r="E41" s="992"/>
      <c r="F41" s="942"/>
      <c r="G41" s="943"/>
      <c r="H41" s="717"/>
      <c r="I41" s="718"/>
      <c r="J41" s="718"/>
      <c r="O41" s="637"/>
      <c r="P41" s="637"/>
    </row>
    <row r="42" spans="1:16" s="703" customFormat="1" ht="15.95" customHeight="1">
      <c r="A42" s="706"/>
      <c r="B42" s="996" t="s">
        <v>681</v>
      </c>
      <c r="C42" s="937"/>
      <c r="D42" s="993">
        <f>-0.355192971446501*100</f>
        <v>-35.5192971446501</v>
      </c>
      <c r="E42" s="993">
        <f>0.353624097897709*100</f>
        <v>35.3624097897709</v>
      </c>
      <c r="F42" s="993">
        <f aca="true" t="shared" si="5" ref="F42:F45">(ABS(D42)+E42)/2</f>
        <v>35.4408534672105</v>
      </c>
      <c r="G42" s="1634" t="s">
        <v>1301</v>
      </c>
      <c r="H42" s="717"/>
      <c r="I42" s="718"/>
      <c r="J42" s="718"/>
      <c r="O42" s="637"/>
      <c r="P42" s="637"/>
    </row>
    <row r="43" spans="1:16" s="703" customFormat="1" ht="15.95" customHeight="1">
      <c r="A43" s="706"/>
      <c r="B43" s="996" t="s">
        <v>682</v>
      </c>
      <c r="C43" s="937"/>
      <c r="D43" s="993">
        <f>-0.253763988197024*100</f>
        <v>-25.376398819702402</v>
      </c>
      <c r="E43" s="993">
        <f>0.308746450755979*100</f>
        <v>30.8746450755979</v>
      </c>
      <c r="F43" s="993">
        <f t="shared" si="5"/>
        <v>28.12552194765015</v>
      </c>
      <c r="G43" s="1635"/>
      <c r="H43" s="717"/>
      <c r="I43" s="718"/>
      <c r="J43" s="718"/>
      <c r="O43" s="637"/>
      <c r="P43" s="637"/>
    </row>
    <row r="44" spans="1:16" s="703" customFormat="1" ht="15.95" customHeight="1">
      <c r="A44" s="706"/>
      <c r="B44" s="996" t="s">
        <v>544</v>
      </c>
      <c r="C44" s="937"/>
      <c r="D44" s="993">
        <f>-0.34270052949527*100</f>
        <v>-34.270052949527</v>
      </c>
      <c r="E44" s="993">
        <f>0.598847751976541*100</f>
        <v>59.88477519765411</v>
      </c>
      <c r="F44" s="993">
        <f t="shared" si="5"/>
        <v>47.07741407359055</v>
      </c>
      <c r="G44" s="1635"/>
      <c r="H44" s="717"/>
      <c r="I44" s="718"/>
      <c r="J44" s="718"/>
      <c r="O44" s="637"/>
      <c r="P44" s="637"/>
    </row>
    <row r="45" spans="1:16" s="703" customFormat="1" ht="15.95" customHeight="1">
      <c r="A45" s="706"/>
      <c r="B45" s="996" t="s">
        <v>1053</v>
      </c>
      <c r="C45" s="937"/>
      <c r="D45" s="993">
        <f>-0.0838644932056742*100</f>
        <v>-8.38644932056742</v>
      </c>
      <c r="E45" s="993">
        <f>0.0801757574113754*100</f>
        <v>8.017575741137541</v>
      </c>
      <c r="F45" s="993">
        <f t="shared" si="5"/>
        <v>8.202012530852482</v>
      </c>
      <c r="G45" s="1636"/>
      <c r="H45" s="717"/>
      <c r="I45" s="718"/>
      <c r="J45" s="718"/>
      <c r="O45" s="637"/>
      <c r="P45" s="637"/>
    </row>
    <row r="46" spans="1:16" s="703" customFormat="1" ht="15.95" customHeight="1">
      <c r="A46" s="706"/>
      <c r="B46" s="995" t="s">
        <v>1226</v>
      </c>
      <c r="C46" s="932"/>
      <c r="D46" s="991"/>
      <c r="E46" s="991"/>
      <c r="F46" s="991"/>
      <c r="G46" s="934"/>
      <c r="H46" s="717"/>
      <c r="I46" s="718"/>
      <c r="J46" s="718"/>
      <c r="O46" s="637"/>
      <c r="P46" s="637"/>
    </row>
    <row r="47" spans="1:16" s="703" customFormat="1" ht="15.95" customHeight="1" thickBot="1">
      <c r="A47" s="706"/>
      <c r="B47" s="997" t="s">
        <v>542</v>
      </c>
      <c r="C47" s="938"/>
      <c r="D47" s="994">
        <f>-0.0910230180719306*100</f>
        <v>-9.10230180719306</v>
      </c>
      <c r="E47" s="994">
        <f>0.0901660395823553*100</f>
        <v>9.01660395823553</v>
      </c>
      <c r="F47" s="994">
        <f aca="true" t="shared" si="6" ref="F47">(ABS(D47)+E47)/2</f>
        <v>9.059452882714295</v>
      </c>
      <c r="G47" s="939"/>
      <c r="H47" s="717"/>
      <c r="I47" s="718"/>
      <c r="J47" s="718"/>
      <c r="O47" s="637"/>
      <c r="P47" s="637"/>
    </row>
    <row r="48" spans="2:10" ht="15">
      <c r="B48" s="663"/>
      <c r="C48" s="1637"/>
      <c r="D48" s="1637"/>
      <c r="E48" s="1637"/>
      <c r="F48" s="1637"/>
      <c r="G48" s="1637"/>
      <c r="H48" s="1637"/>
      <c r="I48" s="636"/>
      <c r="J48" s="651"/>
    </row>
    <row r="49" s="646" customFormat="1" ht="21">
      <c r="A49" s="648" t="s">
        <v>1224</v>
      </c>
    </row>
    <row r="50" s="656" customFormat="1" ht="16.5" thickBot="1"/>
    <row r="51" spans="2:11" s="656" customFormat="1" ht="15.75">
      <c r="B51" s="1565" t="s">
        <v>1169</v>
      </c>
      <c r="C51" s="1566"/>
      <c r="D51" s="1566"/>
      <c r="E51" s="1566"/>
      <c r="F51" s="1567"/>
      <c r="G51" s="905"/>
      <c r="H51" s="1595" t="s">
        <v>81</v>
      </c>
      <c r="I51" s="1561" t="s">
        <v>1168</v>
      </c>
      <c r="J51" s="1629"/>
      <c r="K51" s="1562"/>
    </row>
    <row r="52" spans="2:11" s="656" customFormat="1" ht="18.75">
      <c r="B52" s="891" t="s">
        <v>1152</v>
      </c>
      <c r="C52" s="950" t="s">
        <v>1211</v>
      </c>
      <c r="D52" s="950" t="s">
        <v>1292</v>
      </c>
      <c r="E52" s="904" t="s">
        <v>1148</v>
      </c>
      <c r="F52" s="850" t="s">
        <v>1147</v>
      </c>
      <c r="H52" s="1596"/>
      <c r="I52" s="642" t="s">
        <v>1167</v>
      </c>
      <c r="J52" s="642" t="s">
        <v>1249</v>
      </c>
      <c r="K52" s="842" t="s">
        <v>1250</v>
      </c>
    </row>
    <row r="53" spans="2:11" ht="14.45" customHeight="1">
      <c r="B53" s="954" t="s">
        <v>1234</v>
      </c>
      <c r="C53" s="830">
        <v>-10</v>
      </c>
      <c r="D53" s="955">
        <v>10</v>
      </c>
      <c r="E53" s="830">
        <f>(ABS(C53)+D53)/2</f>
        <v>10</v>
      </c>
      <c r="F53" s="1580" t="s">
        <v>1162</v>
      </c>
      <c r="H53" s="900" t="s">
        <v>1184</v>
      </c>
      <c r="I53" s="830">
        <f>E53</f>
        <v>10</v>
      </c>
      <c r="J53" s="830">
        <f aca="true" t="shared" si="7" ref="J53:J62">$E$64</f>
        <v>30</v>
      </c>
      <c r="K53" s="901">
        <f>$E$68</f>
        <v>75</v>
      </c>
    </row>
    <row r="54" spans="2:11" ht="15">
      <c r="B54" s="896" t="s">
        <v>1232</v>
      </c>
      <c r="C54" s="830">
        <v>-10</v>
      </c>
      <c r="D54" s="955">
        <v>10</v>
      </c>
      <c r="E54" s="830">
        <f aca="true" t="shared" si="8" ref="E54:E59">(ABS(C54)+D54)/2</f>
        <v>10</v>
      </c>
      <c r="F54" s="1581"/>
      <c r="H54" s="902" t="s">
        <v>1233</v>
      </c>
      <c r="I54" s="830">
        <f>E53</f>
        <v>10</v>
      </c>
      <c r="J54" s="830">
        <f t="shared" si="7"/>
        <v>30</v>
      </c>
      <c r="K54" s="901">
        <f aca="true" t="shared" si="9" ref="K54:K62">$E$68</f>
        <v>75</v>
      </c>
    </row>
    <row r="55" spans="2:11" ht="15">
      <c r="B55" s="896" t="s">
        <v>1231</v>
      </c>
      <c r="C55" s="830">
        <v>-10</v>
      </c>
      <c r="D55" s="955">
        <v>10</v>
      </c>
      <c r="E55" s="830">
        <f t="shared" si="8"/>
        <v>10</v>
      </c>
      <c r="F55" s="1581"/>
      <c r="H55" s="902" t="s">
        <v>46</v>
      </c>
      <c r="I55" s="830">
        <f>E54</f>
        <v>10</v>
      </c>
      <c r="J55" s="830">
        <f t="shared" si="7"/>
        <v>30</v>
      </c>
      <c r="K55" s="901">
        <f t="shared" si="9"/>
        <v>75</v>
      </c>
    </row>
    <row r="56" spans="2:11" ht="15">
      <c r="B56" s="896" t="s">
        <v>1230</v>
      </c>
      <c r="C56" s="830">
        <v>-10</v>
      </c>
      <c r="D56" s="955">
        <v>10</v>
      </c>
      <c r="E56" s="830">
        <f t="shared" si="8"/>
        <v>10</v>
      </c>
      <c r="F56" s="1581"/>
      <c r="H56" s="902" t="s">
        <v>45</v>
      </c>
      <c r="I56" s="830">
        <f>E55</f>
        <v>10</v>
      </c>
      <c r="J56" s="830">
        <f t="shared" si="7"/>
        <v>30</v>
      </c>
      <c r="K56" s="901">
        <f t="shared" si="9"/>
        <v>75</v>
      </c>
    </row>
    <row r="57" spans="2:11" ht="15">
      <c r="B57" s="896" t="s">
        <v>1229</v>
      </c>
      <c r="C57" s="892" t="s">
        <v>1175</v>
      </c>
      <c r="D57" s="892" t="s">
        <v>1175</v>
      </c>
      <c r="E57" s="892" t="s">
        <v>1175</v>
      </c>
      <c r="F57" s="1581"/>
      <c r="H57" s="902" t="s">
        <v>577</v>
      </c>
      <c r="I57" s="830">
        <f>E56</f>
        <v>10</v>
      </c>
      <c r="J57" s="830">
        <f t="shared" si="7"/>
        <v>30</v>
      </c>
      <c r="K57" s="901">
        <f t="shared" si="9"/>
        <v>75</v>
      </c>
    </row>
    <row r="58" spans="2:11" ht="15">
      <c r="B58" s="896" t="s">
        <v>1228</v>
      </c>
      <c r="C58" s="830">
        <v>-10</v>
      </c>
      <c r="D58" s="955">
        <v>10</v>
      </c>
      <c r="E58" s="830">
        <f t="shared" si="8"/>
        <v>10</v>
      </c>
      <c r="F58" s="1581"/>
      <c r="H58" s="902" t="s">
        <v>72</v>
      </c>
      <c r="I58" s="830" t="str">
        <f>E57</f>
        <v>ND</v>
      </c>
      <c r="J58" s="830">
        <f t="shared" si="7"/>
        <v>30</v>
      </c>
      <c r="K58" s="901">
        <f t="shared" si="9"/>
        <v>75</v>
      </c>
    </row>
    <row r="59" spans="2:11" ht="15">
      <c r="B59" s="896" t="s">
        <v>1245</v>
      </c>
      <c r="C59" s="830">
        <v>-5</v>
      </c>
      <c r="D59" s="830">
        <v>5</v>
      </c>
      <c r="E59" s="830">
        <f t="shared" si="8"/>
        <v>5</v>
      </c>
      <c r="F59" s="1581"/>
      <c r="H59" s="902" t="s">
        <v>1223</v>
      </c>
      <c r="I59" s="830" t="str">
        <f>E57</f>
        <v>ND</v>
      </c>
      <c r="J59" s="830">
        <f t="shared" si="7"/>
        <v>30</v>
      </c>
      <c r="K59" s="901">
        <f t="shared" si="9"/>
        <v>75</v>
      </c>
    </row>
    <row r="60" spans="2:11" ht="15.75" thickBot="1">
      <c r="B60" s="898" t="s">
        <v>1246</v>
      </c>
      <c r="C60" s="906" t="s">
        <v>1175</v>
      </c>
      <c r="D60" s="906" t="s">
        <v>1175</v>
      </c>
      <c r="E60" s="906" t="s">
        <v>1175</v>
      </c>
      <c r="F60" s="1582"/>
      <c r="H60" s="902" t="s">
        <v>579</v>
      </c>
      <c r="I60" s="830">
        <f>E58</f>
        <v>10</v>
      </c>
      <c r="J60" s="830">
        <f t="shared" si="7"/>
        <v>30</v>
      </c>
      <c r="K60" s="901">
        <f t="shared" si="9"/>
        <v>75</v>
      </c>
    </row>
    <row r="61" spans="2:11" ht="18.75" customHeight="1" thickBot="1">
      <c r="B61" s="754"/>
      <c r="C61" s="755"/>
      <c r="D61" s="755"/>
      <c r="E61" s="756"/>
      <c r="F61" s="757"/>
      <c r="H61" s="902" t="s">
        <v>580</v>
      </c>
      <c r="I61" s="830">
        <f>E59</f>
        <v>5</v>
      </c>
      <c r="J61" s="830">
        <f t="shared" si="7"/>
        <v>30</v>
      </c>
      <c r="K61" s="901">
        <f t="shared" si="9"/>
        <v>75</v>
      </c>
    </row>
    <row r="62" spans="2:11" ht="19.5" thickBot="1">
      <c r="B62" s="1583" t="s">
        <v>1247</v>
      </c>
      <c r="C62" s="1584"/>
      <c r="D62" s="1584"/>
      <c r="E62" s="1584"/>
      <c r="F62" s="1585"/>
      <c r="G62" s="741"/>
      <c r="H62" s="865" t="s">
        <v>581</v>
      </c>
      <c r="I62" s="852" t="str">
        <f>E60</f>
        <v>ND</v>
      </c>
      <c r="J62" s="852">
        <f t="shared" si="7"/>
        <v>30</v>
      </c>
      <c r="K62" s="903">
        <f t="shared" si="9"/>
        <v>75</v>
      </c>
    </row>
    <row r="63" spans="2:10" ht="15.75">
      <c r="B63" s="742" t="s">
        <v>1152</v>
      </c>
      <c r="C63" s="723" t="s">
        <v>1211</v>
      </c>
      <c r="D63" s="723" t="s">
        <v>1210</v>
      </c>
      <c r="E63" s="723" t="s">
        <v>1148</v>
      </c>
      <c r="F63" s="743" t="s">
        <v>1147</v>
      </c>
      <c r="G63" s="715"/>
      <c r="H63" s="715"/>
      <c r="I63" s="726"/>
      <c r="J63" s="726"/>
    </row>
    <row r="64" spans="2:13" s="5" customFormat="1" ht="30.75" customHeight="1" thickBot="1">
      <c r="B64" s="960" t="s">
        <v>1222</v>
      </c>
      <c r="C64" s="864">
        <v>-30</v>
      </c>
      <c r="D64" s="864">
        <v>30</v>
      </c>
      <c r="E64" s="864">
        <f>(ABS(C64)+D64)/2</f>
        <v>30</v>
      </c>
      <c r="F64" s="899" t="s">
        <v>1312</v>
      </c>
      <c r="G64" s="730"/>
      <c r="H64" s="730"/>
      <c r="I64" s="1608"/>
      <c r="J64" s="1609"/>
      <c r="M64" s="709"/>
    </row>
    <row r="65" spans="2:13" ht="15.75" thickBot="1">
      <c r="B65" s="732"/>
      <c r="C65" s="733"/>
      <c r="D65" s="733"/>
      <c r="E65" s="733"/>
      <c r="F65" s="738"/>
      <c r="G65" s="740"/>
      <c r="H65" s="740"/>
      <c r="I65" s="1608"/>
      <c r="J65" s="1609"/>
      <c r="M65" s="709"/>
    </row>
    <row r="66" spans="2:13" ht="18.75">
      <c r="B66" s="1583" t="s">
        <v>1248</v>
      </c>
      <c r="C66" s="1584"/>
      <c r="D66" s="1584"/>
      <c r="E66" s="1584"/>
      <c r="F66" s="1585"/>
      <c r="G66" s="741"/>
      <c r="H66" s="741"/>
      <c r="I66" s="1608"/>
      <c r="J66" s="1609"/>
      <c r="M66" s="709"/>
    </row>
    <row r="67" spans="2:13" ht="15.75">
      <c r="B67" s="742" t="s">
        <v>1152</v>
      </c>
      <c r="C67" s="723" t="s">
        <v>1211</v>
      </c>
      <c r="D67" s="723" t="s">
        <v>1210</v>
      </c>
      <c r="E67" s="723" t="s">
        <v>1148</v>
      </c>
      <c r="F67" s="743" t="s">
        <v>1147</v>
      </c>
      <c r="G67" s="715"/>
      <c r="H67" s="715"/>
      <c r="I67" s="1608"/>
      <c r="J67" s="1609"/>
      <c r="M67" s="709"/>
    </row>
    <row r="68" spans="2:10" s="5" customFormat="1" ht="29.25" customHeight="1">
      <c r="B68" s="867" t="s">
        <v>1221</v>
      </c>
      <c r="C68" s="952">
        <v>-50</v>
      </c>
      <c r="D68" s="952">
        <v>100</v>
      </c>
      <c r="E68" s="998">
        <f>(ABS(C68)+D68)/2</f>
        <v>75</v>
      </c>
      <c r="F68" s="897" t="s">
        <v>1313</v>
      </c>
      <c r="G68" s="730"/>
      <c r="H68" s="730"/>
      <c r="I68" s="1609"/>
      <c r="J68" s="1609"/>
    </row>
    <row r="70" s="646" customFormat="1" ht="21">
      <c r="A70" s="648" t="s">
        <v>1220</v>
      </c>
    </row>
    <row r="71" ht="15.75" thickBot="1"/>
    <row r="72" spans="2:11" ht="15.75">
      <c r="B72" s="1600" t="s">
        <v>1169</v>
      </c>
      <c r="C72" s="1601"/>
      <c r="D72" s="1601"/>
      <c r="E72" s="1601"/>
      <c r="F72" s="1602"/>
      <c r="G72" s="748"/>
      <c r="H72" s="1614" t="s">
        <v>81</v>
      </c>
      <c r="I72" s="1592" t="s">
        <v>1168</v>
      </c>
      <c r="J72" s="1593"/>
      <c r="K72" s="1594"/>
    </row>
    <row r="73" spans="2:11" ht="18.75">
      <c r="B73" s="891" t="s">
        <v>1152</v>
      </c>
      <c r="C73" s="950" t="s">
        <v>1211</v>
      </c>
      <c r="D73" s="950" t="s">
        <v>1292</v>
      </c>
      <c r="E73" s="641" t="s">
        <v>1148</v>
      </c>
      <c r="F73" s="850" t="s">
        <v>1147</v>
      </c>
      <c r="H73" s="1615"/>
      <c r="I73" s="702" t="s">
        <v>1167</v>
      </c>
      <c r="J73" s="642" t="s">
        <v>1249</v>
      </c>
      <c r="K73" s="842" t="s">
        <v>1250</v>
      </c>
    </row>
    <row r="74" spans="2:11" ht="42.75" customHeight="1">
      <c r="B74" s="1003" t="s">
        <v>1252</v>
      </c>
      <c r="C74" s="894">
        <v>-10</v>
      </c>
      <c r="D74" s="894">
        <v>10</v>
      </c>
      <c r="E74" s="894">
        <f>(ABS(C74)+D74)/2</f>
        <v>10</v>
      </c>
      <c r="F74" s="999" t="s">
        <v>1293</v>
      </c>
      <c r="H74" s="911" t="s">
        <v>610</v>
      </c>
      <c r="I74" s="892">
        <f>E74</f>
        <v>10</v>
      </c>
      <c r="J74" s="892">
        <f>F79</f>
        <v>20</v>
      </c>
      <c r="K74" s="946">
        <f>F85</f>
        <v>20</v>
      </c>
    </row>
    <row r="75" spans="2:11" s="731" customFormat="1" ht="27" customHeight="1" thickBot="1">
      <c r="B75" s="1004" t="s">
        <v>1251</v>
      </c>
      <c r="C75" s="1000">
        <v>-12.5</v>
      </c>
      <c r="D75" s="1000">
        <v>12.5</v>
      </c>
      <c r="E75" s="1000">
        <f>(ABS(C75)+D75)/2</f>
        <v>12.5</v>
      </c>
      <c r="F75" s="1005" t="s">
        <v>1300</v>
      </c>
      <c r="H75" s="1001" t="s">
        <v>1219</v>
      </c>
      <c r="I75" s="1002">
        <f>E75</f>
        <v>12.5</v>
      </c>
      <c r="J75" s="1006">
        <f>F80</f>
        <v>39.130434782608695</v>
      </c>
      <c r="K75" s="1007">
        <f>F86</f>
        <v>47.61904761904762</v>
      </c>
    </row>
    <row r="76" spans="4:7" ht="17.25" customHeight="1">
      <c r="D76" s="746"/>
      <c r="E76" s="746"/>
      <c r="F76" s="746"/>
      <c r="G76" s="746"/>
    </row>
    <row r="77" spans="2:9" ht="18.75">
      <c r="B77" s="1611" t="s">
        <v>1247</v>
      </c>
      <c r="C77" s="1611"/>
      <c r="D77" s="1611"/>
      <c r="E77" s="1611"/>
      <c r="F77" s="1611"/>
      <c r="G77" s="1611"/>
      <c r="H77" s="741"/>
      <c r="I77" s="657"/>
    </row>
    <row r="78" spans="2:9" ht="15.75">
      <c r="B78" s="723" t="s">
        <v>1152</v>
      </c>
      <c r="C78" s="723" t="s">
        <v>1151</v>
      </c>
      <c r="D78" s="723" t="s">
        <v>1173</v>
      </c>
      <c r="E78" s="723" t="s">
        <v>1172</v>
      </c>
      <c r="F78" s="723" t="s">
        <v>1148</v>
      </c>
      <c r="G78" s="739" t="s">
        <v>1147</v>
      </c>
      <c r="H78" s="715"/>
      <c r="I78" s="734"/>
    </row>
    <row r="79" spans="2:9" s="731" customFormat="1" ht="20.25" customHeight="1">
      <c r="B79" s="873" t="s">
        <v>1216</v>
      </c>
      <c r="C79" s="1610" t="s">
        <v>1213</v>
      </c>
      <c r="D79" s="1610"/>
      <c r="E79" s="1610"/>
      <c r="F79" s="826">
        <v>20</v>
      </c>
      <c r="G79" s="881" t="s">
        <v>1215</v>
      </c>
      <c r="H79" s="730"/>
      <c r="I79" s="735"/>
    </row>
    <row r="80" spans="2:9" s="731" customFormat="1" ht="20.25" customHeight="1">
      <c r="B80" s="1632" t="s">
        <v>1218</v>
      </c>
      <c r="C80" s="1610">
        <v>2.3</v>
      </c>
      <c r="D80" s="826">
        <f>C80-0.9</f>
        <v>1.4</v>
      </c>
      <c r="E80" s="826">
        <f>C80+0.9</f>
        <v>3.1999999999999997</v>
      </c>
      <c r="F80" s="1589">
        <f>((ABS(D81)+E81)/2)*100</f>
        <v>39.130434782608695</v>
      </c>
      <c r="G80" s="1612" t="s">
        <v>1314</v>
      </c>
      <c r="H80" s="730"/>
      <c r="I80" s="735"/>
    </row>
    <row r="81" spans="2:9" s="731" customFormat="1" ht="24" customHeight="1">
      <c r="B81" s="1632"/>
      <c r="C81" s="1610"/>
      <c r="D81" s="834">
        <f>+(D80-C80)/C80</f>
        <v>-0.391304347826087</v>
      </c>
      <c r="E81" s="834">
        <f>+(E80-C80)/C80</f>
        <v>0.391304347826087</v>
      </c>
      <c r="F81" s="1589"/>
      <c r="G81" s="1613"/>
      <c r="H81" s="730"/>
      <c r="I81" s="735"/>
    </row>
    <row r="82" spans="2:9" s="731" customFormat="1" ht="15.75">
      <c r="B82" s="745"/>
      <c r="C82" s="736"/>
      <c r="D82" s="736"/>
      <c r="E82" s="736"/>
      <c r="F82" s="736"/>
      <c r="G82" s="744"/>
      <c r="H82" s="730"/>
      <c r="I82" s="735"/>
    </row>
    <row r="83" spans="2:9" s="731" customFormat="1" ht="18.75">
      <c r="B83" s="1611" t="s">
        <v>1248</v>
      </c>
      <c r="C83" s="1611"/>
      <c r="D83" s="1611"/>
      <c r="E83" s="1611"/>
      <c r="F83" s="1611"/>
      <c r="G83" s="1611"/>
      <c r="H83" s="741"/>
      <c r="I83" s="735"/>
    </row>
    <row r="84" spans="2:8" s="731" customFormat="1" ht="16.5" customHeight="1">
      <c r="B84" s="723" t="s">
        <v>1152</v>
      </c>
      <c r="C84" s="723" t="s">
        <v>1151</v>
      </c>
      <c r="D84" s="723" t="s">
        <v>1173</v>
      </c>
      <c r="E84" s="723" t="s">
        <v>1172</v>
      </c>
      <c r="F84" s="723" t="s">
        <v>1148</v>
      </c>
      <c r="G84" s="739" t="s">
        <v>1147</v>
      </c>
      <c r="H84" s="730"/>
    </row>
    <row r="85" spans="2:8" ht="19.5" customHeight="1">
      <c r="B85" s="873" t="s">
        <v>1214</v>
      </c>
      <c r="C85" s="1610" t="s">
        <v>1213</v>
      </c>
      <c r="D85" s="1610"/>
      <c r="E85" s="1610"/>
      <c r="F85" s="826">
        <v>20</v>
      </c>
      <c r="G85" s="881" t="s">
        <v>1215</v>
      </c>
      <c r="H85" s="730"/>
    </row>
    <row r="86" spans="2:8" ht="21.75" customHeight="1">
      <c r="B86" s="1632" t="s">
        <v>1217</v>
      </c>
      <c r="C86" s="1610">
        <v>0.21</v>
      </c>
      <c r="D86" s="826">
        <f>C86-0.1</f>
        <v>0.10999999999999999</v>
      </c>
      <c r="E86" s="826">
        <f>C86+0.1</f>
        <v>0.31</v>
      </c>
      <c r="F86" s="1589">
        <f>(ABS(D87)+E87)/2*100</f>
        <v>47.61904761904762</v>
      </c>
      <c r="G86" s="1612" t="s">
        <v>1314</v>
      </c>
      <c r="H86" s="730"/>
    </row>
    <row r="87" spans="2:8" ht="22.5" customHeight="1">
      <c r="B87" s="1632"/>
      <c r="C87" s="1610"/>
      <c r="D87" s="834">
        <f>+(D86-C86)/C86</f>
        <v>-0.4761904761904762</v>
      </c>
      <c r="E87" s="834">
        <f>+(E86-C86)/C86</f>
        <v>0.4761904761904762</v>
      </c>
      <c r="F87" s="1589"/>
      <c r="G87" s="1613"/>
      <c r="H87" s="730"/>
    </row>
    <row r="88" ht="16.5" customHeight="1"/>
    <row r="89" s="646" customFormat="1" ht="21">
      <c r="A89" s="648" t="s">
        <v>1212</v>
      </c>
    </row>
    <row r="90" spans="1:7" s="661" customFormat="1" ht="21.75" thickBot="1">
      <c r="A90" s="662"/>
      <c r="E90" s="980"/>
      <c r="F90" s="980"/>
      <c r="G90" s="875"/>
    </row>
    <row r="91" spans="1:9" s="661" customFormat="1" ht="21">
      <c r="A91" s="662"/>
      <c r="B91" s="1568" t="s">
        <v>1169</v>
      </c>
      <c r="C91" s="1569"/>
      <c r="D91" s="1570"/>
      <c r="E91" s="844"/>
      <c r="F91" s="844"/>
      <c r="G91" s="1563" t="s">
        <v>81</v>
      </c>
      <c r="H91" s="1561" t="s">
        <v>1168</v>
      </c>
      <c r="I91" s="1562"/>
    </row>
    <row r="92" spans="1:9" s="661" customFormat="1" ht="21">
      <c r="A92" s="662"/>
      <c r="B92" s="958" t="s">
        <v>1152</v>
      </c>
      <c r="C92" s="950" t="s">
        <v>1209</v>
      </c>
      <c r="D92" s="743" t="s">
        <v>1147</v>
      </c>
      <c r="E92" s="1571" t="s">
        <v>1305</v>
      </c>
      <c r="G92" s="1564"/>
      <c r="H92" s="642" t="s">
        <v>1167</v>
      </c>
      <c r="I92" s="842" t="s">
        <v>1166</v>
      </c>
    </row>
    <row r="93" spans="1:9" s="661" customFormat="1" ht="45" customHeight="1" thickBot="1">
      <c r="A93" s="662"/>
      <c r="B93" s="878" t="s">
        <v>948</v>
      </c>
      <c r="C93" s="858">
        <v>0</v>
      </c>
      <c r="D93" s="879" t="s">
        <v>1315</v>
      </c>
      <c r="E93" s="1571"/>
      <c r="G93" s="1008" t="s">
        <v>231</v>
      </c>
      <c r="H93" s="847">
        <f>C93</f>
        <v>0</v>
      </c>
      <c r="I93" s="880">
        <f>E97</f>
        <v>50</v>
      </c>
    </row>
    <row r="94" spans="1:7" ht="15.75" thickBot="1">
      <c r="A94" s="644"/>
      <c r="F94" s="703"/>
      <c r="G94" s="749"/>
    </row>
    <row r="95" spans="1:7" ht="15.75">
      <c r="A95" s="644"/>
      <c r="B95" s="1583" t="s">
        <v>1153</v>
      </c>
      <c r="C95" s="1584"/>
      <c r="D95" s="1584"/>
      <c r="E95" s="1584"/>
      <c r="F95" s="1585"/>
      <c r="G95" s="844"/>
    </row>
    <row r="96" spans="1:7" ht="15.75">
      <c r="A96" s="644"/>
      <c r="B96" s="812" t="s">
        <v>1152</v>
      </c>
      <c r="C96" s="813" t="s">
        <v>1211</v>
      </c>
      <c r="D96" s="813" t="s">
        <v>1210</v>
      </c>
      <c r="E96" s="813" t="s">
        <v>1209</v>
      </c>
      <c r="F96" s="743" t="s">
        <v>1147</v>
      </c>
      <c r="G96" s="748"/>
    </row>
    <row r="97" spans="1:7" ht="30.75" thickBot="1">
      <c r="A97" s="644"/>
      <c r="B97" s="878" t="s">
        <v>1208</v>
      </c>
      <c r="C97" s="1630" t="s">
        <v>1207</v>
      </c>
      <c r="D97" s="1631"/>
      <c r="E97" s="852">
        <v>50</v>
      </c>
      <c r="F97" s="879" t="s">
        <v>1315</v>
      </c>
      <c r="G97" s="876"/>
    </row>
    <row r="98" spans="1:7" ht="15">
      <c r="A98" s="644"/>
      <c r="G98" s="726"/>
    </row>
    <row r="99" spans="1:7" ht="15">
      <c r="A99" s="644"/>
      <c r="G99" s="726"/>
    </row>
    <row r="100" spans="1:7" s="646" customFormat="1" ht="24">
      <c r="A100" s="648" t="s">
        <v>1206</v>
      </c>
      <c r="G100" s="877"/>
    </row>
    <row r="101" ht="15.75" thickBot="1">
      <c r="G101" s="726"/>
    </row>
    <row r="102" spans="2:10" ht="15.75">
      <c r="B102" s="821" t="s">
        <v>1169</v>
      </c>
      <c r="C102" s="821"/>
      <c r="D102" s="821"/>
      <c r="E102" s="821"/>
      <c r="F102" s="874"/>
      <c r="G102" s="748"/>
      <c r="H102" s="1563" t="s">
        <v>81</v>
      </c>
      <c r="I102" s="1561" t="s">
        <v>1168</v>
      </c>
      <c r="J102" s="1562"/>
    </row>
    <row r="103" spans="2:10" ht="15.75">
      <c r="B103" s="1607" t="s">
        <v>1152</v>
      </c>
      <c r="C103" s="641" t="s">
        <v>1185</v>
      </c>
      <c r="D103" s="641"/>
      <c r="E103" s="1603" t="s">
        <v>1148</v>
      </c>
      <c r="F103" s="1605" t="s">
        <v>1147</v>
      </c>
      <c r="G103" s="726"/>
      <c r="H103" s="1564"/>
      <c r="I103" s="642" t="s">
        <v>1167</v>
      </c>
      <c r="J103" s="842" t="s">
        <v>1166</v>
      </c>
    </row>
    <row r="104" spans="2:10" ht="16.5" thickBot="1">
      <c r="B104" s="1607"/>
      <c r="C104" s="635" t="s">
        <v>1150</v>
      </c>
      <c r="D104" s="635" t="s">
        <v>1164</v>
      </c>
      <c r="E104" s="1604"/>
      <c r="F104" s="1606"/>
      <c r="G104" s="726"/>
      <c r="H104" s="1012" t="s">
        <v>1297</v>
      </c>
      <c r="I104" s="847">
        <f>SQRT(POWER(E105,2)+POWER(E106,2)+POWER(E115,2))</f>
        <v>16.85312368013057</v>
      </c>
      <c r="J104" s="880">
        <f>SQRT(POWER((C125*G125),2)+POWER((C127*G127),2)+POWER((C129*G129),2)+POWER((C131*G131),2))/(SUM(C125:C132))</f>
        <v>75.7806458151165</v>
      </c>
    </row>
    <row r="105" spans="2:6" ht="14.45" customHeight="1">
      <c r="B105" s="832" t="s">
        <v>1253</v>
      </c>
      <c r="C105" s="830">
        <v>-10</v>
      </c>
      <c r="D105" s="826">
        <v>10</v>
      </c>
      <c r="E105" s="831">
        <f>(ABS(C105)+D105)/2</f>
        <v>10</v>
      </c>
      <c r="F105" s="1577" t="s">
        <v>1293</v>
      </c>
    </row>
    <row r="106" spans="2:6" ht="14.45" customHeight="1">
      <c r="B106" s="832" t="s">
        <v>1261</v>
      </c>
      <c r="C106" s="830"/>
      <c r="D106" s="830"/>
      <c r="E106" s="831">
        <f>AVERAGE(E107:E114)</f>
        <v>9.166666666666666</v>
      </c>
      <c r="F106" s="1578"/>
    </row>
    <row r="107" spans="2:6" ht="14.45" customHeight="1">
      <c r="B107" s="882" t="s">
        <v>1234</v>
      </c>
      <c r="C107" s="830">
        <v>-10</v>
      </c>
      <c r="D107" s="826">
        <v>10</v>
      </c>
      <c r="E107" s="830">
        <f>(ABS(C107)+D107)/2</f>
        <v>10</v>
      </c>
      <c r="F107" s="1578"/>
    </row>
    <row r="108" spans="2:6" s="655" customFormat="1" ht="18" customHeight="1">
      <c r="B108" s="883" t="s">
        <v>1232</v>
      </c>
      <c r="C108" s="830">
        <v>-10</v>
      </c>
      <c r="D108" s="826">
        <v>10</v>
      </c>
      <c r="E108" s="830">
        <f>(ABS(C108)+D108)/2</f>
        <v>10</v>
      </c>
      <c r="F108" s="1578"/>
    </row>
    <row r="109" spans="2:6" ht="14.45" customHeight="1">
      <c r="B109" s="883" t="s">
        <v>1231</v>
      </c>
      <c r="C109" s="830">
        <v>-10</v>
      </c>
      <c r="D109" s="826">
        <v>10</v>
      </c>
      <c r="E109" s="830">
        <f>(ABS(C109)+D109)/2</f>
        <v>10</v>
      </c>
      <c r="F109" s="1578"/>
    </row>
    <row r="110" spans="2:6" ht="18.75" customHeight="1">
      <c r="B110" s="883" t="s">
        <v>1230</v>
      </c>
      <c r="C110" s="830">
        <v>-10</v>
      </c>
      <c r="D110" s="826">
        <v>10</v>
      </c>
      <c r="E110" s="830">
        <f>(ABS(C110)+D110)/2</f>
        <v>10</v>
      </c>
      <c r="F110" s="1578"/>
    </row>
    <row r="111" spans="2:6" ht="15.75" customHeight="1">
      <c r="B111" s="883" t="s">
        <v>1229</v>
      </c>
      <c r="C111" s="830" t="s">
        <v>1175</v>
      </c>
      <c r="D111" s="830" t="s">
        <v>1175</v>
      </c>
      <c r="E111" s="830" t="s">
        <v>1175</v>
      </c>
      <c r="F111" s="1578"/>
    </row>
    <row r="112" spans="2:6" ht="16.5" customHeight="1">
      <c r="B112" s="883" t="s">
        <v>1228</v>
      </c>
      <c r="C112" s="830">
        <v>-10</v>
      </c>
      <c r="D112" s="826">
        <v>10</v>
      </c>
      <c r="E112" s="830">
        <f>(ABS(C112)+D112)/2</f>
        <v>10</v>
      </c>
      <c r="F112" s="1578"/>
    </row>
    <row r="113" spans="2:6" ht="14.25" customHeight="1">
      <c r="B113" s="883" t="s">
        <v>1227</v>
      </c>
      <c r="C113" s="830" t="s">
        <v>1175</v>
      </c>
      <c r="D113" s="830" t="s">
        <v>1175</v>
      </c>
      <c r="E113" s="830" t="s">
        <v>1175</v>
      </c>
      <c r="F113" s="1578"/>
    </row>
    <row r="114" spans="2:6" ht="17.25" customHeight="1">
      <c r="B114" s="883" t="s">
        <v>1245</v>
      </c>
      <c r="C114" s="830">
        <v>-5</v>
      </c>
      <c r="D114" s="830">
        <v>5</v>
      </c>
      <c r="E114" s="830">
        <f>(ABS(C114)+D114)/2</f>
        <v>5</v>
      </c>
      <c r="F114" s="1578"/>
    </row>
    <row r="115" spans="2:6" ht="15.75" customHeight="1">
      <c r="B115" s="884" t="s">
        <v>1260</v>
      </c>
      <c r="C115" s="830"/>
      <c r="D115" s="830"/>
      <c r="E115" s="831">
        <f>AVERAGE(E116:E121)</f>
        <v>10</v>
      </c>
      <c r="F115" s="1578"/>
    </row>
    <row r="116" spans="2:6" ht="15.75" customHeight="1">
      <c r="B116" s="885" t="s">
        <v>1254</v>
      </c>
      <c r="C116" s="826">
        <v>-10</v>
      </c>
      <c r="D116" s="826">
        <v>10</v>
      </c>
      <c r="E116" s="830">
        <f aca="true" t="shared" si="10" ref="E116:E121">(ABS(C116)+D116)/2</f>
        <v>10</v>
      </c>
      <c r="F116" s="1578"/>
    </row>
    <row r="117" spans="2:6" ht="15.75" customHeight="1">
      <c r="B117" s="885" t="s">
        <v>1255</v>
      </c>
      <c r="C117" s="826">
        <v>-10</v>
      </c>
      <c r="D117" s="826">
        <v>10</v>
      </c>
      <c r="E117" s="830">
        <f t="shared" si="10"/>
        <v>10</v>
      </c>
      <c r="F117" s="1578"/>
    </row>
    <row r="118" spans="2:6" ht="16.5" customHeight="1">
      <c r="B118" s="886" t="s">
        <v>1256</v>
      </c>
      <c r="C118" s="826">
        <v>-10</v>
      </c>
      <c r="D118" s="826">
        <v>10</v>
      </c>
      <c r="E118" s="830">
        <f t="shared" si="10"/>
        <v>10</v>
      </c>
      <c r="F118" s="1578"/>
    </row>
    <row r="119" spans="2:6" ht="15.75" customHeight="1">
      <c r="B119" s="886" t="s">
        <v>1257</v>
      </c>
      <c r="C119" s="826">
        <v>-10</v>
      </c>
      <c r="D119" s="826">
        <v>10</v>
      </c>
      <c r="E119" s="830">
        <f t="shared" si="10"/>
        <v>10</v>
      </c>
      <c r="F119" s="1578"/>
    </row>
    <row r="120" spans="2:6" ht="14.25" customHeight="1">
      <c r="B120" s="886" t="s">
        <v>1258</v>
      </c>
      <c r="C120" s="826">
        <v>-10</v>
      </c>
      <c r="D120" s="826">
        <v>10</v>
      </c>
      <c r="E120" s="830">
        <f t="shared" si="10"/>
        <v>10</v>
      </c>
      <c r="F120" s="1578"/>
    </row>
    <row r="121" spans="2:6" ht="18.75" customHeight="1">
      <c r="B121" s="886" t="s">
        <v>1259</v>
      </c>
      <c r="C121" s="826">
        <v>-10</v>
      </c>
      <c r="D121" s="826">
        <v>10</v>
      </c>
      <c r="E121" s="830">
        <f t="shared" si="10"/>
        <v>10</v>
      </c>
      <c r="F121" s="1579"/>
    </row>
    <row r="122" spans="9:10" ht="19.5" customHeight="1" thickBot="1">
      <c r="I122" s="749"/>
      <c r="J122" s="749"/>
    </row>
    <row r="123" spans="2:17" ht="15.75">
      <c r="B123" s="1583" t="s">
        <v>1153</v>
      </c>
      <c r="C123" s="1584"/>
      <c r="D123" s="1584"/>
      <c r="E123" s="1584"/>
      <c r="F123" s="1584"/>
      <c r="G123" s="1584"/>
      <c r="H123" s="1585"/>
      <c r="I123" s="844"/>
      <c r="J123" s="844"/>
      <c r="K123" s="657"/>
      <c r="N123" s="659"/>
      <c r="O123" s="5"/>
      <c r="P123" s="636"/>
      <c r="Q123" s="660"/>
    </row>
    <row r="124" spans="1:17" ht="15.75">
      <c r="A124" s="644"/>
      <c r="B124" s="891" t="s">
        <v>1152</v>
      </c>
      <c r="C124" s="849" t="s">
        <v>1294</v>
      </c>
      <c r="D124" s="813" t="s">
        <v>1151</v>
      </c>
      <c r="E124" s="813" t="s">
        <v>1173</v>
      </c>
      <c r="F124" s="813" t="s">
        <v>1172</v>
      </c>
      <c r="G124" s="813" t="s">
        <v>1148</v>
      </c>
      <c r="H124" s="815" t="s">
        <v>1147</v>
      </c>
      <c r="I124" s="726"/>
      <c r="J124" s="726"/>
      <c r="N124" s="659"/>
      <c r="O124" s="5"/>
      <c r="P124" s="636"/>
      <c r="Q124" s="660"/>
    </row>
    <row r="125" spans="1:17" ht="15" customHeight="1">
      <c r="A125" s="644"/>
      <c r="B125" s="1626" t="s">
        <v>1205</v>
      </c>
      <c r="C125" s="1659">
        <f>'3C4 EMISIONES'!H10*310</f>
        <v>2905.3213726007148</v>
      </c>
      <c r="D125" s="1656">
        <v>0.01</v>
      </c>
      <c r="E125" s="826">
        <v>0.003</v>
      </c>
      <c r="F125" s="826">
        <v>0.03</v>
      </c>
      <c r="G125" s="1575">
        <f>(ABS(E126)+F126)/2*100</f>
        <v>134.99999999999997</v>
      </c>
      <c r="H125" s="1580" t="s">
        <v>1316</v>
      </c>
      <c r="N125" s="659"/>
      <c r="O125" s="5"/>
      <c r="P125" s="636"/>
      <c r="Q125" s="660"/>
    </row>
    <row r="126" spans="1:17" ht="15">
      <c r="A126" s="644"/>
      <c r="B126" s="1626"/>
      <c r="C126" s="1579"/>
      <c r="D126" s="1657"/>
      <c r="E126" s="834">
        <f>+(E125-D125)/D125</f>
        <v>-0.7</v>
      </c>
      <c r="F126" s="834">
        <f>+(F125-D125)/D125</f>
        <v>1.9999999999999996</v>
      </c>
      <c r="G126" s="1576"/>
      <c r="H126" s="1581"/>
      <c r="N126" s="659"/>
      <c r="O126" s="5"/>
      <c r="P126" s="636"/>
      <c r="Q126" s="660"/>
    </row>
    <row r="127" spans="1:17" ht="15">
      <c r="A127" s="644"/>
      <c r="B127" s="1627" t="s">
        <v>1204</v>
      </c>
      <c r="C127" s="1659">
        <f>'3C4 EMISIONES'!H14*310</f>
        <v>233.08257768548563</v>
      </c>
      <c r="D127" s="1656">
        <v>0.003</v>
      </c>
      <c r="E127" s="826">
        <v>0</v>
      </c>
      <c r="F127" s="826">
        <v>0.006</v>
      </c>
      <c r="G127" s="1575">
        <f>(ABS(E128)+F128)/2*100</f>
        <v>100</v>
      </c>
      <c r="H127" s="1581"/>
      <c r="N127" s="659"/>
      <c r="O127" s="5"/>
      <c r="P127" s="5"/>
      <c r="Q127" s="5"/>
    </row>
    <row r="128" spans="1:17" ht="15">
      <c r="A128" s="644"/>
      <c r="B128" s="1627"/>
      <c r="C128" s="1579"/>
      <c r="D128" s="1657"/>
      <c r="E128" s="834">
        <f>+(E127-D127)/D127</f>
        <v>-1</v>
      </c>
      <c r="F128" s="834">
        <f>+(F127-D127)/D127</f>
        <v>1</v>
      </c>
      <c r="G128" s="1576"/>
      <c r="H128" s="1581"/>
      <c r="N128" s="659"/>
      <c r="O128" s="5"/>
      <c r="P128" s="5"/>
      <c r="Q128" s="5"/>
    </row>
    <row r="129" spans="2:8" ht="15" customHeight="1">
      <c r="B129" s="1627" t="s">
        <v>1203</v>
      </c>
      <c r="C129" s="1660">
        <f>'3C4 EMISIONES'!J36*310</f>
        <v>2382.19088792096</v>
      </c>
      <c r="D129" s="1656">
        <v>0.02</v>
      </c>
      <c r="E129" s="826">
        <v>0.007</v>
      </c>
      <c r="F129" s="826">
        <v>0.06</v>
      </c>
      <c r="G129" s="1575">
        <f>(ABS(E130)+F130)/2*100</f>
        <v>132.49999999999997</v>
      </c>
      <c r="H129" s="1581"/>
    </row>
    <row r="130" spans="2:8" ht="15">
      <c r="B130" s="1627"/>
      <c r="C130" s="1661"/>
      <c r="D130" s="1657"/>
      <c r="E130" s="834">
        <f>+(E129-D129)/D129</f>
        <v>-0.65</v>
      </c>
      <c r="F130" s="834">
        <f>+(F129-D129)/D129</f>
        <v>1.9999999999999996</v>
      </c>
      <c r="G130" s="1576"/>
      <c r="H130" s="1581"/>
    </row>
    <row r="131" spans="2:8" ht="15" customHeight="1">
      <c r="B131" s="1627" t="s">
        <v>1202</v>
      </c>
      <c r="C131" s="1660">
        <f>'3C4 EMISIONES'!J37*310</f>
        <v>2189.264631615669</v>
      </c>
      <c r="D131" s="1656">
        <v>0.01</v>
      </c>
      <c r="E131" s="826">
        <v>0.003</v>
      </c>
      <c r="F131" s="826">
        <v>0.03</v>
      </c>
      <c r="G131" s="1575">
        <f>(ABS(E132)+F132)/2*100</f>
        <v>134.99999999999997</v>
      </c>
      <c r="H131" s="1581"/>
    </row>
    <row r="132" spans="2:8" ht="15.75" thickBot="1">
      <c r="B132" s="1646"/>
      <c r="C132" s="1662"/>
      <c r="D132" s="1658"/>
      <c r="E132" s="857">
        <f>+(E131-D131)/D131</f>
        <v>-0.7</v>
      </c>
      <c r="F132" s="857">
        <f>+(F131-D131)/D131</f>
        <v>1.9999999999999996</v>
      </c>
      <c r="G132" s="1655"/>
      <c r="H132" s="1582"/>
    </row>
    <row r="133" spans="2:6" ht="15">
      <c r="B133" s="658"/>
      <c r="C133" s="650"/>
      <c r="D133" s="650"/>
      <c r="E133" s="650"/>
      <c r="F133" s="650"/>
    </row>
    <row r="134" s="646" customFormat="1" ht="24">
      <c r="A134" s="648" t="s">
        <v>1201</v>
      </c>
    </row>
    <row r="135" s="656" customFormat="1" ht="16.5" thickBot="1">
      <c r="A135" s="657"/>
    </row>
    <row r="136" spans="2:11" ht="14.45" customHeight="1">
      <c r="B136" s="1565" t="s">
        <v>1169</v>
      </c>
      <c r="C136" s="1566"/>
      <c r="D136" s="1566"/>
      <c r="E136" s="1566"/>
      <c r="F136" s="1566"/>
      <c r="G136" s="1567"/>
      <c r="H136" s="748"/>
      <c r="I136" s="1563" t="s">
        <v>81</v>
      </c>
      <c r="J136" s="1561" t="s">
        <v>1168</v>
      </c>
      <c r="K136" s="1562"/>
    </row>
    <row r="137" spans="2:11" ht="14.45" customHeight="1">
      <c r="B137" s="958" t="s">
        <v>1152</v>
      </c>
      <c r="C137" s="949" t="s">
        <v>1294</v>
      </c>
      <c r="D137" s="950" t="s">
        <v>1211</v>
      </c>
      <c r="E137" s="950" t="s">
        <v>1292</v>
      </c>
      <c r="F137" s="950" t="s">
        <v>1148</v>
      </c>
      <c r="G137" s="815" t="s">
        <v>1147</v>
      </c>
      <c r="I137" s="1564"/>
      <c r="J137" s="642" t="s">
        <v>1167</v>
      </c>
      <c r="K137" s="842" t="s">
        <v>1166</v>
      </c>
    </row>
    <row r="138" spans="2:11" ht="57" customHeight="1" thickBot="1">
      <c r="B138" s="954" t="s">
        <v>1253</v>
      </c>
      <c r="C138" s="955"/>
      <c r="D138" s="830">
        <v>-10</v>
      </c>
      <c r="E138" s="955">
        <v>10</v>
      </c>
      <c r="F138" s="831">
        <f>(ABS(D138)+E138)/2</f>
        <v>10</v>
      </c>
      <c r="G138" s="1013" t="s">
        <v>1293</v>
      </c>
      <c r="I138" s="1011" t="s">
        <v>1296</v>
      </c>
      <c r="J138" s="847">
        <f>SQRT(POWER(F138,2)+POWER(F139,2)+POWER(F148,2))</f>
        <v>16.85312368013057</v>
      </c>
      <c r="K138" s="1010">
        <f>SQRT(POWER((G164*C158),2)+POWER((G169*C165),2))/(C158+C165)</f>
        <v>151.5228984274102</v>
      </c>
    </row>
    <row r="139" spans="2:16" ht="14.45" customHeight="1">
      <c r="B139" s="954" t="s">
        <v>1261</v>
      </c>
      <c r="C139" s="955"/>
      <c r="D139" s="830"/>
      <c r="E139" s="830"/>
      <c r="F139" s="831">
        <f>AVERAGE(F140:F147)</f>
        <v>9.166666666666666</v>
      </c>
      <c r="G139" s="897"/>
      <c r="N139" s="727"/>
      <c r="O139" s="737"/>
      <c r="P139" s="737"/>
    </row>
    <row r="140" spans="2:16" ht="19.5" customHeight="1">
      <c r="B140" s="959" t="s">
        <v>1183</v>
      </c>
      <c r="C140" s="830"/>
      <c r="D140" s="830">
        <v>-10</v>
      </c>
      <c r="E140" s="955">
        <v>10</v>
      </c>
      <c r="F140" s="830">
        <f>(ABS(D140)+E140)/2</f>
        <v>10</v>
      </c>
      <c r="G140" s="1572" t="s">
        <v>1293</v>
      </c>
      <c r="N140" s="655"/>
      <c r="O140" s="636"/>
      <c r="P140" s="638"/>
    </row>
    <row r="141" spans="2:16" ht="15">
      <c r="B141" s="1014" t="s">
        <v>1182</v>
      </c>
      <c r="C141" s="830"/>
      <c r="D141" s="830">
        <v>-10</v>
      </c>
      <c r="E141" s="955">
        <v>10</v>
      </c>
      <c r="F141" s="830">
        <f aca="true" t="shared" si="11" ref="F141:F154">(ABS(D141)+E141)/2</f>
        <v>10</v>
      </c>
      <c r="G141" s="1573"/>
      <c r="N141" s="655"/>
      <c r="O141" s="636"/>
      <c r="P141" s="638"/>
    </row>
    <row r="142" spans="2:16" ht="15">
      <c r="B142" s="1014" t="s">
        <v>1200</v>
      </c>
      <c r="C142" s="830"/>
      <c r="D142" s="830">
        <v>-10</v>
      </c>
      <c r="E142" s="955">
        <v>10</v>
      </c>
      <c r="F142" s="830">
        <f t="shared" si="11"/>
        <v>10</v>
      </c>
      <c r="G142" s="1573"/>
      <c r="N142" s="655"/>
      <c r="O142" s="636"/>
      <c r="P142" s="638"/>
    </row>
    <row r="143" spans="2:16" ht="15">
      <c r="B143" s="1014" t="s">
        <v>1180</v>
      </c>
      <c r="C143" s="830"/>
      <c r="D143" s="830">
        <v>-10</v>
      </c>
      <c r="E143" s="955">
        <v>10</v>
      </c>
      <c r="F143" s="830">
        <f t="shared" si="11"/>
        <v>10</v>
      </c>
      <c r="G143" s="1573"/>
      <c r="N143" s="655"/>
      <c r="O143" s="636"/>
      <c r="P143" s="638"/>
    </row>
    <row r="144" spans="2:16" ht="15">
      <c r="B144" s="1014" t="s">
        <v>1179</v>
      </c>
      <c r="C144" s="830"/>
      <c r="D144" s="830" t="s">
        <v>1175</v>
      </c>
      <c r="E144" s="830" t="s">
        <v>1175</v>
      </c>
      <c r="F144" s="830" t="s">
        <v>1175</v>
      </c>
      <c r="G144" s="1573"/>
      <c r="N144" s="655"/>
      <c r="O144" s="636"/>
      <c r="P144" s="638"/>
    </row>
    <row r="145" spans="2:16" ht="15">
      <c r="B145" s="1014" t="s">
        <v>1199</v>
      </c>
      <c r="C145" s="830"/>
      <c r="D145" s="830">
        <v>-10</v>
      </c>
      <c r="E145" s="955">
        <v>10</v>
      </c>
      <c r="F145" s="830">
        <f t="shared" si="11"/>
        <v>10</v>
      </c>
      <c r="G145" s="1573"/>
      <c r="N145" s="655"/>
      <c r="O145" s="636"/>
      <c r="P145" s="638"/>
    </row>
    <row r="146" spans="2:16" ht="15">
      <c r="B146" s="1014" t="s">
        <v>1177</v>
      </c>
      <c r="C146" s="830"/>
      <c r="D146" s="830" t="s">
        <v>1175</v>
      </c>
      <c r="E146" s="830" t="s">
        <v>1175</v>
      </c>
      <c r="F146" s="830" t="s">
        <v>1175</v>
      </c>
      <c r="G146" s="1573"/>
      <c r="N146" s="655"/>
      <c r="O146" s="636"/>
      <c r="P146" s="638"/>
    </row>
    <row r="147" spans="2:16" ht="15">
      <c r="B147" s="1014" t="s">
        <v>1198</v>
      </c>
      <c r="C147" s="830"/>
      <c r="D147" s="830">
        <v>-5</v>
      </c>
      <c r="E147" s="830">
        <v>5</v>
      </c>
      <c r="F147" s="830">
        <f t="shared" si="11"/>
        <v>5</v>
      </c>
      <c r="G147" s="1574"/>
      <c r="N147" s="655"/>
      <c r="O147" s="636"/>
      <c r="P147" s="638"/>
    </row>
    <row r="148" spans="2:16" ht="15">
      <c r="B148" s="896" t="s">
        <v>1260</v>
      </c>
      <c r="C148" s="830"/>
      <c r="D148" s="830"/>
      <c r="E148" s="830"/>
      <c r="F148" s="831">
        <f>AVERAGE(F149:F154)</f>
        <v>10</v>
      </c>
      <c r="G148" s="1015"/>
      <c r="N148" s="655"/>
      <c r="O148" s="724"/>
      <c r="P148" s="638"/>
    </row>
    <row r="149" spans="2:16" ht="18" customHeight="1">
      <c r="B149" s="1016" t="s">
        <v>1197</v>
      </c>
      <c r="C149" s="955"/>
      <c r="D149" s="955">
        <v>-10</v>
      </c>
      <c r="E149" s="955">
        <v>10</v>
      </c>
      <c r="F149" s="830">
        <f t="shared" si="11"/>
        <v>10</v>
      </c>
      <c r="G149" s="1572" t="s">
        <v>1293</v>
      </c>
      <c r="N149" s="655"/>
      <c r="O149" s="636"/>
      <c r="P149" s="638"/>
    </row>
    <row r="150" spans="2:16" ht="15">
      <c r="B150" s="1016" t="s">
        <v>1196</v>
      </c>
      <c r="C150" s="955"/>
      <c r="D150" s="955">
        <v>-10</v>
      </c>
      <c r="E150" s="955">
        <v>10</v>
      </c>
      <c r="F150" s="830">
        <f t="shared" si="11"/>
        <v>10</v>
      </c>
      <c r="G150" s="1573"/>
      <c r="N150" s="655"/>
      <c r="O150" s="636"/>
      <c r="P150" s="638"/>
    </row>
    <row r="151" spans="2:16" ht="15">
      <c r="B151" s="1017" t="s">
        <v>1195</v>
      </c>
      <c r="C151" s="955"/>
      <c r="D151" s="955">
        <v>-10</v>
      </c>
      <c r="E151" s="955">
        <v>10</v>
      </c>
      <c r="F151" s="830">
        <f t="shared" si="11"/>
        <v>10</v>
      </c>
      <c r="G151" s="1573"/>
      <c r="N151" s="655"/>
      <c r="O151" s="636"/>
      <c r="P151" s="638"/>
    </row>
    <row r="152" spans="2:16" ht="15">
      <c r="B152" s="1017" t="s">
        <v>1194</v>
      </c>
      <c r="C152" s="955"/>
      <c r="D152" s="955">
        <v>-10</v>
      </c>
      <c r="E152" s="955">
        <v>10</v>
      </c>
      <c r="F152" s="830">
        <f t="shared" si="11"/>
        <v>10</v>
      </c>
      <c r="G152" s="1573"/>
      <c r="N152" s="655"/>
      <c r="O152" s="636"/>
      <c r="P152" s="638"/>
    </row>
    <row r="153" spans="2:16" ht="15">
      <c r="B153" s="1017" t="s">
        <v>1193</v>
      </c>
      <c r="C153" s="955"/>
      <c r="D153" s="955">
        <v>-10</v>
      </c>
      <c r="E153" s="955">
        <v>10</v>
      </c>
      <c r="F153" s="830">
        <f t="shared" si="11"/>
        <v>10</v>
      </c>
      <c r="G153" s="1573"/>
      <c r="N153" s="655"/>
      <c r="O153" s="636"/>
      <c r="P153" s="638"/>
    </row>
    <row r="154" spans="2:16" ht="16.5" customHeight="1" thickBot="1">
      <c r="B154" s="1018" t="s">
        <v>1192</v>
      </c>
      <c r="C154" s="858"/>
      <c r="D154" s="858">
        <v>-10</v>
      </c>
      <c r="E154" s="858">
        <v>10</v>
      </c>
      <c r="F154" s="852">
        <f t="shared" si="11"/>
        <v>10</v>
      </c>
      <c r="G154" s="1638"/>
      <c r="N154" s="655"/>
      <c r="O154" s="636"/>
      <c r="P154" s="638"/>
    </row>
    <row r="155" spans="9:10" ht="15.75" thickBot="1">
      <c r="I155" s="726"/>
      <c r="J155" s="726"/>
    </row>
    <row r="156" spans="2:10" ht="15.75">
      <c r="B156" s="1583" t="s">
        <v>1153</v>
      </c>
      <c r="C156" s="1584"/>
      <c r="D156" s="1584"/>
      <c r="E156" s="1584"/>
      <c r="F156" s="1584"/>
      <c r="G156" s="1584"/>
      <c r="H156" s="1585"/>
      <c r="I156" s="844"/>
      <c r="J156" s="726"/>
    </row>
    <row r="157" spans="2:14" ht="16.5" thickBot="1">
      <c r="B157" s="872" t="s">
        <v>1152</v>
      </c>
      <c r="C157" s="849" t="s">
        <v>1294</v>
      </c>
      <c r="D157" s="849" t="s">
        <v>1151</v>
      </c>
      <c r="E157" s="849" t="s">
        <v>1150</v>
      </c>
      <c r="F157" s="849" t="s">
        <v>1172</v>
      </c>
      <c r="G157" s="849" t="s">
        <v>1148</v>
      </c>
      <c r="H157" s="871" t="s">
        <v>1147</v>
      </c>
      <c r="I157" s="735"/>
      <c r="J157" s="735"/>
      <c r="N157" s="654"/>
    </row>
    <row r="158" spans="2:12" ht="15">
      <c r="B158" s="1633" t="s">
        <v>1191</v>
      </c>
      <c r="C158" s="1586">
        <f>'3C5 EMISIONES'!I11*310</f>
        <v>902.6522872800421</v>
      </c>
      <c r="D158" s="1628">
        <v>0.01</v>
      </c>
      <c r="E158" s="861">
        <v>0.002</v>
      </c>
      <c r="F158" s="861">
        <v>0.05</v>
      </c>
      <c r="G158" s="1588">
        <f>(ABS(E159)+F159)/2*100</f>
        <v>240</v>
      </c>
      <c r="H158" s="1590" t="s">
        <v>1317</v>
      </c>
      <c r="I158" s="845"/>
      <c r="J158" s="843"/>
      <c r="K158" s="643"/>
      <c r="L158" s="643"/>
    </row>
    <row r="159" spans="2:12" ht="15">
      <c r="B159" s="1627"/>
      <c r="C159" s="1587"/>
      <c r="D159" s="1587"/>
      <c r="E159" s="834">
        <f>+(E158-D158)/D158</f>
        <v>-0.8</v>
      </c>
      <c r="F159" s="834">
        <f>+(F158-D158)/D158</f>
        <v>4</v>
      </c>
      <c r="G159" s="1589"/>
      <c r="H159" s="1591"/>
      <c r="I159" s="843"/>
      <c r="J159" s="843"/>
      <c r="K159" s="643"/>
      <c r="L159" s="643"/>
    </row>
    <row r="160" spans="2:12" ht="15">
      <c r="B160" s="1626" t="s">
        <v>1189</v>
      </c>
      <c r="C160" s="1587"/>
      <c r="D160" s="1587">
        <v>0.11</v>
      </c>
      <c r="E160" s="826">
        <v>0.02</v>
      </c>
      <c r="F160" s="826">
        <v>0.33</v>
      </c>
      <c r="G160" s="1589">
        <f>(ABS(E161)+F161)/2*100</f>
        <v>140.9090909090909</v>
      </c>
      <c r="H160" s="1591" t="s">
        <v>1306</v>
      </c>
      <c r="I160" s="843"/>
      <c r="J160" s="843"/>
      <c r="K160" s="654"/>
      <c r="L160" s="654"/>
    </row>
    <row r="161" spans="2:12" ht="15">
      <c r="B161" s="1627"/>
      <c r="C161" s="1587"/>
      <c r="D161" s="1587"/>
      <c r="E161" s="834">
        <f>+(E160-D160)/D160</f>
        <v>-0.8181818181818181</v>
      </c>
      <c r="F161" s="834">
        <f>+(F160-D160)/D160</f>
        <v>2.0000000000000004</v>
      </c>
      <c r="G161" s="1589"/>
      <c r="H161" s="1591"/>
      <c r="I161" s="843"/>
      <c r="J161" s="843"/>
      <c r="K161" s="654"/>
      <c r="L161" s="654"/>
    </row>
    <row r="162" spans="2:12" ht="24" customHeight="1">
      <c r="B162" s="1626" t="s">
        <v>1188</v>
      </c>
      <c r="C162" s="1587"/>
      <c r="D162" s="1587">
        <v>0.21</v>
      </c>
      <c r="E162" s="826">
        <v>0</v>
      </c>
      <c r="F162" s="826">
        <v>0.31</v>
      </c>
      <c r="G162" s="1610">
        <f>(ABS(E163)+F163)/2*100</f>
        <v>73.80952380952381</v>
      </c>
      <c r="H162" s="1591"/>
      <c r="I162" s="843"/>
      <c r="J162" s="843"/>
      <c r="K162" s="654"/>
      <c r="L162" s="654"/>
    </row>
    <row r="163" spans="2:12" ht="20.45" customHeight="1">
      <c r="B163" s="1627"/>
      <c r="C163" s="1587"/>
      <c r="D163" s="1587"/>
      <c r="E163" s="834">
        <f>+(E162-D162)/D162</f>
        <v>-1</v>
      </c>
      <c r="F163" s="834">
        <f>+(F162-D162)/D162</f>
        <v>0.4761904761904762</v>
      </c>
      <c r="G163" s="1610"/>
      <c r="H163" s="1591"/>
      <c r="I163" s="843"/>
      <c r="J163" s="843"/>
      <c r="K163" s="654"/>
      <c r="L163" s="654"/>
    </row>
    <row r="164" spans="2:12" s="731" customFormat="1" ht="20.25" customHeight="1" thickBot="1">
      <c r="B164" s="862"/>
      <c r="C164" s="863"/>
      <c r="D164" s="864"/>
      <c r="E164" s="858"/>
      <c r="F164" s="858"/>
      <c r="G164" s="1009">
        <f>SQRT(SUMSQ(G158:G163))</f>
        <v>287.929188700651</v>
      </c>
      <c r="H164" s="957"/>
      <c r="I164" s="845"/>
      <c r="J164" s="845"/>
      <c r="K164" s="860"/>
      <c r="L164" s="860"/>
    </row>
    <row r="165" spans="2:10" ht="15">
      <c r="B165" s="1633" t="s">
        <v>1190</v>
      </c>
      <c r="C165" s="1586">
        <f>'3C5 EMISIONES'!J27*310</f>
        <v>1765.010800956406</v>
      </c>
      <c r="D165" s="1628">
        <v>0.011</v>
      </c>
      <c r="E165" s="861">
        <v>0</v>
      </c>
      <c r="F165" s="861">
        <v>0.02</v>
      </c>
      <c r="G165" s="1588">
        <f>(ABS(E166)+F166)/2*100</f>
        <v>90.90909090909092</v>
      </c>
      <c r="H165" s="1590" t="s">
        <v>1307</v>
      </c>
      <c r="I165" s="843"/>
      <c r="J165" s="843"/>
    </row>
    <row r="166" spans="2:10" ht="15">
      <c r="B166" s="1627"/>
      <c r="C166" s="1587"/>
      <c r="D166" s="1587"/>
      <c r="E166" s="834">
        <f>+(E165-D165)/D165</f>
        <v>-1</v>
      </c>
      <c r="F166" s="834">
        <f>+(F165-D165)/D165</f>
        <v>0.8181818181818183</v>
      </c>
      <c r="G166" s="1589"/>
      <c r="H166" s="1591"/>
      <c r="I166" s="843"/>
      <c r="J166" s="843"/>
    </row>
    <row r="167" spans="2:10" ht="16.5" customHeight="1">
      <c r="B167" s="1626" t="s">
        <v>1187</v>
      </c>
      <c r="C167" s="1587"/>
      <c r="D167" s="1587">
        <v>0.24</v>
      </c>
      <c r="E167" s="826">
        <v>0.01</v>
      </c>
      <c r="F167" s="826">
        <v>0.73</v>
      </c>
      <c r="G167" s="1589">
        <f>(ABS(E168)+F168)/2*100</f>
        <v>150</v>
      </c>
      <c r="H167" s="1591"/>
      <c r="I167" s="843"/>
      <c r="J167" s="843"/>
    </row>
    <row r="168" spans="2:10" ht="20.25" customHeight="1">
      <c r="B168" s="1627"/>
      <c r="C168" s="1587"/>
      <c r="D168" s="1587"/>
      <c r="E168" s="834">
        <f>+(E167-D167)/D167</f>
        <v>-0.9583333333333333</v>
      </c>
      <c r="F168" s="834">
        <f>+(F167-D167)/D167</f>
        <v>2.0416666666666665</v>
      </c>
      <c r="G168" s="1589"/>
      <c r="H168" s="1591"/>
      <c r="I168" s="843"/>
      <c r="J168" s="843"/>
    </row>
    <row r="169" spans="2:8" ht="15.75" thickBot="1">
      <c r="B169" s="865"/>
      <c r="C169" s="863"/>
      <c r="D169" s="866"/>
      <c r="E169" s="866"/>
      <c r="F169" s="866"/>
      <c r="G169" s="1009">
        <f>SQRT(POWER(G165,2)+POWER(G167,2))</f>
        <v>175.39801255977034</v>
      </c>
      <c r="H169" s="987"/>
    </row>
    <row r="170" spans="8:9" ht="15">
      <c r="H170" s="586"/>
      <c r="I170" s="586"/>
    </row>
    <row r="171" spans="1:9" s="646" customFormat="1" ht="24">
      <c r="A171" s="648" t="s">
        <v>1186</v>
      </c>
      <c r="H171" s="1647"/>
      <c r="I171" s="1647"/>
    </row>
    <row r="172" ht="15.75" thickBot="1"/>
    <row r="173" spans="2:13" ht="15.75">
      <c r="B173" s="1565" t="s">
        <v>1169</v>
      </c>
      <c r="C173" s="1566"/>
      <c r="D173" s="1566"/>
      <c r="E173" s="1566"/>
      <c r="F173" s="1566"/>
      <c r="G173" s="1567"/>
      <c r="H173" s="748"/>
      <c r="I173" s="1563" t="s">
        <v>81</v>
      </c>
      <c r="J173" s="1561" t="s">
        <v>1168</v>
      </c>
      <c r="K173" s="1562"/>
      <c r="M173" s="643"/>
    </row>
    <row r="174" spans="2:13" ht="15.75">
      <c r="B174" s="872" t="s">
        <v>1152</v>
      </c>
      <c r="C174" s="949" t="s">
        <v>1294</v>
      </c>
      <c r="D174" s="950" t="s">
        <v>1211</v>
      </c>
      <c r="E174" s="950" t="s">
        <v>1292</v>
      </c>
      <c r="F174" s="949" t="s">
        <v>1148</v>
      </c>
      <c r="G174" s="951" t="s">
        <v>1147</v>
      </c>
      <c r="I174" s="1564"/>
      <c r="J174" s="642" t="s">
        <v>1167</v>
      </c>
      <c r="K174" s="842" t="s">
        <v>1166</v>
      </c>
      <c r="M174" s="643"/>
    </row>
    <row r="175" spans="2:16" ht="30.75" customHeight="1" thickBot="1">
      <c r="B175" s="867" t="s">
        <v>1183</v>
      </c>
      <c r="C175" s="830">
        <f>('3C6 EMISIONES'!H11+'3C6 EMISIONES'!H12+'3C6 EMISIONES'!H23+'3C6 EMISIONES'!H24+'3C6 EMISIONES'!H35+'3C6 EMISIONES'!H36+'3C6 EMISIONES'!H47+'3C6 EMISIONES'!H48+'3C6 EMISIONES'!H59+'3C6 EMISIONES'!H60)*310</f>
        <v>61.875021893150645</v>
      </c>
      <c r="D175" s="830">
        <v>-10</v>
      </c>
      <c r="E175" s="826">
        <v>10</v>
      </c>
      <c r="F175" s="830">
        <f>(ABS(D175)+E175)/2</f>
        <v>10</v>
      </c>
      <c r="G175" s="1580" t="s">
        <v>1293</v>
      </c>
      <c r="I175" s="853" t="s">
        <v>1295</v>
      </c>
      <c r="J175" s="847">
        <f>SQRT(POWER((C175*F175),2)+POWER((C176*F176),2)+POWER((C177*F177),2)+POWER((C178*F178),2)+POWER((C180*F180),2)+POWER((C181*F181),2))/(SUM(C175:C181))</f>
        <v>4.208866585177471</v>
      </c>
      <c r="K175" s="1010">
        <f>F186</f>
        <v>240</v>
      </c>
      <c r="N175" s="838"/>
      <c r="O175" s="839"/>
      <c r="P175" s="840"/>
    </row>
    <row r="176" spans="2:16" ht="18.75" customHeight="1">
      <c r="B176" s="868" t="s">
        <v>1182</v>
      </c>
      <c r="C176" s="830">
        <f>('3C6 EMISIONES'!H13+'3C6 EMISIONES'!H25+'3C6 EMISIONES'!H37+'3C6 EMISIONES'!H49+'3C6 EMISIONES'!H61)*310</f>
        <v>0</v>
      </c>
      <c r="D176" s="830">
        <v>-10</v>
      </c>
      <c r="E176" s="826">
        <v>10</v>
      </c>
      <c r="F176" s="830">
        <f aca="true" t="shared" si="12" ref="F176:F181">(ABS(D176)+E176)/2</f>
        <v>10</v>
      </c>
      <c r="G176" s="1581"/>
      <c r="N176" s="838"/>
      <c r="O176" s="839"/>
      <c r="P176" s="840"/>
    </row>
    <row r="177" spans="2:16" ht="18.75" customHeight="1">
      <c r="B177" s="868" t="s">
        <v>1181</v>
      </c>
      <c r="C177" s="830">
        <f>('3C6 EMISIONES'!H14+'3C6 EMISIONES'!H26+'3C6 EMISIONES'!H38+'3C6 EMISIONES'!H50+'3C6 EMISIONES'!H62)*310</f>
        <v>0</v>
      </c>
      <c r="D177" s="830">
        <v>-10</v>
      </c>
      <c r="E177" s="826">
        <v>10</v>
      </c>
      <c r="F177" s="830">
        <f t="shared" si="12"/>
        <v>10</v>
      </c>
      <c r="G177" s="1581"/>
      <c r="I177" s="870"/>
      <c r="N177" s="838"/>
      <c r="O177" s="839"/>
      <c r="P177" s="840"/>
    </row>
    <row r="178" spans="2:16" ht="18.75" customHeight="1">
      <c r="B178" s="868" t="s">
        <v>1180</v>
      </c>
      <c r="C178" s="830">
        <f>('3C6 EMISIONES'!H18+'3C6 EMISIONES'!H19+'3C6 EMISIONES'!H30+'3C6 EMISIONES'!H31+'3C6 EMISIONES'!H42+'3C6 EMISIONES'!H43+'3C6 EMISIONES'!H54+'3C6 EMISIONES'!H55+'3C6 EMISIONES'!H66+'3C6 EMISIONES'!H67)*310</f>
        <v>18.93458129540355</v>
      </c>
      <c r="D178" s="830">
        <v>-10</v>
      </c>
      <c r="E178" s="826">
        <v>10</v>
      </c>
      <c r="F178" s="830">
        <f t="shared" si="12"/>
        <v>10</v>
      </c>
      <c r="G178" s="1581"/>
      <c r="N178" s="838"/>
      <c r="O178" s="839"/>
      <c r="P178" s="840"/>
    </row>
    <row r="179" spans="2:16" ht="16.5" customHeight="1">
      <c r="B179" s="868" t="s">
        <v>1179</v>
      </c>
      <c r="C179" s="830">
        <f>('3C6 EMISIONES'!H15+'3C6 EMISIONES'!H16+'3C6 EMISIONES'!H27+'3C6 EMISIONES'!H28+'3C6 EMISIONES'!H39+'3C6 EMISIONES'!H40+'3C6 EMISIONES'!H51+'3C6 EMISIONES'!H52+'3C6 EMISIONES'!H63+'3C6 EMISIONES'!H64)*310</f>
        <v>0</v>
      </c>
      <c r="D179" s="830" t="s">
        <v>1175</v>
      </c>
      <c r="E179" s="830" t="s">
        <v>1175</v>
      </c>
      <c r="F179" s="830" t="s">
        <v>1175</v>
      </c>
      <c r="G179" s="1581"/>
      <c r="N179" s="838"/>
      <c r="O179" s="839"/>
      <c r="P179" s="840"/>
    </row>
    <row r="180" spans="2:16" ht="18" customHeight="1">
      <c r="B180" s="868" t="s">
        <v>1178</v>
      </c>
      <c r="C180" s="830">
        <f>('3C6 EMISIONES'!H17+'3C6 EMISIONES'!H29+'3C6 EMISIONES'!H41+'3C6 EMISIONES'!H53+'3C6 EMISIONES'!H65)*310</f>
        <v>10.96938629239068</v>
      </c>
      <c r="D180" s="830">
        <v>-10</v>
      </c>
      <c r="E180" s="826">
        <v>10</v>
      </c>
      <c r="F180" s="830">
        <f t="shared" si="12"/>
        <v>10</v>
      </c>
      <c r="G180" s="1581"/>
      <c r="N180" s="838"/>
      <c r="O180" s="839"/>
      <c r="P180" s="840"/>
    </row>
    <row r="181" spans="2:16" ht="16.5" customHeight="1">
      <c r="B181" s="867" t="s">
        <v>1176</v>
      </c>
      <c r="C181" s="830">
        <f>('3C6 EMISIONES'!H20+'3C6 EMISIONES'!H32+'3C6 EMISIONES'!H44+'3C6 EMISIONES'!H56+'3C6 EMISIONES'!H68)*310</f>
        <v>117.5232887857842</v>
      </c>
      <c r="D181" s="830">
        <v>-5</v>
      </c>
      <c r="E181" s="830">
        <v>5</v>
      </c>
      <c r="F181" s="830">
        <f t="shared" si="12"/>
        <v>5</v>
      </c>
      <c r="G181" s="1581"/>
      <c r="N181" s="838"/>
      <c r="O181" s="839"/>
      <c r="P181" s="840"/>
    </row>
    <row r="182" spans="2:16" ht="15" customHeight="1" thickBot="1">
      <c r="B182" s="869" t="s">
        <v>1177</v>
      </c>
      <c r="C182" s="852">
        <f>('3C6 EMISIONES'!H21+'3C6 EMISIONES'!H33+'3C6 EMISIONES'!H45+'3C6 EMISIONES'!H57+'3C6 EMISIONES'!H69)*310</f>
        <v>0</v>
      </c>
      <c r="D182" s="852" t="s">
        <v>1175</v>
      </c>
      <c r="E182" s="852" t="s">
        <v>1175</v>
      </c>
      <c r="F182" s="852" t="s">
        <v>1175</v>
      </c>
      <c r="G182" s="1582"/>
      <c r="N182" s="838"/>
      <c r="O182" s="839"/>
      <c r="P182" s="840"/>
    </row>
    <row r="183" spans="2:16" ht="15.75" thickBot="1">
      <c r="B183" s="848"/>
      <c r="J183" s="747"/>
      <c r="N183" s="726"/>
      <c r="O183" s="726"/>
      <c r="P183" s="841"/>
    </row>
    <row r="184" spans="2:16" ht="15.75">
      <c r="B184" s="1583" t="s">
        <v>1153</v>
      </c>
      <c r="C184" s="1584"/>
      <c r="D184" s="1584"/>
      <c r="E184" s="1584"/>
      <c r="F184" s="1584"/>
      <c r="G184" s="1585"/>
      <c r="I184" s="844"/>
      <c r="N184" s="726"/>
      <c r="O184" s="726"/>
      <c r="P184" s="726"/>
    </row>
    <row r="185" spans="2:16" ht="16.5" customHeight="1">
      <c r="B185" s="812" t="s">
        <v>1152</v>
      </c>
      <c r="C185" s="813" t="s">
        <v>1151</v>
      </c>
      <c r="D185" s="813" t="s">
        <v>1173</v>
      </c>
      <c r="E185" s="813" t="s">
        <v>1172</v>
      </c>
      <c r="F185" s="813" t="s">
        <v>1148</v>
      </c>
      <c r="G185" s="850" t="s">
        <v>1147</v>
      </c>
      <c r="I185" s="748"/>
      <c r="N185" s="726"/>
      <c r="O185" s="737"/>
      <c r="P185" s="737"/>
    </row>
    <row r="186" spans="2:16" ht="24" customHeight="1">
      <c r="B186" s="1626" t="s">
        <v>1171</v>
      </c>
      <c r="C186" s="1587">
        <v>0.01</v>
      </c>
      <c r="D186" s="981">
        <v>0.002</v>
      </c>
      <c r="E186" s="955">
        <v>0.05</v>
      </c>
      <c r="F186" s="1643">
        <f>((ABS(D187)+E187)/2)*100</f>
        <v>240</v>
      </c>
      <c r="G186" s="1591" t="s">
        <v>1317</v>
      </c>
      <c r="I186" s="750"/>
      <c r="N186" s="652"/>
      <c r="O186" s="636"/>
      <c r="P186" s="636"/>
    </row>
    <row r="187" spans="2:16" ht="15.75" thickBot="1">
      <c r="B187" s="1646"/>
      <c r="C187" s="1642"/>
      <c r="D187" s="982">
        <f>+(D186-C186)/C186</f>
        <v>-0.8</v>
      </c>
      <c r="E187" s="983">
        <f>+(E186-C186)/C186</f>
        <v>4</v>
      </c>
      <c r="F187" s="1644"/>
      <c r="G187" s="1617"/>
      <c r="I187" s="750"/>
      <c r="N187" s="651"/>
      <c r="O187" s="636"/>
      <c r="P187" s="636"/>
    </row>
    <row r="188" ht="15">
      <c r="J188" s="649"/>
    </row>
    <row r="189" spans="1:6" s="646" customFormat="1" ht="21">
      <c r="A189" s="648" t="s">
        <v>1170</v>
      </c>
      <c r="F189" s="647"/>
    </row>
    <row r="190" ht="15.75" thickBot="1">
      <c r="F190" s="645"/>
    </row>
    <row r="191" spans="2:10" ht="15.75">
      <c r="B191" s="1565" t="s">
        <v>1169</v>
      </c>
      <c r="C191" s="1566"/>
      <c r="D191" s="1566"/>
      <c r="E191" s="1566"/>
      <c r="F191" s="1567"/>
      <c r="G191" s="748"/>
      <c r="H191" s="1563" t="s">
        <v>81</v>
      </c>
      <c r="I191" s="1561" t="s">
        <v>1168</v>
      </c>
      <c r="J191" s="1562"/>
    </row>
    <row r="192" spans="2:10" ht="15.75">
      <c r="B192" s="891"/>
      <c r="C192" s="950" t="s">
        <v>1211</v>
      </c>
      <c r="D192" s="950" t="s">
        <v>1292</v>
      </c>
      <c r="E192" s="950" t="s">
        <v>1148</v>
      </c>
      <c r="F192" s="850" t="s">
        <v>1147</v>
      </c>
      <c r="H192" s="1564"/>
      <c r="I192" s="642" t="s">
        <v>1167</v>
      </c>
      <c r="J192" s="842" t="s">
        <v>1166</v>
      </c>
    </row>
    <row r="193" spans="2:10" ht="36.75" customHeight="1" thickBot="1">
      <c r="B193" s="961" t="s">
        <v>1262</v>
      </c>
      <c r="C193" s="852">
        <v>-10</v>
      </c>
      <c r="D193" s="858">
        <v>10</v>
      </c>
      <c r="E193" s="847">
        <f>(ABS(C193)+D193)/2</f>
        <v>10</v>
      </c>
      <c r="F193" s="859" t="s">
        <v>1293</v>
      </c>
      <c r="H193" s="1019" t="s">
        <v>1163</v>
      </c>
      <c r="I193" s="847">
        <f>E193</f>
        <v>10</v>
      </c>
      <c r="J193" s="1010">
        <f>+SQRT(POWER(I197,2)+POWER(I211,2)+POWER(I212,2))</f>
        <v>47.38869471578695</v>
      </c>
    </row>
    <row r="194" ht="12.75" customHeight="1" thickBot="1">
      <c r="M194" s="639"/>
    </row>
    <row r="195" spans="2:13" ht="15" customHeight="1">
      <c r="B195" s="1565" t="s">
        <v>1153</v>
      </c>
      <c r="C195" s="1566"/>
      <c r="D195" s="1566"/>
      <c r="E195" s="1566"/>
      <c r="F195" s="1566"/>
      <c r="G195" s="1566"/>
      <c r="H195" s="1566"/>
      <c r="I195" s="1566"/>
      <c r="J195" s="1567"/>
      <c r="K195" s="749"/>
      <c r="L195" s="749"/>
      <c r="M195" s="749"/>
    </row>
    <row r="196" spans="2:13" ht="15.75">
      <c r="B196" s="1648" t="s">
        <v>1152</v>
      </c>
      <c r="C196" s="1607"/>
      <c r="D196" s="1607"/>
      <c r="E196" s="813"/>
      <c r="F196" s="813" t="s">
        <v>1151</v>
      </c>
      <c r="G196" s="813" t="s">
        <v>1150</v>
      </c>
      <c r="H196" s="813" t="s">
        <v>1149</v>
      </c>
      <c r="I196" s="813" t="s">
        <v>1148</v>
      </c>
      <c r="J196" s="850" t="s">
        <v>1147</v>
      </c>
      <c r="K196" s="749"/>
      <c r="L196" s="749"/>
      <c r="M196" s="749"/>
    </row>
    <row r="197" spans="2:13" s="634" customFormat="1" ht="27.75" customHeight="1">
      <c r="B197" s="1649" t="s">
        <v>1146</v>
      </c>
      <c r="C197" s="1650"/>
      <c r="D197" s="1650"/>
      <c r="E197" s="1651"/>
      <c r="F197" s="1619">
        <v>1.27</v>
      </c>
      <c r="G197" s="826">
        <v>0.86</v>
      </c>
      <c r="H197" s="826">
        <v>1.88</v>
      </c>
      <c r="I197" s="1623">
        <f>((ABS(G198)+H198)/2)*100</f>
        <v>40.15748031496062</v>
      </c>
      <c r="J197" s="1580" t="s">
        <v>1308</v>
      </c>
      <c r="K197" s="751"/>
      <c r="L197" s="751"/>
      <c r="M197" s="751"/>
    </row>
    <row r="198" spans="2:13" ht="24" customHeight="1">
      <c r="B198" s="1652"/>
      <c r="C198" s="1653"/>
      <c r="D198" s="1653"/>
      <c r="E198" s="1654"/>
      <c r="F198" s="1619"/>
      <c r="G198" s="835">
        <f>+(G197-F197)/F197</f>
        <v>-0.3228346456692914</v>
      </c>
      <c r="H198" s="835">
        <f>+(H197-F197)/F197</f>
        <v>0.48031496062992113</v>
      </c>
      <c r="I198" s="1625"/>
      <c r="J198" s="1616"/>
      <c r="K198" s="749"/>
      <c r="L198" s="749"/>
      <c r="M198" s="749"/>
    </row>
    <row r="199" spans="2:13" ht="9.75" customHeight="1">
      <c r="B199" s="854"/>
      <c r="C199" s="816"/>
      <c r="D199" s="816"/>
      <c r="E199" s="816"/>
      <c r="F199" s="816"/>
      <c r="G199" s="817"/>
      <c r="H199" s="817"/>
      <c r="I199" s="823"/>
      <c r="J199" s="855"/>
      <c r="K199" s="749"/>
      <c r="L199" s="749"/>
      <c r="M199" s="749"/>
    </row>
    <row r="200" spans="2:13" ht="14.45" customHeight="1">
      <c r="B200" s="1639" t="s">
        <v>1161</v>
      </c>
      <c r="C200" s="1640"/>
      <c r="D200" s="1640"/>
      <c r="E200" s="813" t="s">
        <v>1294</v>
      </c>
      <c r="F200" s="822"/>
      <c r="G200" s="822"/>
      <c r="H200" s="822"/>
      <c r="I200" s="822"/>
      <c r="J200" s="856"/>
      <c r="K200" s="752"/>
      <c r="L200" s="753"/>
      <c r="M200" s="749"/>
    </row>
    <row r="201" spans="2:13" ht="15">
      <c r="B201" s="1641" t="s">
        <v>1158</v>
      </c>
      <c r="C201" s="1645" t="s">
        <v>1160</v>
      </c>
      <c r="D201" s="1619" t="s">
        <v>1159</v>
      </c>
      <c r="E201" s="1618">
        <f>'3C7 EMISIONES'!E34*21</f>
        <v>242.26077157502868</v>
      </c>
      <c r="F201" s="1619">
        <v>0.71</v>
      </c>
      <c r="G201" s="825">
        <v>0.53</v>
      </c>
      <c r="H201" s="825">
        <v>0.94</v>
      </c>
      <c r="I201" s="1621">
        <f>(ABS(G202)+H202)/2*100</f>
        <v>28.873239436619713</v>
      </c>
      <c r="J201" s="1580" t="s">
        <v>1309</v>
      </c>
      <c r="K201" s="749"/>
      <c r="L201" s="749"/>
      <c r="M201" s="749"/>
    </row>
    <row r="202" spans="2:13" ht="15">
      <c r="B202" s="1641"/>
      <c r="C202" s="1645"/>
      <c r="D202" s="1619"/>
      <c r="E202" s="1618"/>
      <c r="F202" s="1619"/>
      <c r="G202" s="833">
        <f>+(G201-F201)/F201</f>
        <v>-0.2535211267605633</v>
      </c>
      <c r="H202" s="833">
        <f>+(H201-F201)/F201</f>
        <v>0.323943661971831</v>
      </c>
      <c r="I202" s="1622"/>
      <c r="J202" s="1581"/>
      <c r="K202" s="749"/>
      <c r="L202" s="749"/>
      <c r="M202" s="749"/>
    </row>
    <row r="203" spans="2:13" ht="15">
      <c r="B203" s="1641"/>
      <c r="C203" s="1645"/>
      <c r="D203" s="1619" t="s">
        <v>1157</v>
      </c>
      <c r="E203" s="1618">
        <f>'3C7 EMISIONES'!E35*21</f>
        <v>816.399843222043</v>
      </c>
      <c r="F203" s="1619">
        <v>0.55</v>
      </c>
      <c r="G203" s="825">
        <v>0.41</v>
      </c>
      <c r="H203" s="825">
        <v>0.72</v>
      </c>
      <c r="I203" s="1621">
        <f>(ABS(G204)+H204)/2*100</f>
        <v>28.181818181818173</v>
      </c>
      <c r="J203" s="1581"/>
      <c r="K203" s="749"/>
      <c r="L203" s="749"/>
      <c r="M203" s="749"/>
    </row>
    <row r="204" spans="2:13" ht="15">
      <c r="B204" s="1641"/>
      <c r="C204" s="1645"/>
      <c r="D204" s="1619"/>
      <c r="E204" s="1618"/>
      <c r="F204" s="1619"/>
      <c r="G204" s="833">
        <f>+(G203-F203)/F203</f>
        <v>-0.25454545454545463</v>
      </c>
      <c r="H204" s="833">
        <f>+(H203-F203)/F203</f>
        <v>0.3090909090909089</v>
      </c>
      <c r="I204" s="1622"/>
      <c r="J204" s="1581"/>
      <c r="K204" s="749"/>
      <c r="L204" s="749"/>
      <c r="M204" s="749"/>
    </row>
    <row r="205" spans="2:13" ht="15">
      <c r="B205" s="1641" t="s">
        <v>458</v>
      </c>
      <c r="C205" s="1619" t="s">
        <v>1156</v>
      </c>
      <c r="D205" s="1619"/>
      <c r="E205" s="1618">
        <f>'3C7 EMISIONES'!E37*21</f>
        <v>14.173436256827248</v>
      </c>
      <c r="F205" s="1619">
        <v>0.54</v>
      </c>
      <c r="G205" s="825">
        <v>0.39</v>
      </c>
      <c r="H205" s="825">
        <v>0.74</v>
      </c>
      <c r="I205" s="1621">
        <f>(ABS(G206)+H206)/2*100</f>
        <v>32.407407407407405</v>
      </c>
      <c r="J205" s="1581"/>
      <c r="K205" s="749"/>
      <c r="L205" s="749"/>
      <c r="M205" s="749"/>
    </row>
    <row r="206" spans="2:13" ht="15">
      <c r="B206" s="1641"/>
      <c r="C206" s="1619"/>
      <c r="D206" s="1619"/>
      <c r="E206" s="1618"/>
      <c r="F206" s="1619"/>
      <c r="G206" s="833">
        <f>+(G205-F205)/F205</f>
        <v>-0.2777777777777778</v>
      </c>
      <c r="H206" s="833">
        <f>+(H205-F205)/F205</f>
        <v>0.37037037037037024</v>
      </c>
      <c r="I206" s="1622"/>
      <c r="J206" s="1581"/>
      <c r="K206" s="749"/>
      <c r="L206" s="749"/>
      <c r="M206" s="749"/>
    </row>
    <row r="207" spans="2:13" ht="15">
      <c r="B207" s="1641"/>
      <c r="C207" s="1619" t="s">
        <v>1155</v>
      </c>
      <c r="D207" s="1619"/>
      <c r="E207" s="1618">
        <f>'3C7 EMISIONES'!E38*21</f>
        <v>4.1995366686895546</v>
      </c>
      <c r="F207" s="1619">
        <v>0.16</v>
      </c>
      <c r="G207" s="825">
        <v>0.11</v>
      </c>
      <c r="H207" s="825">
        <v>0.24</v>
      </c>
      <c r="I207" s="1621">
        <f>(ABS(G208)+H208)/2*100</f>
        <v>40.62499999999999</v>
      </c>
      <c r="J207" s="1581"/>
      <c r="K207" s="749"/>
      <c r="L207" s="749"/>
      <c r="M207" s="749"/>
    </row>
    <row r="208" spans="2:10" s="634" customFormat="1" ht="15">
      <c r="B208" s="1641"/>
      <c r="C208" s="1619"/>
      <c r="D208" s="1619"/>
      <c r="E208" s="1618"/>
      <c r="F208" s="1619"/>
      <c r="G208" s="836">
        <f>+(G207-F207)/F207</f>
        <v>-0.3125</v>
      </c>
      <c r="H208" s="837">
        <f>+(H207-F207)/F207</f>
        <v>0.4999999999999999</v>
      </c>
      <c r="I208" s="1622"/>
      <c r="J208" s="1581"/>
    </row>
    <row r="209" spans="2:10" ht="15.6" customHeight="1">
      <c r="B209" s="1641"/>
      <c r="C209" s="1619" t="s">
        <v>427</v>
      </c>
      <c r="D209" s="1619"/>
      <c r="E209" s="1618">
        <f>'3C7 EMISIONES'!E39*21</f>
        <v>7.874131253792913</v>
      </c>
      <c r="F209" s="1619">
        <v>0.06</v>
      </c>
      <c r="G209" s="827">
        <v>0.03</v>
      </c>
      <c r="H209" s="828">
        <v>0.12</v>
      </c>
      <c r="I209" s="1621">
        <f>(ABS(G210)+H210)/2*100</f>
        <v>75</v>
      </c>
      <c r="J209" s="1581"/>
    </row>
    <row r="210" spans="2:10" ht="15.6" customHeight="1">
      <c r="B210" s="1641"/>
      <c r="C210" s="1619"/>
      <c r="D210" s="1619"/>
      <c r="E210" s="1618"/>
      <c r="F210" s="1619"/>
      <c r="G210" s="836">
        <f>+(G209-F209)/F209</f>
        <v>-0.5</v>
      </c>
      <c r="H210" s="837">
        <f>+(H209-F209)/F209</f>
        <v>1</v>
      </c>
      <c r="I210" s="1622"/>
      <c r="J210" s="1616"/>
    </row>
    <row r="211" spans="2:10" ht="15.6" customHeight="1">
      <c r="B211" s="851"/>
      <c r="C211" s="816"/>
      <c r="D211" s="816"/>
      <c r="E211" s="818"/>
      <c r="F211" s="816"/>
      <c r="G211" s="640"/>
      <c r="H211" s="814"/>
      <c r="I211" s="1020">
        <f>SQRT(POWER((E201*I201),2)+POWER((E203*I203),2)+POWER((E205*I205),2)+POWER((E207*I207),2)+POWER((E209*I209),2))/(SUM(E201:E210))</f>
        <v>22.176701546379007</v>
      </c>
      <c r="J211" s="811"/>
    </row>
    <row r="212" spans="2:10" ht="31.5" customHeight="1">
      <c r="B212" s="1663" t="s">
        <v>1154</v>
      </c>
      <c r="C212" s="1664"/>
      <c r="D212" s="1664"/>
      <c r="E212" s="1619"/>
      <c r="F212" s="1619">
        <v>1.22</v>
      </c>
      <c r="G212" s="829">
        <v>1.08</v>
      </c>
      <c r="H212" s="829">
        <v>1.37</v>
      </c>
      <c r="I212" s="1623">
        <f>(ABS(G213)+H213)/2*100</f>
        <v>11.885245901639346</v>
      </c>
      <c r="J212" s="1580" t="s">
        <v>1310</v>
      </c>
    </row>
    <row r="213" spans="2:10" ht="27" customHeight="1" thickBot="1">
      <c r="B213" s="1665"/>
      <c r="C213" s="1666"/>
      <c r="D213" s="1666"/>
      <c r="E213" s="1620"/>
      <c r="F213" s="1620"/>
      <c r="G213" s="857">
        <f>+(G212-F212)/F212</f>
        <v>-0.11475409836065566</v>
      </c>
      <c r="H213" s="857">
        <f>+(H212-F212)/F212</f>
        <v>0.12295081967213126</v>
      </c>
      <c r="I213" s="1624"/>
      <c r="J213" s="1582"/>
    </row>
    <row r="214" ht="14.45" customHeight="1"/>
    <row r="215" ht="14.45" customHeight="1">
      <c r="I215" s="824"/>
    </row>
    <row r="216" ht="14.45" customHeight="1"/>
    <row r="217" ht="14.45" customHeight="1"/>
    <row r="218" ht="14.45" customHeight="1"/>
    <row r="219" ht="14.45" customHeight="1"/>
  </sheetData>
  <mergeCells count="136">
    <mergeCell ref="F212:F213"/>
    <mergeCell ref="C209:D210"/>
    <mergeCell ref="B205:B210"/>
    <mergeCell ref="F201:F202"/>
    <mergeCell ref="F203:F204"/>
    <mergeCell ref="F205:F206"/>
    <mergeCell ref="F207:F208"/>
    <mergeCell ref="F209:F210"/>
    <mergeCell ref="B212:D213"/>
    <mergeCell ref="C207:D208"/>
    <mergeCell ref="C205:D206"/>
    <mergeCell ref="D167:D168"/>
    <mergeCell ref="H171:I171"/>
    <mergeCell ref="C86:C87"/>
    <mergeCell ref="F86:F87"/>
    <mergeCell ref="B196:D196"/>
    <mergeCell ref="B197:E198"/>
    <mergeCell ref="B80:B81"/>
    <mergeCell ref="C85:E85"/>
    <mergeCell ref="G129:G130"/>
    <mergeCell ref="G131:G132"/>
    <mergeCell ref="D127:D128"/>
    <mergeCell ref="D129:D130"/>
    <mergeCell ref="D131:D132"/>
    <mergeCell ref="B129:B130"/>
    <mergeCell ref="B131:B132"/>
    <mergeCell ref="C125:C126"/>
    <mergeCell ref="C127:C128"/>
    <mergeCell ref="C129:C130"/>
    <mergeCell ref="C131:C132"/>
    <mergeCell ref="D125:D126"/>
    <mergeCell ref="B200:D200"/>
    <mergeCell ref="B201:B204"/>
    <mergeCell ref="F197:F198"/>
    <mergeCell ref="C186:C187"/>
    <mergeCell ref="F186:F187"/>
    <mergeCell ref="C201:C204"/>
    <mergeCell ref="D201:D202"/>
    <mergeCell ref="D203:D204"/>
    <mergeCell ref="B186:B187"/>
    <mergeCell ref="B51:F51"/>
    <mergeCell ref="G162:G163"/>
    <mergeCell ref="H158:H159"/>
    <mergeCell ref="H160:H163"/>
    <mergeCell ref="H51:H52"/>
    <mergeCell ref="I51:K51"/>
    <mergeCell ref="C97:D97"/>
    <mergeCell ref="B6:F6"/>
    <mergeCell ref="J197:J198"/>
    <mergeCell ref="F80:F81"/>
    <mergeCell ref="B86:B87"/>
    <mergeCell ref="D160:D161"/>
    <mergeCell ref="B158:B159"/>
    <mergeCell ref="B165:B166"/>
    <mergeCell ref="G33:G38"/>
    <mergeCell ref="G42:G45"/>
    <mergeCell ref="B136:G136"/>
    <mergeCell ref="D158:D159"/>
    <mergeCell ref="D162:D163"/>
    <mergeCell ref="C48:H48"/>
    <mergeCell ref="B162:B163"/>
    <mergeCell ref="G149:G154"/>
    <mergeCell ref="B125:B126"/>
    <mergeCell ref="B127:B128"/>
    <mergeCell ref="J212:J213"/>
    <mergeCell ref="J201:J210"/>
    <mergeCell ref="C158:C163"/>
    <mergeCell ref="G186:G187"/>
    <mergeCell ref="B184:G184"/>
    <mergeCell ref="B195:J195"/>
    <mergeCell ref="E201:E202"/>
    <mergeCell ref="E203:E204"/>
    <mergeCell ref="E205:E206"/>
    <mergeCell ref="E207:E208"/>
    <mergeCell ref="E209:E210"/>
    <mergeCell ref="E212:E213"/>
    <mergeCell ref="I201:I202"/>
    <mergeCell ref="I203:I204"/>
    <mergeCell ref="I205:I206"/>
    <mergeCell ref="I207:I208"/>
    <mergeCell ref="I209:I210"/>
    <mergeCell ref="I212:I213"/>
    <mergeCell ref="I197:I198"/>
    <mergeCell ref="B160:B161"/>
    <mergeCell ref="G165:G166"/>
    <mergeCell ref="G167:G168"/>
    <mergeCell ref="B167:B168"/>
    <mergeCell ref="D165:D166"/>
    <mergeCell ref="I72:K72"/>
    <mergeCell ref="H7:H8"/>
    <mergeCell ref="I7:J7"/>
    <mergeCell ref="H102:H103"/>
    <mergeCell ref="I102:J102"/>
    <mergeCell ref="B95:F95"/>
    <mergeCell ref="B17:G17"/>
    <mergeCell ref="B72:F72"/>
    <mergeCell ref="E103:E104"/>
    <mergeCell ref="F103:F104"/>
    <mergeCell ref="B103:B104"/>
    <mergeCell ref="I64:J68"/>
    <mergeCell ref="F53:F60"/>
    <mergeCell ref="C80:C81"/>
    <mergeCell ref="C79:E79"/>
    <mergeCell ref="B62:F62"/>
    <mergeCell ref="B66:F66"/>
    <mergeCell ref="B77:G77"/>
    <mergeCell ref="B83:G83"/>
    <mergeCell ref="G80:G81"/>
    <mergeCell ref="G86:G87"/>
    <mergeCell ref="H72:H73"/>
    <mergeCell ref="G21:G24"/>
    <mergeCell ref="F8:F14"/>
    <mergeCell ref="J136:K136"/>
    <mergeCell ref="I136:I137"/>
    <mergeCell ref="J173:K173"/>
    <mergeCell ref="I173:I174"/>
    <mergeCell ref="B191:F191"/>
    <mergeCell ref="H191:H192"/>
    <mergeCell ref="I191:J191"/>
    <mergeCell ref="B91:D91"/>
    <mergeCell ref="E92:E93"/>
    <mergeCell ref="G91:G92"/>
    <mergeCell ref="H91:I91"/>
    <mergeCell ref="G140:G147"/>
    <mergeCell ref="G125:G126"/>
    <mergeCell ref="G127:G128"/>
    <mergeCell ref="F105:F121"/>
    <mergeCell ref="H125:H132"/>
    <mergeCell ref="B123:H123"/>
    <mergeCell ref="G175:G182"/>
    <mergeCell ref="B173:G173"/>
    <mergeCell ref="B156:H156"/>
    <mergeCell ref="C165:C168"/>
    <mergeCell ref="G158:G159"/>
    <mergeCell ref="G160:G161"/>
    <mergeCell ref="H165:H16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EC3E6"/>
  </sheetPr>
  <dimension ref="A1:AA77"/>
  <sheetViews>
    <sheetView workbookViewId="0" topLeftCell="A61">
      <selection activeCell="D75" sqref="D75"/>
    </sheetView>
  </sheetViews>
  <sheetFormatPr defaultColWidth="11.421875" defaultRowHeight="15"/>
  <cols>
    <col min="1" max="1" width="12.421875" style="131" bestFit="1" customWidth="1"/>
    <col min="2" max="2" width="26.7109375" style="131" customWidth="1"/>
    <col min="3" max="3" width="32.140625" style="131" customWidth="1"/>
    <col min="4" max="4" width="12.421875" style="131" customWidth="1"/>
    <col min="5" max="27" width="11.421875" style="131" customWidth="1"/>
    <col min="28" max="16384" width="11.421875" style="5" customWidth="1"/>
  </cols>
  <sheetData>
    <row r="1" spans="1:27" ht="15">
      <c r="A1" s="102" t="s">
        <v>79</v>
      </c>
      <c r="B1" s="1183">
        <v>1</v>
      </c>
      <c r="C1" s="1178"/>
      <c r="D1" s="1179"/>
      <c r="E1" s="103"/>
      <c r="F1" s="6"/>
      <c r="G1" s="507" t="s">
        <v>989</v>
      </c>
      <c r="H1" s="6"/>
      <c r="I1" s="6"/>
      <c r="J1" s="6"/>
      <c r="K1" s="6"/>
      <c r="L1" s="103"/>
      <c r="M1" s="103"/>
      <c r="N1" s="103"/>
      <c r="O1" s="103"/>
      <c r="P1" s="103"/>
      <c r="Q1" s="103"/>
      <c r="R1" s="103"/>
      <c r="S1" s="103"/>
      <c r="T1" s="103"/>
      <c r="U1" s="103"/>
      <c r="V1" s="103"/>
      <c r="W1" s="103"/>
      <c r="X1" s="103"/>
      <c r="Y1" s="103"/>
      <c r="Z1" s="103"/>
      <c r="AA1" s="103"/>
    </row>
    <row r="2" spans="1:27" ht="27" customHeight="1">
      <c r="A2" s="104" t="s">
        <v>80</v>
      </c>
      <c r="B2" s="1187" t="s">
        <v>1051</v>
      </c>
      <c r="C2" s="1188"/>
      <c r="D2" s="1189"/>
      <c r="E2" s="103"/>
      <c r="F2" s="6"/>
      <c r="G2" s="6"/>
      <c r="H2" s="6"/>
      <c r="I2" s="6"/>
      <c r="J2" s="6"/>
      <c r="K2" s="6"/>
      <c r="L2" s="103"/>
      <c r="M2" s="103"/>
      <c r="N2" s="103"/>
      <c r="O2" s="103"/>
      <c r="P2" s="103"/>
      <c r="Q2" s="103"/>
      <c r="R2" s="103"/>
      <c r="S2" s="103"/>
      <c r="T2" s="103"/>
      <c r="U2" s="103"/>
      <c r="V2" s="103"/>
      <c r="W2" s="103"/>
      <c r="X2" s="103"/>
      <c r="Y2" s="103"/>
      <c r="Z2" s="103"/>
      <c r="AA2" s="103"/>
    </row>
    <row r="3" spans="1:27" ht="15">
      <c r="A3" s="104" t="s">
        <v>81</v>
      </c>
      <c r="B3" s="1180" t="s">
        <v>568</v>
      </c>
      <c r="C3" s="1181"/>
      <c r="D3" s="1182"/>
      <c r="E3" s="103"/>
      <c r="F3" s="6"/>
      <c r="G3" s="6"/>
      <c r="H3" s="6"/>
      <c r="I3" s="6"/>
      <c r="J3" s="6"/>
      <c r="K3" s="6"/>
      <c r="L3" s="103"/>
      <c r="M3" s="103"/>
      <c r="N3" s="103"/>
      <c r="O3" s="103"/>
      <c r="P3" s="103"/>
      <c r="Q3" s="103"/>
      <c r="R3" s="103"/>
      <c r="S3" s="103"/>
      <c r="T3" s="103"/>
      <c r="U3" s="103"/>
      <c r="V3" s="103"/>
      <c r="W3" s="103"/>
      <c r="X3" s="103"/>
      <c r="Y3" s="103"/>
      <c r="Z3" s="103"/>
      <c r="AA3" s="103"/>
    </row>
    <row r="4" spans="1:27" ht="25.5">
      <c r="A4" s="104" t="s">
        <v>82</v>
      </c>
      <c r="B4" s="1190" t="s">
        <v>567</v>
      </c>
      <c r="C4" s="1191"/>
      <c r="D4" s="1192"/>
      <c r="E4" s="103"/>
      <c r="F4" s="6"/>
      <c r="G4" s="6"/>
      <c r="H4" s="6"/>
      <c r="I4" s="6"/>
      <c r="J4" s="6"/>
      <c r="K4" s="6"/>
      <c r="L4" s="103"/>
      <c r="M4" s="103"/>
      <c r="N4" s="103"/>
      <c r="O4" s="103"/>
      <c r="P4" s="103"/>
      <c r="Q4" s="103"/>
      <c r="R4" s="103"/>
      <c r="S4" s="103"/>
      <c r="T4" s="103"/>
      <c r="U4" s="103"/>
      <c r="V4" s="103"/>
      <c r="W4" s="103"/>
      <c r="X4" s="103"/>
      <c r="Y4" s="103"/>
      <c r="Z4" s="103"/>
      <c r="AA4" s="103"/>
    </row>
    <row r="5" spans="1:27" ht="25.5">
      <c r="A5" s="104" t="s">
        <v>83</v>
      </c>
      <c r="B5" s="1174">
        <v>44056</v>
      </c>
      <c r="C5" s="1175"/>
      <c r="D5" s="1176"/>
      <c r="E5" s="103"/>
      <c r="F5" s="103"/>
      <c r="G5" s="103"/>
      <c r="H5" s="103"/>
      <c r="I5" s="103"/>
      <c r="J5" s="103"/>
      <c r="K5" s="103"/>
      <c r="L5" s="103"/>
      <c r="M5" s="103"/>
      <c r="N5" s="103"/>
      <c r="O5" s="103"/>
      <c r="P5" s="103"/>
      <c r="Q5" s="103"/>
      <c r="R5" s="103"/>
      <c r="S5" s="103"/>
      <c r="T5" s="103"/>
      <c r="U5" s="103"/>
      <c r="V5" s="103"/>
      <c r="W5" s="103"/>
      <c r="X5" s="103"/>
      <c r="Y5" s="103"/>
      <c r="Z5" s="103"/>
      <c r="AA5" s="103"/>
    </row>
    <row r="6" spans="1:27" ht="24.75" customHeight="1">
      <c r="A6" s="104" t="s">
        <v>84</v>
      </c>
      <c r="B6" s="1177" t="s">
        <v>1046</v>
      </c>
      <c r="C6" s="1178"/>
      <c r="D6" s="1179"/>
      <c r="E6" s="103"/>
      <c r="F6" s="103"/>
      <c r="G6" s="103"/>
      <c r="H6" s="103"/>
      <c r="I6" s="103"/>
      <c r="J6" s="103"/>
      <c r="K6" s="103"/>
      <c r="L6" s="103"/>
      <c r="M6" s="103"/>
      <c r="N6" s="103"/>
      <c r="O6" s="103"/>
      <c r="P6" s="103"/>
      <c r="Q6" s="103"/>
      <c r="R6" s="103"/>
      <c r="S6" s="103"/>
      <c r="T6" s="103"/>
      <c r="U6" s="103"/>
      <c r="V6" s="103"/>
      <c r="W6" s="103"/>
      <c r="X6" s="103"/>
      <c r="Y6" s="103"/>
      <c r="Z6" s="103"/>
      <c r="AA6" s="103"/>
    </row>
    <row r="7" spans="1:27" ht="15">
      <c r="A7" s="132"/>
      <c r="B7" s="133" t="s">
        <v>1059</v>
      </c>
      <c r="C7" s="133" t="s">
        <v>303</v>
      </c>
      <c r="D7" s="133" t="s">
        <v>310</v>
      </c>
      <c r="E7" s="133" t="s">
        <v>1032</v>
      </c>
      <c r="F7" s="133" t="s">
        <v>1033</v>
      </c>
      <c r="G7" s="103"/>
      <c r="H7" s="103"/>
      <c r="I7" s="103"/>
      <c r="J7" s="103"/>
      <c r="K7" s="103"/>
      <c r="L7" s="103"/>
      <c r="M7" s="103"/>
      <c r="N7" s="103"/>
      <c r="O7" s="103"/>
      <c r="P7" s="103"/>
      <c r="Q7" s="103"/>
      <c r="R7" s="103"/>
      <c r="S7" s="103"/>
      <c r="T7" s="103"/>
      <c r="U7" s="103"/>
      <c r="V7" s="103"/>
      <c r="W7" s="103"/>
      <c r="X7" s="103"/>
      <c r="Y7" s="103"/>
      <c r="Z7" s="103"/>
      <c r="AA7" s="103"/>
    </row>
    <row r="8" spans="1:27" ht="15">
      <c r="A8" s="134" t="s">
        <v>167</v>
      </c>
      <c r="B8" s="134">
        <f>SUM(B9:B32)</f>
        <v>87697</v>
      </c>
      <c r="C8" s="134">
        <f>SUM(C9:C32)</f>
        <v>419564</v>
      </c>
      <c r="D8" s="134">
        <f>SUM(D9:D32)</f>
        <v>18099</v>
      </c>
      <c r="E8" s="134">
        <f>SUM(E9:E32)</f>
        <v>27945.818</v>
      </c>
      <c r="F8" s="134">
        <f>SUM(F9:F32)</f>
        <v>22091.99</v>
      </c>
      <c r="G8" s="103"/>
      <c r="H8" s="103"/>
      <c r="I8" s="103"/>
      <c r="J8" s="103"/>
      <c r="K8" s="103"/>
      <c r="L8" s="103"/>
      <c r="M8" s="103"/>
      <c r="N8" s="103"/>
      <c r="O8" s="103"/>
      <c r="P8" s="103"/>
      <c r="Q8" s="103"/>
      <c r="R8" s="103"/>
      <c r="S8" s="103"/>
      <c r="T8" s="103"/>
      <c r="U8" s="103"/>
      <c r="V8" s="103"/>
      <c r="W8" s="103"/>
      <c r="X8" s="103"/>
      <c r="Y8" s="103"/>
      <c r="Z8" s="103"/>
      <c r="AA8" s="103"/>
    </row>
    <row r="9" spans="1:27" ht="15">
      <c r="A9" s="135" t="s">
        <v>49</v>
      </c>
      <c r="B9" s="109">
        <f>'3C4_3C5 INFO BASE'!B21</f>
        <v>0</v>
      </c>
      <c r="C9" s="109">
        <f>'3C4_3C5 INFO BASE'!D21</f>
        <v>41567</v>
      </c>
      <c r="D9" s="109">
        <f>'3C4_3C5 INFO BASE'!L21</f>
        <v>0</v>
      </c>
      <c r="E9" s="109">
        <v>0</v>
      </c>
      <c r="F9" s="109">
        <v>228</v>
      </c>
      <c r="G9" s="103"/>
      <c r="H9" s="103"/>
      <c r="I9" s="103"/>
      <c r="J9" s="103"/>
      <c r="K9" s="103"/>
      <c r="L9" s="103"/>
      <c r="M9" s="103"/>
      <c r="N9" s="103"/>
      <c r="O9" s="103"/>
      <c r="P9" s="103"/>
      <c r="Q9" s="103"/>
      <c r="R9" s="103"/>
      <c r="S9" s="103"/>
      <c r="T9" s="103"/>
      <c r="U9" s="103"/>
      <c r="V9" s="103"/>
      <c r="W9" s="103"/>
      <c r="X9" s="103"/>
      <c r="Y9" s="103"/>
      <c r="Z9" s="103"/>
      <c r="AA9" s="103"/>
    </row>
    <row r="10" spans="1:27" ht="15">
      <c r="A10" s="135" t="s">
        <v>321</v>
      </c>
      <c r="B10" s="109">
        <f>'3C4_3C5 INFO BASE'!B22</f>
        <v>7267</v>
      </c>
      <c r="C10" s="109">
        <f>'3C4_3C5 INFO BASE'!D22</f>
        <v>6795</v>
      </c>
      <c r="D10" s="109">
        <f>'3C4_3C5 INFO BASE'!L22</f>
        <v>518</v>
      </c>
      <c r="E10" s="109">
        <v>367</v>
      </c>
      <c r="F10" s="109">
        <v>915</v>
      </c>
      <c r="G10" s="103"/>
      <c r="H10" s="103"/>
      <c r="I10" s="103"/>
      <c r="J10" s="103"/>
      <c r="K10" s="103"/>
      <c r="L10" s="103"/>
      <c r="M10" s="103"/>
      <c r="N10" s="103"/>
      <c r="O10" s="103"/>
      <c r="P10" s="103"/>
      <c r="Q10" s="103"/>
      <c r="R10" s="103"/>
      <c r="S10" s="103"/>
      <c r="T10" s="103"/>
      <c r="U10" s="103"/>
      <c r="V10" s="103"/>
      <c r="W10" s="103"/>
      <c r="X10" s="103"/>
      <c r="Y10" s="103"/>
      <c r="Z10" s="103"/>
      <c r="AA10" s="103"/>
    </row>
    <row r="11" spans="1:27" ht="15">
      <c r="A11" s="135" t="s">
        <v>50</v>
      </c>
      <c r="B11" s="109">
        <f>'3C4_3C5 INFO BASE'!B23</f>
        <v>0</v>
      </c>
      <c r="C11" s="109">
        <f>'3C4_3C5 INFO BASE'!D23</f>
        <v>0</v>
      </c>
      <c r="D11" s="109">
        <f>'3C4_3C5 INFO BASE'!L23</f>
        <v>0</v>
      </c>
      <c r="E11" s="109">
        <v>0</v>
      </c>
      <c r="F11" s="109">
        <v>45</v>
      </c>
      <c r="G11" s="103"/>
      <c r="H11" s="103"/>
      <c r="I11" s="103"/>
      <c r="J11" s="103"/>
      <c r="K11" s="103"/>
      <c r="L11" s="103"/>
      <c r="M11" s="103"/>
      <c r="N11" s="103"/>
      <c r="O11" s="103"/>
      <c r="P11" s="103"/>
      <c r="Q11" s="103"/>
      <c r="R11" s="103"/>
      <c r="S11" s="103"/>
      <c r="T11" s="103"/>
      <c r="U11" s="103"/>
      <c r="V11" s="103"/>
      <c r="W11" s="103"/>
      <c r="X11" s="103"/>
      <c r="Y11" s="103"/>
      <c r="Z11" s="103"/>
      <c r="AA11" s="103"/>
    </row>
    <row r="12" spans="1:27" ht="15">
      <c r="A12" s="135" t="s">
        <v>51</v>
      </c>
      <c r="B12" s="109">
        <f>'3C4_3C5 INFO BASE'!B24</f>
        <v>501</v>
      </c>
      <c r="C12" s="109">
        <f>'3C4_3C5 INFO BASE'!D24</f>
        <v>19939</v>
      </c>
      <c r="D12" s="109">
        <f>'3C4_3C5 INFO BASE'!L24</f>
        <v>107</v>
      </c>
      <c r="E12" s="109">
        <v>1205</v>
      </c>
      <c r="F12" s="109">
        <v>12</v>
      </c>
      <c r="G12" s="103"/>
      <c r="H12" s="103"/>
      <c r="I12" s="103"/>
      <c r="J12" s="103"/>
      <c r="K12" s="103"/>
      <c r="L12" s="103"/>
      <c r="M12" s="103"/>
      <c r="N12" s="103"/>
      <c r="O12" s="103"/>
      <c r="P12" s="103"/>
      <c r="Q12" s="103"/>
      <c r="R12" s="103"/>
      <c r="S12" s="103"/>
      <c r="T12" s="103"/>
      <c r="U12" s="103"/>
      <c r="V12" s="103"/>
      <c r="W12" s="103"/>
      <c r="X12" s="103"/>
      <c r="Y12" s="103"/>
      <c r="Z12" s="103"/>
      <c r="AA12" s="103"/>
    </row>
    <row r="13" spans="1:27" ht="15">
      <c r="A13" s="135" t="s">
        <v>52</v>
      </c>
      <c r="B13" s="109">
        <f>'3C4_3C5 INFO BASE'!B25</f>
        <v>0</v>
      </c>
      <c r="C13" s="109">
        <f>'3C4_3C5 INFO BASE'!D25</f>
        <v>80</v>
      </c>
      <c r="D13" s="109">
        <f>'3C4_3C5 INFO BASE'!L25</f>
        <v>0</v>
      </c>
      <c r="E13" s="109">
        <v>15</v>
      </c>
      <c r="F13" s="109">
        <v>68</v>
      </c>
      <c r="G13" s="103"/>
      <c r="H13" s="103"/>
      <c r="I13" s="103"/>
      <c r="J13" s="103"/>
      <c r="K13" s="103"/>
      <c r="L13" s="103"/>
      <c r="M13" s="103"/>
      <c r="N13" s="103"/>
      <c r="O13" s="103"/>
      <c r="P13" s="103"/>
      <c r="Q13" s="103"/>
      <c r="R13" s="103"/>
      <c r="S13" s="103"/>
      <c r="T13" s="103"/>
      <c r="U13" s="103"/>
      <c r="V13" s="103"/>
      <c r="W13" s="103"/>
      <c r="X13" s="103"/>
      <c r="Y13" s="103"/>
      <c r="Z13" s="103"/>
      <c r="AA13" s="103"/>
    </row>
    <row r="14" spans="1:27" ht="15">
      <c r="A14" s="135" t="s">
        <v>53</v>
      </c>
      <c r="B14" s="109">
        <f>'3C4_3C5 INFO BASE'!B26</f>
        <v>0</v>
      </c>
      <c r="C14" s="109">
        <f>'3C4_3C5 INFO BASE'!D26</f>
        <v>24886</v>
      </c>
      <c r="D14" s="109">
        <f>'3C4_3C5 INFO BASE'!L26</f>
        <v>0</v>
      </c>
      <c r="E14" s="109">
        <v>141</v>
      </c>
      <c r="F14" s="109">
        <v>48.5</v>
      </c>
      <c r="G14" s="103"/>
      <c r="H14" s="103"/>
      <c r="I14" s="103"/>
      <c r="J14" s="103"/>
      <c r="K14" s="103"/>
      <c r="L14" s="103"/>
      <c r="M14" s="103"/>
      <c r="N14" s="103"/>
      <c r="O14" s="103"/>
      <c r="P14" s="103"/>
      <c r="Q14" s="103"/>
      <c r="R14" s="103"/>
      <c r="S14" s="103"/>
      <c r="T14" s="103"/>
      <c r="U14" s="103"/>
      <c r="V14" s="103"/>
      <c r="W14" s="103"/>
      <c r="X14" s="103"/>
      <c r="Y14" s="103"/>
      <c r="Z14" s="103"/>
      <c r="AA14" s="103"/>
    </row>
    <row r="15" spans="1:27" ht="15">
      <c r="A15" s="135" t="s">
        <v>54</v>
      </c>
      <c r="B15" s="109">
        <f>'3C4_3C5 INFO BASE'!B27</f>
        <v>0</v>
      </c>
      <c r="C15" s="109">
        <f>'3C4_3C5 INFO BASE'!D27</f>
        <v>1476</v>
      </c>
      <c r="D15" s="109">
        <f>'3C4_3C5 INFO BASE'!L27</f>
        <v>0</v>
      </c>
      <c r="E15" s="109">
        <v>0</v>
      </c>
      <c r="F15" s="109">
        <v>307</v>
      </c>
      <c r="G15" s="103"/>
      <c r="H15" s="103"/>
      <c r="I15" s="103"/>
      <c r="J15" s="103"/>
      <c r="K15" s="103"/>
      <c r="L15" s="103"/>
      <c r="M15" s="103"/>
      <c r="N15" s="103"/>
      <c r="O15" s="103"/>
      <c r="P15" s="103"/>
      <c r="Q15" s="103"/>
      <c r="R15" s="103"/>
      <c r="S15" s="103"/>
      <c r="T15" s="103"/>
      <c r="U15" s="103"/>
      <c r="V15" s="103"/>
      <c r="W15" s="103"/>
      <c r="X15" s="103"/>
      <c r="Y15" s="103"/>
      <c r="Z15" s="103"/>
      <c r="AA15" s="103"/>
    </row>
    <row r="16" spans="1:27" ht="15">
      <c r="A16" s="135" t="s">
        <v>55</v>
      </c>
      <c r="B16" s="109">
        <f>'3C4_3C5 INFO BASE'!B28</f>
        <v>0</v>
      </c>
      <c r="C16" s="109">
        <f>'3C4_3C5 INFO BASE'!D28</f>
        <v>0</v>
      </c>
      <c r="D16" s="109">
        <f>'3C4_3C5 INFO BASE'!L28</f>
        <v>0</v>
      </c>
      <c r="E16" s="109">
        <v>0</v>
      </c>
      <c r="F16" s="109">
        <v>21</v>
      </c>
      <c r="G16" s="103"/>
      <c r="H16" s="103"/>
      <c r="I16" s="103"/>
      <c r="J16" s="103"/>
      <c r="K16" s="103"/>
      <c r="L16" s="103"/>
      <c r="M16" s="103"/>
      <c r="N16" s="103"/>
      <c r="O16" s="103"/>
      <c r="P16" s="103"/>
      <c r="Q16" s="103"/>
      <c r="R16" s="103"/>
      <c r="S16" s="103"/>
      <c r="T16" s="103"/>
      <c r="U16" s="103"/>
      <c r="V16" s="103"/>
      <c r="W16" s="103"/>
      <c r="X16" s="103"/>
      <c r="Y16" s="103"/>
      <c r="Z16" s="103"/>
      <c r="AA16" s="103"/>
    </row>
    <row r="17" spans="1:27" ht="15">
      <c r="A17" s="135" t="s">
        <v>56</v>
      </c>
      <c r="B17" s="109">
        <f>'3C4_3C5 INFO BASE'!B29</f>
        <v>0</v>
      </c>
      <c r="C17" s="109">
        <f>'3C4_3C5 INFO BASE'!D29</f>
        <v>9151</v>
      </c>
      <c r="D17" s="109">
        <f>'3C4_3C5 INFO BASE'!L29</f>
        <v>65</v>
      </c>
      <c r="E17" s="109">
        <v>0</v>
      </c>
      <c r="F17" s="109">
        <v>96.63</v>
      </c>
      <c r="G17" s="103"/>
      <c r="H17" s="103"/>
      <c r="I17" s="103"/>
      <c r="J17" s="103"/>
      <c r="K17" s="103"/>
      <c r="L17" s="103"/>
      <c r="M17" s="103"/>
      <c r="N17" s="103"/>
      <c r="O17" s="103"/>
      <c r="P17" s="103"/>
      <c r="Q17" s="103"/>
      <c r="R17" s="103"/>
      <c r="S17" s="103"/>
      <c r="T17" s="103"/>
      <c r="U17" s="103"/>
      <c r="V17" s="103"/>
      <c r="W17" s="103"/>
      <c r="X17" s="103"/>
      <c r="Y17" s="103"/>
      <c r="Z17" s="103"/>
      <c r="AA17" s="103"/>
    </row>
    <row r="18" spans="1:27" ht="15">
      <c r="A18" s="135" t="s">
        <v>57</v>
      </c>
      <c r="B18" s="109">
        <f>'3C4_3C5 INFO BASE'!B30</f>
        <v>0</v>
      </c>
      <c r="C18" s="109">
        <f>'3C4_3C5 INFO BASE'!D30</f>
        <v>0</v>
      </c>
      <c r="D18" s="109">
        <f>'3C4_3C5 INFO BASE'!L30</f>
        <v>12377</v>
      </c>
      <c r="E18" s="109">
        <v>11149.768</v>
      </c>
      <c r="F18" s="109">
        <v>668.6600000000001</v>
      </c>
      <c r="G18" s="103"/>
      <c r="H18" s="103"/>
      <c r="I18" s="103"/>
      <c r="J18" s="103"/>
      <c r="K18" s="103"/>
      <c r="L18" s="103"/>
      <c r="M18" s="103"/>
      <c r="N18" s="103"/>
      <c r="O18" s="103"/>
      <c r="P18" s="103"/>
      <c r="Q18" s="103"/>
      <c r="R18" s="103"/>
      <c r="S18" s="103"/>
      <c r="T18" s="103"/>
      <c r="U18" s="103"/>
      <c r="V18" s="103"/>
      <c r="W18" s="103"/>
      <c r="X18" s="103"/>
      <c r="Y18" s="103"/>
      <c r="Z18" s="103"/>
      <c r="AA18" s="103"/>
    </row>
    <row r="19" spans="1:27" ht="15">
      <c r="A19" s="135" t="s">
        <v>58</v>
      </c>
      <c r="B19" s="109">
        <f>'3C4_3C5 INFO BASE'!B31</f>
        <v>0</v>
      </c>
      <c r="C19" s="109">
        <f>'3C4_3C5 INFO BASE'!D31</f>
        <v>1214</v>
      </c>
      <c r="D19" s="109">
        <f>'3C4_3C5 INFO BASE'!L31</f>
        <v>0</v>
      </c>
      <c r="E19" s="109">
        <v>0</v>
      </c>
      <c r="F19" s="109">
        <v>249</v>
      </c>
      <c r="G19" s="103"/>
      <c r="H19" s="103"/>
      <c r="I19" s="103"/>
      <c r="J19" s="103"/>
      <c r="K19" s="103"/>
      <c r="L19" s="103"/>
      <c r="M19" s="103"/>
      <c r="N19" s="103"/>
      <c r="O19" s="103"/>
      <c r="P19" s="103"/>
      <c r="Q19" s="103"/>
      <c r="R19" s="103"/>
      <c r="S19" s="103"/>
      <c r="T19" s="103"/>
      <c r="U19" s="103"/>
      <c r="V19" s="103"/>
      <c r="W19" s="103"/>
      <c r="X19" s="103"/>
      <c r="Y19" s="103"/>
      <c r="Z19" s="103"/>
      <c r="AA19" s="103"/>
    </row>
    <row r="20" spans="1:27" ht="15">
      <c r="A20" s="135" t="s">
        <v>59</v>
      </c>
      <c r="B20" s="109">
        <f>'3C4_3C5 INFO BASE'!B32</f>
        <v>41776</v>
      </c>
      <c r="C20" s="109">
        <f>'3C4_3C5 INFO BASE'!D32</f>
        <v>32857</v>
      </c>
      <c r="D20" s="109">
        <f>'3C4_3C5 INFO BASE'!L32</f>
        <v>36</v>
      </c>
      <c r="E20" s="109">
        <v>2522.05</v>
      </c>
      <c r="F20" s="109">
        <v>295.8</v>
      </c>
      <c r="G20" s="103"/>
      <c r="H20" s="103"/>
      <c r="I20" s="103"/>
      <c r="J20" s="103"/>
      <c r="K20" s="103"/>
      <c r="L20" s="103"/>
      <c r="M20" s="103"/>
      <c r="N20" s="103"/>
      <c r="O20" s="103"/>
      <c r="P20" s="103"/>
      <c r="Q20" s="103"/>
      <c r="R20" s="103"/>
      <c r="S20" s="103"/>
      <c r="T20" s="103"/>
      <c r="U20" s="103"/>
      <c r="V20" s="103"/>
      <c r="W20" s="103"/>
      <c r="X20" s="103"/>
      <c r="Y20" s="103"/>
      <c r="Z20" s="103"/>
      <c r="AA20" s="103"/>
    </row>
    <row r="21" spans="1:27" ht="15">
      <c r="A21" s="135" t="s">
        <v>60</v>
      </c>
      <c r="B21" s="109">
        <f>'3C4_3C5 INFO BASE'!B33</f>
        <v>25874</v>
      </c>
      <c r="C21" s="109">
        <f>'3C4_3C5 INFO BASE'!D33</f>
        <v>49831</v>
      </c>
      <c r="D21" s="109">
        <f>'3C4_3C5 INFO BASE'!L33</f>
        <v>3133</v>
      </c>
      <c r="E21" s="109">
        <v>1517</v>
      </c>
      <c r="F21" s="109">
        <v>3980</v>
      </c>
      <c r="G21" s="103"/>
      <c r="H21" s="103"/>
      <c r="I21" s="103"/>
      <c r="J21" s="103"/>
      <c r="K21" s="103"/>
      <c r="L21" s="103"/>
      <c r="M21" s="103"/>
      <c r="N21" s="103"/>
      <c r="O21" s="103"/>
      <c r="P21" s="103"/>
      <c r="Q21" s="103"/>
      <c r="R21" s="103"/>
      <c r="S21" s="103"/>
      <c r="T21" s="103"/>
      <c r="U21" s="103"/>
      <c r="V21" s="103"/>
      <c r="W21" s="103"/>
      <c r="X21" s="103"/>
      <c r="Y21" s="103"/>
      <c r="Z21" s="103"/>
      <c r="AA21" s="103"/>
    </row>
    <row r="22" spans="1:27" ht="15">
      <c r="A22" s="136" t="s">
        <v>61</v>
      </c>
      <c r="B22" s="109">
        <f>'3C4_3C5 INFO BASE'!B34</f>
        <v>12279</v>
      </c>
      <c r="C22" s="109">
        <f>'3C4_3C5 INFO BASE'!D34</f>
        <v>0</v>
      </c>
      <c r="D22" s="109">
        <f>'3C4_3C5 INFO BASE'!L34</f>
        <v>1296</v>
      </c>
      <c r="E22" s="109">
        <v>4050</v>
      </c>
      <c r="F22" s="109">
        <v>774</v>
      </c>
      <c r="G22" s="103"/>
      <c r="H22" s="103"/>
      <c r="I22" s="103"/>
      <c r="J22" s="103"/>
      <c r="K22" s="103"/>
      <c r="L22" s="103"/>
      <c r="M22" s="103"/>
      <c r="N22" s="103"/>
      <c r="O22" s="103"/>
      <c r="P22" s="103"/>
      <c r="Q22" s="103"/>
      <c r="R22" s="103"/>
      <c r="S22" s="103"/>
      <c r="T22" s="103"/>
      <c r="U22" s="103"/>
      <c r="V22" s="103"/>
      <c r="W22" s="103"/>
      <c r="X22" s="103"/>
      <c r="Y22" s="103"/>
      <c r="Z22" s="103"/>
      <c r="AA22" s="103"/>
    </row>
    <row r="23" spans="1:27" ht="15">
      <c r="A23" s="135" t="s">
        <v>62</v>
      </c>
      <c r="B23" s="109">
        <f>'3C4_3C5 INFO BASE'!B35</f>
        <v>0</v>
      </c>
      <c r="C23" s="109">
        <f>'3C4_3C5 INFO BASE'!D35</f>
        <v>33046</v>
      </c>
      <c r="D23" s="109">
        <f>'3C4_3C5 INFO BASE'!L35</f>
        <v>0</v>
      </c>
      <c r="E23" s="109">
        <v>0</v>
      </c>
      <c r="F23" s="109">
        <v>292</v>
      </c>
      <c r="G23" s="103"/>
      <c r="H23" s="103"/>
      <c r="I23" s="103"/>
      <c r="J23" s="103"/>
      <c r="K23" s="103"/>
      <c r="L23" s="103"/>
      <c r="M23" s="103"/>
      <c r="N23" s="103"/>
      <c r="O23" s="103"/>
      <c r="P23" s="103"/>
      <c r="Q23" s="103"/>
      <c r="R23" s="103"/>
      <c r="S23" s="103"/>
      <c r="T23" s="103"/>
      <c r="U23" s="103"/>
      <c r="V23" s="103"/>
      <c r="W23" s="103"/>
      <c r="X23" s="103"/>
      <c r="Y23" s="103"/>
      <c r="Z23" s="103"/>
      <c r="AA23" s="103"/>
    </row>
    <row r="24" spans="1:27" ht="15">
      <c r="A24" s="135" t="s">
        <v>63</v>
      </c>
      <c r="B24" s="109">
        <f>'3C4_3C5 INFO BASE'!B36</f>
        <v>0</v>
      </c>
      <c r="C24" s="109">
        <f>'3C4_3C5 INFO BASE'!D36</f>
        <v>2559</v>
      </c>
      <c r="D24" s="109">
        <f>'3C4_3C5 INFO BASE'!L36</f>
        <v>0</v>
      </c>
      <c r="E24" s="109">
        <v>0</v>
      </c>
      <c r="F24" s="109">
        <v>34.5</v>
      </c>
      <c r="G24" s="103"/>
      <c r="H24" s="103"/>
      <c r="I24" s="103"/>
      <c r="J24" s="103"/>
      <c r="K24" s="103"/>
      <c r="L24" s="103"/>
      <c r="M24" s="103"/>
      <c r="N24" s="103"/>
      <c r="O24" s="103"/>
      <c r="P24" s="103"/>
      <c r="Q24" s="103"/>
      <c r="R24" s="103"/>
      <c r="S24" s="103"/>
      <c r="T24" s="103"/>
      <c r="U24" s="103"/>
      <c r="V24" s="103"/>
      <c r="W24" s="103"/>
      <c r="X24" s="103"/>
      <c r="Y24" s="103"/>
      <c r="Z24" s="103"/>
      <c r="AA24" s="103"/>
    </row>
    <row r="25" spans="1:27" ht="15">
      <c r="A25" s="135" t="s">
        <v>64</v>
      </c>
      <c r="B25" s="109">
        <f>'3C4_3C5 INFO BASE'!B37</f>
        <v>0</v>
      </c>
      <c r="C25" s="109">
        <f>'3C4_3C5 INFO BASE'!D37</f>
        <v>0</v>
      </c>
      <c r="D25" s="109">
        <f>'3C4_3C5 INFO BASE'!L37</f>
        <v>0</v>
      </c>
      <c r="E25" s="109">
        <v>417</v>
      </c>
      <c r="F25" s="109">
        <v>10</v>
      </c>
      <c r="G25" s="103"/>
      <c r="H25" s="103"/>
      <c r="I25" s="103"/>
      <c r="J25" s="103"/>
      <c r="K25" s="103"/>
      <c r="L25" s="103"/>
      <c r="M25" s="103"/>
      <c r="N25" s="103"/>
      <c r="O25" s="103"/>
      <c r="P25" s="103"/>
      <c r="Q25" s="103"/>
      <c r="R25" s="103"/>
      <c r="S25" s="103"/>
      <c r="T25" s="103"/>
      <c r="U25" s="103"/>
      <c r="V25" s="103"/>
      <c r="W25" s="103"/>
      <c r="X25" s="103"/>
      <c r="Y25" s="103"/>
      <c r="Z25" s="103"/>
      <c r="AA25" s="103"/>
    </row>
    <row r="26" spans="1:27" ht="15">
      <c r="A26" s="135" t="s">
        <v>65</v>
      </c>
      <c r="B26" s="109">
        <f>'3C4_3C5 INFO BASE'!B38</f>
        <v>0</v>
      </c>
      <c r="C26" s="109">
        <f>'3C4_3C5 INFO BASE'!D38</f>
        <v>2777</v>
      </c>
      <c r="D26" s="109">
        <f>'3C4_3C5 INFO BASE'!L38</f>
        <v>0</v>
      </c>
      <c r="E26" s="109">
        <v>0</v>
      </c>
      <c r="F26" s="109">
        <v>6</v>
      </c>
      <c r="G26" s="103"/>
      <c r="H26" s="103"/>
      <c r="I26" s="103"/>
      <c r="J26" s="103"/>
      <c r="K26" s="103"/>
      <c r="L26" s="103"/>
      <c r="M26" s="103"/>
      <c r="N26" s="103"/>
      <c r="O26" s="103"/>
      <c r="P26" s="103"/>
      <c r="Q26" s="103"/>
      <c r="R26" s="103"/>
      <c r="S26" s="103"/>
      <c r="T26" s="103"/>
      <c r="U26" s="103"/>
      <c r="V26" s="103"/>
      <c r="W26" s="103"/>
      <c r="X26" s="103"/>
      <c r="Y26" s="103"/>
      <c r="Z26" s="103"/>
      <c r="AA26" s="103"/>
    </row>
    <row r="27" spans="1:27" ht="15">
      <c r="A27" s="135" t="s">
        <v>66</v>
      </c>
      <c r="B27" s="109">
        <f>'3C4_3C5 INFO BASE'!B39</f>
        <v>0</v>
      </c>
      <c r="C27" s="109">
        <f>'3C4_3C5 INFO BASE'!D39</f>
        <v>67373</v>
      </c>
      <c r="D27" s="109">
        <f>'3C4_3C5 INFO BASE'!L39</f>
        <v>373</v>
      </c>
      <c r="E27" s="109">
        <v>5809</v>
      </c>
      <c r="F27" s="109">
        <v>13376</v>
      </c>
      <c r="G27" s="103"/>
      <c r="H27" s="103"/>
      <c r="I27" s="103"/>
      <c r="J27" s="103"/>
      <c r="K27" s="103"/>
      <c r="L27" s="103"/>
      <c r="M27" s="103"/>
      <c r="N27" s="103"/>
      <c r="O27" s="103"/>
      <c r="P27" s="103"/>
      <c r="Q27" s="103"/>
      <c r="R27" s="103"/>
      <c r="S27" s="103"/>
      <c r="T27" s="103"/>
      <c r="U27" s="103"/>
      <c r="V27" s="103"/>
      <c r="W27" s="103"/>
      <c r="X27" s="103"/>
      <c r="Y27" s="103"/>
      <c r="Z27" s="103"/>
      <c r="AA27" s="103"/>
    </row>
    <row r="28" spans="1:27" ht="15">
      <c r="A28" s="135" t="s">
        <v>67</v>
      </c>
      <c r="B28" s="109">
        <f>'3C4_3C5 INFO BASE'!B40</f>
        <v>0</v>
      </c>
      <c r="C28" s="109">
        <f>'3C4_3C5 INFO BASE'!D40</f>
        <v>283</v>
      </c>
      <c r="D28" s="109">
        <f>'3C4_3C5 INFO BASE'!L40</f>
        <v>0</v>
      </c>
      <c r="E28" s="109">
        <v>0</v>
      </c>
      <c r="F28" s="109">
        <v>0</v>
      </c>
      <c r="G28" s="103"/>
      <c r="H28" s="103"/>
      <c r="I28" s="103"/>
      <c r="J28" s="103"/>
      <c r="K28" s="103"/>
      <c r="L28" s="103"/>
      <c r="M28" s="103"/>
      <c r="N28" s="103"/>
      <c r="O28" s="103"/>
      <c r="P28" s="103"/>
      <c r="Q28" s="103"/>
      <c r="R28" s="103"/>
      <c r="S28" s="103"/>
      <c r="T28" s="103"/>
      <c r="U28" s="103"/>
      <c r="V28" s="103"/>
      <c r="W28" s="103"/>
      <c r="X28" s="103"/>
      <c r="Y28" s="103"/>
      <c r="Z28" s="103"/>
      <c r="AA28" s="103"/>
    </row>
    <row r="29" spans="1:27" ht="15">
      <c r="A29" s="135" t="s">
        <v>68</v>
      </c>
      <c r="B29" s="109">
        <f>'3C4_3C5 INFO BASE'!B41</f>
        <v>0</v>
      </c>
      <c r="C29" s="109">
        <f>'3C4_3C5 INFO BASE'!D41</f>
        <v>101255</v>
      </c>
      <c r="D29" s="109">
        <f>'3C4_3C5 INFO BASE'!L41</f>
        <v>105</v>
      </c>
      <c r="E29" s="109">
        <v>138.5</v>
      </c>
      <c r="F29" s="109">
        <v>90</v>
      </c>
      <c r="G29" s="103"/>
      <c r="H29" s="103"/>
      <c r="I29" s="103"/>
      <c r="J29" s="103"/>
      <c r="K29" s="103"/>
      <c r="L29" s="103"/>
      <c r="M29" s="103"/>
      <c r="N29" s="103"/>
      <c r="O29" s="103"/>
      <c r="P29" s="103"/>
      <c r="Q29" s="103"/>
      <c r="R29" s="103"/>
      <c r="S29" s="103"/>
      <c r="T29" s="103"/>
      <c r="U29" s="103"/>
      <c r="V29" s="103"/>
      <c r="W29" s="103"/>
      <c r="X29" s="103"/>
      <c r="Y29" s="103"/>
      <c r="Z29" s="103"/>
      <c r="AA29" s="103"/>
    </row>
    <row r="30" spans="1:27" ht="15">
      <c r="A30" s="135" t="s">
        <v>69</v>
      </c>
      <c r="B30" s="109">
        <f>'3C4_3C5 INFO BASE'!B42</f>
        <v>0</v>
      </c>
      <c r="C30" s="109">
        <f>'3C4_3C5 INFO BASE'!D42</f>
        <v>0</v>
      </c>
      <c r="D30" s="109">
        <f>'3C4_3C5 INFO BASE'!L42</f>
        <v>0</v>
      </c>
      <c r="E30" s="109">
        <v>601</v>
      </c>
      <c r="F30" s="109">
        <v>0</v>
      </c>
      <c r="G30" s="103"/>
      <c r="H30" s="103"/>
      <c r="I30" s="103"/>
      <c r="J30" s="103"/>
      <c r="K30" s="103"/>
      <c r="L30" s="103"/>
      <c r="M30" s="103"/>
      <c r="N30" s="103"/>
      <c r="O30" s="103"/>
      <c r="P30" s="103"/>
      <c r="Q30" s="103"/>
      <c r="R30" s="103"/>
      <c r="S30" s="103"/>
      <c r="T30" s="103"/>
      <c r="U30" s="103"/>
      <c r="V30" s="103"/>
      <c r="W30" s="103"/>
      <c r="X30" s="103"/>
      <c r="Y30" s="103"/>
      <c r="Z30" s="103"/>
      <c r="AA30" s="103"/>
    </row>
    <row r="31" spans="1:27" ht="15">
      <c r="A31" s="135" t="s">
        <v>70</v>
      </c>
      <c r="B31" s="109">
        <f>'3C4_3C5 INFO BASE'!B43</f>
        <v>0</v>
      </c>
      <c r="C31" s="109">
        <f>'3C4_3C5 INFO BASE'!D43</f>
        <v>14654</v>
      </c>
      <c r="D31" s="109">
        <f>'3C4_3C5 INFO BASE'!L43</f>
        <v>0</v>
      </c>
      <c r="E31" s="109">
        <v>13.5</v>
      </c>
      <c r="F31" s="109">
        <v>70.83</v>
      </c>
      <c r="G31" s="103"/>
      <c r="H31" s="103"/>
      <c r="I31" s="103"/>
      <c r="J31" s="103"/>
      <c r="K31" s="103"/>
      <c r="L31" s="103"/>
      <c r="M31" s="103"/>
      <c r="N31" s="103"/>
      <c r="O31" s="103"/>
      <c r="P31" s="103"/>
      <c r="Q31" s="103"/>
      <c r="R31" s="103"/>
      <c r="S31" s="103"/>
      <c r="T31" s="103"/>
      <c r="U31" s="103"/>
      <c r="V31" s="103"/>
      <c r="W31" s="103"/>
      <c r="X31" s="103"/>
      <c r="Y31" s="103"/>
      <c r="Z31" s="103"/>
      <c r="AA31" s="103"/>
    </row>
    <row r="32" spans="1:27" ht="15">
      <c r="A32" s="135" t="s">
        <v>71</v>
      </c>
      <c r="B32" s="109">
        <f>'3C4_3C5 INFO BASE'!B44</f>
        <v>0</v>
      </c>
      <c r="C32" s="109">
        <f>'3C4_3C5 INFO BASE'!D44</f>
        <v>9821</v>
      </c>
      <c r="D32" s="109">
        <f>'3C4_3C5 INFO BASE'!L44</f>
        <v>89</v>
      </c>
      <c r="E32" s="109">
        <v>0</v>
      </c>
      <c r="F32" s="109">
        <v>504.07</v>
      </c>
      <c r="G32" s="103"/>
      <c r="H32" s="103"/>
      <c r="I32" s="103"/>
      <c r="J32" s="103"/>
      <c r="K32" s="103"/>
      <c r="L32" s="103"/>
      <c r="M32" s="103"/>
      <c r="N32" s="103"/>
      <c r="O32" s="103"/>
      <c r="P32" s="103"/>
      <c r="Q32" s="103"/>
      <c r="R32" s="103"/>
      <c r="S32" s="103"/>
      <c r="T32" s="103"/>
      <c r="U32" s="103"/>
      <c r="V32" s="103"/>
      <c r="W32" s="103"/>
      <c r="X32" s="103"/>
      <c r="Y32" s="103"/>
      <c r="Z32" s="103"/>
      <c r="AA32" s="103"/>
    </row>
    <row r="33" spans="1:27" ht="15">
      <c r="A33" s="137"/>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row>
    <row r="34" spans="1:27" ht="15">
      <c r="A34" s="102" t="s">
        <v>79</v>
      </c>
      <c r="B34" s="1183">
        <v>2</v>
      </c>
      <c r="C34" s="1178"/>
      <c r="D34" s="1179"/>
      <c r="E34" s="103"/>
      <c r="F34" s="6"/>
      <c r="G34" s="507" t="s">
        <v>989</v>
      </c>
      <c r="H34" s="6"/>
      <c r="I34" s="6"/>
      <c r="J34" s="6"/>
      <c r="K34" s="6"/>
      <c r="L34" s="103"/>
      <c r="M34" s="103"/>
      <c r="N34" s="103"/>
      <c r="O34" s="103"/>
      <c r="P34" s="103"/>
      <c r="Q34" s="103"/>
      <c r="R34" s="103"/>
      <c r="S34" s="103"/>
      <c r="T34" s="103"/>
      <c r="U34" s="103"/>
      <c r="V34" s="103"/>
      <c r="W34" s="103"/>
      <c r="X34" s="103"/>
      <c r="Y34" s="103"/>
      <c r="Z34" s="103"/>
      <c r="AA34" s="103"/>
    </row>
    <row r="35" spans="1:27" ht="27" customHeight="1">
      <c r="A35" s="104" t="s">
        <v>80</v>
      </c>
      <c r="B35" s="1187" t="s">
        <v>1052</v>
      </c>
      <c r="C35" s="1188"/>
      <c r="D35" s="1189"/>
      <c r="E35" s="103"/>
      <c r="F35" s="6"/>
      <c r="G35" s="6"/>
      <c r="H35" s="6"/>
      <c r="I35" s="6"/>
      <c r="J35" s="6"/>
      <c r="K35" s="6"/>
      <c r="L35" s="103"/>
      <c r="M35" s="103"/>
      <c r="N35" s="103"/>
      <c r="O35" s="103"/>
      <c r="P35" s="103"/>
      <c r="Q35" s="103"/>
      <c r="R35" s="103"/>
      <c r="S35" s="103"/>
      <c r="T35" s="103"/>
      <c r="U35" s="103"/>
      <c r="V35" s="103"/>
      <c r="W35" s="103"/>
      <c r="X35" s="103"/>
      <c r="Y35" s="103"/>
      <c r="Z35" s="103"/>
      <c r="AA35" s="103"/>
    </row>
    <row r="36" spans="1:27" ht="15">
      <c r="A36" s="104" t="s">
        <v>81</v>
      </c>
      <c r="B36" s="1180" t="s">
        <v>568</v>
      </c>
      <c r="C36" s="1181"/>
      <c r="D36" s="1182"/>
      <c r="E36" s="103"/>
      <c r="F36" s="6"/>
      <c r="G36" s="6"/>
      <c r="H36" s="6"/>
      <c r="I36" s="6"/>
      <c r="J36" s="6"/>
      <c r="K36" s="6"/>
      <c r="L36" s="103"/>
      <c r="M36" s="103"/>
      <c r="N36" s="103"/>
      <c r="O36" s="103"/>
      <c r="P36" s="103"/>
      <c r="Q36" s="103"/>
      <c r="R36" s="103"/>
      <c r="S36" s="103"/>
      <c r="T36" s="103"/>
      <c r="U36" s="103"/>
      <c r="V36" s="103"/>
      <c r="W36" s="103"/>
      <c r="X36" s="103"/>
      <c r="Y36" s="103"/>
      <c r="Z36" s="103"/>
      <c r="AA36" s="103"/>
    </row>
    <row r="37" spans="1:27" ht="25.5">
      <c r="A37" s="104" t="s">
        <v>82</v>
      </c>
      <c r="B37" s="1193" t="s">
        <v>567</v>
      </c>
      <c r="C37" s="1191"/>
      <c r="D37" s="1192"/>
      <c r="E37" s="103"/>
      <c r="F37" s="6"/>
      <c r="G37" s="6"/>
      <c r="H37" s="6"/>
      <c r="I37" s="6"/>
      <c r="J37" s="6"/>
      <c r="K37" s="6"/>
      <c r="L37" s="103"/>
      <c r="M37" s="103"/>
      <c r="N37" s="103"/>
      <c r="O37" s="103"/>
      <c r="P37" s="103"/>
      <c r="Q37" s="103"/>
      <c r="R37" s="103"/>
      <c r="S37" s="103"/>
      <c r="T37" s="103"/>
      <c r="U37" s="103"/>
      <c r="V37" s="103"/>
      <c r="W37" s="103"/>
      <c r="X37" s="103"/>
      <c r="Y37" s="103"/>
      <c r="Z37" s="103"/>
      <c r="AA37" s="103"/>
    </row>
    <row r="38" spans="1:27" ht="25.5">
      <c r="A38" s="104" t="s">
        <v>83</v>
      </c>
      <c r="B38" s="1174">
        <v>44056</v>
      </c>
      <c r="C38" s="1175"/>
      <c r="D38" s="1176"/>
      <c r="E38" s="103"/>
      <c r="F38" s="103"/>
      <c r="G38" s="103"/>
      <c r="H38" s="103"/>
      <c r="I38" s="103"/>
      <c r="J38" s="103"/>
      <c r="K38" s="103"/>
      <c r="L38" s="103"/>
      <c r="M38" s="103"/>
      <c r="N38" s="103"/>
      <c r="O38" s="103"/>
      <c r="P38" s="103"/>
      <c r="Q38" s="103"/>
      <c r="R38" s="103"/>
      <c r="S38" s="103"/>
      <c r="T38" s="103"/>
      <c r="U38" s="103"/>
      <c r="V38" s="103"/>
      <c r="W38" s="103"/>
      <c r="X38" s="103"/>
      <c r="Y38" s="103"/>
      <c r="Z38" s="103"/>
      <c r="AA38" s="103"/>
    </row>
    <row r="39" spans="1:27" ht="62.25" customHeight="1">
      <c r="A39" s="104" t="s">
        <v>84</v>
      </c>
      <c r="B39" s="1177" t="s">
        <v>1047</v>
      </c>
      <c r="C39" s="1178"/>
      <c r="D39" s="1179"/>
      <c r="E39" s="103"/>
      <c r="F39" s="103"/>
      <c r="G39" s="103"/>
      <c r="H39" s="103"/>
      <c r="I39" s="103"/>
      <c r="J39" s="103"/>
      <c r="K39" s="103"/>
      <c r="L39" s="103"/>
      <c r="M39" s="103"/>
      <c r="N39" s="103"/>
      <c r="O39" s="103"/>
      <c r="P39" s="103"/>
      <c r="Q39" s="103"/>
      <c r="R39" s="103"/>
      <c r="S39" s="103"/>
      <c r="T39" s="103"/>
      <c r="U39" s="103"/>
      <c r="V39" s="103"/>
      <c r="W39" s="103"/>
      <c r="X39" s="103"/>
      <c r="Y39" s="103"/>
      <c r="Z39" s="103"/>
      <c r="AA39" s="103"/>
    </row>
    <row r="40" spans="1:27" ht="15">
      <c r="A40" s="132"/>
      <c r="B40" s="133" t="s">
        <v>310</v>
      </c>
      <c r="C40" s="133" t="s">
        <v>1032</v>
      </c>
      <c r="D40" s="133" t="s">
        <v>1033</v>
      </c>
      <c r="E40" s="103"/>
      <c r="F40" s="103"/>
      <c r="G40" s="103"/>
      <c r="H40" s="103"/>
      <c r="I40" s="103"/>
      <c r="J40" s="103"/>
      <c r="K40" s="103"/>
      <c r="L40" s="103"/>
      <c r="M40" s="103"/>
      <c r="N40" s="103"/>
      <c r="O40" s="103"/>
      <c r="P40" s="103"/>
      <c r="Q40" s="103"/>
      <c r="R40" s="103"/>
      <c r="S40" s="103"/>
      <c r="T40" s="103"/>
      <c r="U40" s="103"/>
      <c r="V40" s="103"/>
      <c r="W40" s="103"/>
      <c r="X40" s="103"/>
      <c r="Y40" s="103"/>
      <c r="Z40" s="103"/>
      <c r="AA40" s="103"/>
    </row>
    <row r="41" spans="1:27" ht="15">
      <c r="A41" s="134" t="s">
        <v>167</v>
      </c>
      <c r="B41" s="134">
        <f>SUM(B42:B65)</f>
        <v>45358</v>
      </c>
      <c r="C41" s="134">
        <f>SUM(C42:C65)</f>
        <v>689957.308</v>
      </c>
      <c r="D41" s="134">
        <f>SUM(D42:D65)</f>
        <v>373519.86799999996</v>
      </c>
      <c r="E41" s="103"/>
      <c r="F41" s="103"/>
      <c r="G41" s="103"/>
      <c r="H41" s="103"/>
      <c r="I41" s="103"/>
      <c r="J41" s="103"/>
      <c r="K41" s="103"/>
      <c r="L41" s="103"/>
      <c r="M41" s="103"/>
      <c r="N41" s="103"/>
      <c r="O41" s="103"/>
      <c r="P41" s="103"/>
      <c r="Q41" s="103"/>
      <c r="R41" s="103"/>
      <c r="S41" s="103"/>
      <c r="T41" s="103"/>
      <c r="U41" s="103"/>
      <c r="V41" s="103"/>
      <c r="W41" s="103"/>
      <c r="X41" s="103"/>
      <c r="Y41" s="103"/>
      <c r="Z41" s="103"/>
      <c r="AA41" s="103"/>
    </row>
    <row r="42" spans="1:27" ht="15">
      <c r="A42" s="135" t="s">
        <v>49</v>
      </c>
      <c r="B42" s="109">
        <f>'3C4_3C5 INFO BASE'!L55</f>
        <v>0</v>
      </c>
      <c r="C42" s="109">
        <v>0</v>
      </c>
      <c r="D42" s="109">
        <v>2649.5</v>
      </c>
      <c r="E42" s="103"/>
      <c r="F42" s="103"/>
      <c r="G42" s="103"/>
      <c r="H42" s="103"/>
      <c r="I42" s="103"/>
      <c r="J42" s="103"/>
      <c r="K42" s="103"/>
      <c r="L42" s="103"/>
      <c r="M42" s="103"/>
      <c r="N42" s="103"/>
      <c r="O42" s="103"/>
      <c r="P42" s="103"/>
      <c r="Q42" s="103"/>
      <c r="R42" s="103"/>
      <c r="S42" s="103"/>
      <c r="T42" s="103"/>
      <c r="U42" s="103"/>
      <c r="V42" s="103"/>
      <c r="W42" s="103"/>
      <c r="X42" s="103"/>
      <c r="Y42" s="103"/>
      <c r="Z42" s="103"/>
      <c r="AA42" s="103"/>
    </row>
    <row r="43" spans="1:27" ht="15">
      <c r="A43" s="135" t="s">
        <v>321</v>
      </c>
      <c r="B43" s="109">
        <f>'3C4_3C5 INFO BASE'!L56</f>
        <v>1484</v>
      </c>
      <c r="C43" s="109">
        <v>2913</v>
      </c>
      <c r="D43" s="109">
        <v>6043</v>
      </c>
      <c r="E43" s="103"/>
      <c r="F43" s="103"/>
      <c r="G43" s="103"/>
      <c r="H43" s="103"/>
      <c r="I43" s="103"/>
      <c r="J43" s="103"/>
      <c r="K43" s="103"/>
      <c r="L43" s="103"/>
      <c r="M43" s="103"/>
      <c r="N43" s="103"/>
      <c r="O43" s="103"/>
      <c r="P43" s="103"/>
      <c r="Q43" s="103"/>
      <c r="R43" s="103"/>
      <c r="S43" s="103"/>
      <c r="T43" s="103"/>
      <c r="U43" s="103"/>
      <c r="V43" s="103"/>
      <c r="W43" s="103"/>
      <c r="X43" s="103"/>
      <c r="Y43" s="103"/>
      <c r="Z43" s="103"/>
      <c r="AA43" s="103"/>
    </row>
    <row r="44" spans="1:27" ht="15">
      <c r="A44" s="135" t="s">
        <v>50</v>
      </c>
      <c r="B44" s="109">
        <f>'3C4_3C5 INFO BASE'!L57</f>
        <v>0</v>
      </c>
      <c r="C44" s="109">
        <v>0</v>
      </c>
      <c r="D44" s="109">
        <v>261.94</v>
      </c>
      <c r="E44" s="103"/>
      <c r="F44" s="103"/>
      <c r="G44" s="103"/>
      <c r="H44" s="103"/>
      <c r="I44" s="103"/>
      <c r="J44" s="103"/>
      <c r="K44" s="103"/>
      <c r="L44" s="103"/>
      <c r="M44" s="103"/>
      <c r="N44" s="103"/>
      <c r="O44" s="103"/>
      <c r="P44" s="103"/>
      <c r="Q44" s="103"/>
      <c r="R44" s="103"/>
      <c r="S44" s="103"/>
      <c r="T44" s="103"/>
      <c r="U44" s="103"/>
      <c r="V44" s="103"/>
      <c r="W44" s="103"/>
      <c r="X44" s="103"/>
      <c r="Y44" s="103"/>
      <c r="Z44" s="103"/>
      <c r="AA44" s="103"/>
    </row>
    <row r="45" spans="1:27" ht="15">
      <c r="A45" s="135" t="s">
        <v>51</v>
      </c>
      <c r="B45" s="109">
        <f>'3C4_3C5 INFO BASE'!L58</f>
        <v>680</v>
      </c>
      <c r="C45" s="109">
        <v>25287.158</v>
      </c>
      <c r="D45" s="109">
        <v>156.8</v>
      </c>
      <c r="E45" s="103"/>
      <c r="F45" s="103"/>
      <c r="G45" s="103"/>
      <c r="H45" s="103"/>
      <c r="I45" s="103"/>
      <c r="J45" s="103"/>
      <c r="K45" s="103"/>
      <c r="L45" s="103"/>
      <c r="M45" s="103"/>
      <c r="N45" s="103"/>
      <c r="O45" s="103"/>
      <c r="P45" s="103"/>
      <c r="Q45" s="103"/>
      <c r="R45" s="103"/>
      <c r="S45" s="103"/>
      <c r="T45" s="103"/>
      <c r="U45" s="103"/>
      <c r="V45" s="103"/>
      <c r="W45" s="103"/>
      <c r="X45" s="103"/>
      <c r="Y45" s="103"/>
      <c r="Z45" s="103"/>
      <c r="AA45" s="103"/>
    </row>
    <row r="46" spans="1:27" ht="15">
      <c r="A46" s="135" t="s">
        <v>52</v>
      </c>
      <c r="B46" s="109">
        <f>'3C4_3C5 INFO BASE'!L59</f>
        <v>0</v>
      </c>
      <c r="C46" s="109">
        <v>71</v>
      </c>
      <c r="D46" s="109">
        <v>470</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row>
    <row r="47" spans="1:27" ht="15">
      <c r="A47" s="135" t="s">
        <v>53</v>
      </c>
      <c r="B47" s="109">
        <f>'3C4_3C5 INFO BASE'!L60</f>
        <v>0</v>
      </c>
      <c r="C47" s="109">
        <v>1590</v>
      </c>
      <c r="D47" s="109">
        <v>2232.899</v>
      </c>
      <c r="E47" s="103"/>
      <c r="F47" s="103"/>
      <c r="G47" s="103"/>
      <c r="H47" s="103"/>
      <c r="I47" s="103"/>
      <c r="J47" s="103"/>
      <c r="K47" s="103"/>
      <c r="L47" s="103"/>
      <c r="M47" s="103"/>
      <c r="N47" s="103"/>
      <c r="O47" s="103"/>
      <c r="P47" s="103"/>
      <c r="Q47" s="103"/>
      <c r="R47" s="103"/>
      <c r="S47" s="103"/>
      <c r="T47" s="103"/>
      <c r="U47" s="103"/>
      <c r="V47" s="103"/>
      <c r="W47" s="103"/>
      <c r="X47" s="103"/>
      <c r="Y47" s="103"/>
      <c r="Z47" s="103"/>
      <c r="AA47" s="103"/>
    </row>
    <row r="48" spans="1:27" ht="15">
      <c r="A48" s="135" t="s">
        <v>54</v>
      </c>
      <c r="B48" s="109">
        <f>'3C4_3C5 INFO BASE'!L61</f>
        <v>0</v>
      </c>
      <c r="C48" s="109">
        <v>0</v>
      </c>
      <c r="D48" s="109">
        <v>882</v>
      </c>
      <c r="E48" s="103"/>
      <c r="F48" s="103"/>
      <c r="G48" s="103"/>
      <c r="H48" s="103"/>
      <c r="I48" s="103"/>
      <c r="J48" s="103"/>
      <c r="K48" s="103"/>
      <c r="L48" s="103"/>
      <c r="M48" s="103"/>
      <c r="N48" s="103"/>
      <c r="O48" s="103"/>
      <c r="P48" s="103"/>
      <c r="Q48" s="103"/>
      <c r="R48" s="103"/>
      <c r="S48" s="103"/>
      <c r="T48" s="103"/>
      <c r="U48" s="103"/>
      <c r="V48" s="103"/>
      <c r="W48" s="103"/>
      <c r="X48" s="103"/>
      <c r="Y48" s="103"/>
      <c r="Z48" s="103"/>
      <c r="AA48" s="103"/>
    </row>
    <row r="49" spans="1:27" ht="15">
      <c r="A49" s="135" t="s">
        <v>55</v>
      </c>
      <c r="B49" s="109">
        <f>'3C4_3C5 INFO BASE'!L62</f>
        <v>0</v>
      </c>
      <c r="C49" s="109">
        <v>0</v>
      </c>
      <c r="D49" s="109">
        <v>197.787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row>
    <row r="50" spans="1:27" ht="15">
      <c r="A50" s="135" t="s">
        <v>56</v>
      </c>
      <c r="B50" s="109">
        <f>'3C4_3C5 INFO BASE'!L63</f>
        <v>38</v>
      </c>
      <c r="C50" s="109">
        <v>0</v>
      </c>
      <c r="D50" s="109">
        <v>698</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row>
    <row r="51" spans="1:27" ht="15">
      <c r="A51" s="135" t="s">
        <v>57</v>
      </c>
      <c r="B51" s="109">
        <f>'3C4_3C5 INFO BASE'!L64</f>
        <v>31211</v>
      </c>
      <c r="C51" s="109">
        <v>224665.5</v>
      </c>
      <c r="D51" s="109">
        <v>7007.83</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row>
    <row r="52" spans="1:27" ht="15">
      <c r="A52" s="135" t="s">
        <v>58</v>
      </c>
      <c r="B52" s="109">
        <f>'3C4_3C5 INFO BASE'!L65</f>
        <v>0</v>
      </c>
      <c r="C52" s="109">
        <v>0</v>
      </c>
      <c r="D52" s="109">
        <v>1875.9</v>
      </c>
      <c r="E52" s="103"/>
      <c r="F52" s="103"/>
      <c r="G52" s="103"/>
      <c r="H52" s="103"/>
      <c r="I52" s="103"/>
      <c r="J52" s="103"/>
      <c r="K52" s="103"/>
      <c r="L52" s="103"/>
      <c r="M52" s="103"/>
      <c r="N52" s="103"/>
      <c r="O52" s="103"/>
      <c r="P52" s="103"/>
      <c r="Q52" s="103"/>
      <c r="R52" s="103"/>
      <c r="S52" s="103"/>
      <c r="T52" s="103"/>
      <c r="U52" s="103"/>
      <c r="V52" s="103"/>
      <c r="W52" s="103"/>
      <c r="X52" s="103"/>
      <c r="Y52" s="103"/>
      <c r="Z52" s="103"/>
      <c r="AA52" s="103"/>
    </row>
    <row r="53" spans="1:27" ht="15">
      <c r="A53" s="135" t="s">
        <v>59</v>
      </c>
      <c r="B53" s="109">
        <f>'3C4_3C5 INFO BASE'!L66</f>
        <v>167</v>
      </c>
      <c r="C53" s="109">
        <v>49356.49</v>
      </c>
      <c r="D53" s="109">
        <v>4526.999</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row>
    <row r="54" spans="1:27" ht="15">
      <c r="A54" s="135" t="s">
        <v>60</v>
      </c>
      <c r="B54" s="109">
        <f>'3C4_3C5 INFO BASE'!L67</f>
        <v>6300</v>
      </c>
      <c r="C54" s="109">
        <v>21489</v>
      </c>
      <c r="D54" s="109">
        <v>51017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row>
    <row r="55" spans="1:27" ht="15">
      <c r="A55" s="136" t="s">
        <v>61</v>
      </c>
      <c r="B55" s="109">
        <f>'3C4_3C5 INFO BASE'!L68</f>
        <v>4040</v>
      </c>
      <c r="C55" s="109">
        <v>73218</v>
      </c>
      <c r="D55" s="109">
        <v>9664</v>
      </c>
      <c r="E55" s="103"/>
      <c r="F55" s="103"/>
      <c r="G55" s="103"/>
      <c r="H55" s="103"/>
      <c r="I55" s="103"/>
      <c r="J55" s="103"/>
      <c r="K55" s="103"/>
      <c r="L55" s="103"/>
      <c r="M55" s="103"/>
      <c r="N55" s="103"/>
      <c r="O55" s="103"/>
      <c r="P55" s="103"/>
      <c r="Q55" s="103"/>
      <c r="R55" s="103"/>
      <c r="S55" s="103"/>
      <c r="T55" s="103"/>
      <c r="U55" s="103"/>
      <c r="V55" s="103"/>
      <c r="W55" s="103"/>
      <c r="X55" s="103"/>
      <c r="Y55" s="103"/>
      <c r="Z55" s="103"/>
      <c r="AA55" s="103"/>
    </row>
    <row r="56" spans="1:27" ht="15">
      <c r="A56" s="135" t="s">
        <v>62</v>
      </c>
      <c r="B56" s="109">
        <f>'3C4_3C5 INFO BASE'!L69</f>
        <v>0</v>
      </c>
      <c r="C56" s="109">
        <v>0</v>
      </c>
      <c r="D56" s="109">
        <v>1233</v>
      </c>
      <c r="E56" s="103"/>
      <c r="F56" s="103"/>
      <c r="G56" s="103"/>
      <c r="H56" s="103"/>
      <c r="I56" s="103"/>
      <c r="J56" s="103"/>
      <c r="K56" s="103"/>
      <c r="L56" s="103"/>
      <c r="M56" s="103"/>
      <c r="N56" s="103"/>
      <c r="O56" s="103"/>
      <c r="P56" s="103"/>
      <c r="Q56" s="103"/>
      <c r="R56" s="103"/>
      <c r="S56" s="103"/>
      <c r="T56" s="103"/>
      <c r="U56" s="103"/>
      <c r="V56" s="103"/>
      <c r="W56" s="103"/>
      <c r="X56" s="103"/>
      <c r="Y56" s="103"/>
      <c r="Z56" s="103"/>
      <c r="AA56" s="103"/>
    </row>
    <row r="57" spans="1:27" ht="15">
      <c r="A57" s="135" t="s">
        <v>63</v>
      </c>
      <c r="B57" s="109">
        <f>'3C4_3C5 INFO BASE'!L70</f>
        <v>0</v>
      </c>
      <c r="C57" s="109">
        <v>0</v>
      </c>
      <c r="D57" s="109">
        <v>263.7</v>
      </c>
      <c r="E57" s="103"/>
      <c r="F57" s="103"/>
      <c r="G57" s="103"/>
      <c r="H57" s="103"/>
      <c r="I57" s="103"/>
      <c r="J57" s="103"/>
      <c r="K57" s="103"/>
      <c r="L57" s="103"/>
      <c r="M57" s="103"/>
      <c r="N57" s="103"/>
      <c r="O57" s="103"/>
      <c r="P57" s="103"/>
      <c r="Q57" s="103"/>
      <c r="R57" s="103"/>
      <c r="S57" s="103"/>
      <c r="T57" s="103"/>
      <c r="U57" s="103"/>
      <c r="V57" s="103"/>
      <c r="W57" s="103"/>
      <c r="X57" s="103"/>
      <c r="Y57" s="103"/>
      <c r="Z57" s="103"/>
      <c r="AA57" s="103"/>
    </row>
    <row r="58" spans="1:27" ht="15">
      <c r="A58" s="135" t="s">
        <v>64</v>
      </c>
      <c r="B58" s="109">
        <f>'3C4_3C5 INFO BASE'!L71</f>
        <v>0</v>
      </c>
      <c r="C58" s="109">
        <v>6769.56</v>
      </c>
      <c r="D58" s="109">
        <v>63.08</v>
      </c>
      <c r="E58" s="103"/>
      <c r="F58" s="103"/>
      <c r="G58" s="103"/>
      <c r="H58" s="103"/>
      <c r="I58" s="103"/>
      <c r="J58" s="103"/>
      <c r="K58" s="103"/>
      <c r="L58" s="103"/>
      <c r="M58" s="103"/>
      <c r="N58" s="103"/>
      <c r="O58" s="103"/>
      <c r="P58" s="103"/>
      <c r="Q58" s="103"/>
      <c r="R58" s="103"/>
      <c r="S58" s="103"/>
      <c r="T58" s="103"/>
      <c r="U58" s="103"/>
      <c r="V58" s="103"/>
      <c r="W58" s="103"/>
      <c r="X58" s="103"/>
      <c r="Y58" s="103"/>
      <c r="Z58" s="103"/>
      <c r="AA58" s="103"/>
    </row>
    <row r="59" spans="1:27" ht="15">
      <c r="A59" s="135" t="s">
        <v>65</v>
      </c>
      <c r="B59" s="109">
        <f>'3C4_3C5 INFO BASE'!L72</f>
        <v>0</v>
      </c>
      <c r="C59" s="109">
        <v>0</v>
      </c>
      <c r="D59" s="109">
        <v>78</v>
      </c>
      <c r="E59" s="103"/>
      <c r="F59" s="103"/>
      <c r="G59" s="103"/>
      <c r="H59" s="103"/>
      <c r="I59" s="103"/>
      <c r="J59" s="103"/>
      <c r="K59" s="103"/>
      <c r="L59" s="103"/>
      <c r="M59" s="103"/>
      <c r="N59" s="103"/>
      <c r="O59" s="103"/>
      <c r="P59" s="103"/>
      <c r="Q59" s="103"/>
      <c r="R59" s="103"/>
      <c r="S59" s="103"/>
      <c r="T59" s="103"/>
      <c r="U59" s="103"/>
      <c r="V59" s="103"/>
      <c r="W59" s="103"/>
      <c r="X59" s="103"/>
      <c r="Y59" s="103"/>
      <c r="Z59" s="103"/>
      <c r="AA59" s="103"/>
    </row>
    <row r="60" spans="1:27" ht="15">
      <c r="A60" s="135" t="s">
        <v>66</v>
      </c>
      <c r="B60" s="109">
        <f>'3C4_3C5 INFO BASE'!L73</f>
        <v>1197</v>
      </c>
      <c r="C60" s="109">
        <v>278366</v>
      </c>
      <c r="D60" s="109">
        <v>275272</v>
      </c>
      <c r="E60" s="103"/>
      <c r="F60" s="103"/>
      <c r="G60" s="103"/>
      <c r="H60" s="103"/>
      <c r="I60" s="103"/>
      <c r="J60" s="103"/>
      <c r="K60" s="103"/>
      <c r="L60" s="103"/>
      <c r="M60" s="103"/>
      <c r="N60" s="103"/>
      <c r="O60" s="103"/>
      <c r="P60" s="103"/>
      <c r="Q60" s="103"/>
      <c r="R60" s="103"/>
      <c r="S60" s="103"/>
      <c r="T60" s="103"/>
      <c r="U60" s="103"/>
      <c r="V60" s="103"/>
      <c r="W60" s="103"/>
      <c r="X60" s="103"/>
      <c r="Y60" s="103"/>
      <c r="Z60" s="103"/>
      <c r="AA60" s="103"/>
    </row>
    <row r="61" spans="1:27" ht="15">
      <c r="A61" s="135" t="s">
        <v>67</v>
      </c>
      <c r="B61" s="109">
        <f>'3C4_3C5 INFO BASE'!L74</f>
        <v>0</v>
      </c>
      <c r="C61" s="109">
        <v>0</v>
      </c>
      <c r="D61" s="109">
        <v>0</v>
      </c>
      <c r="E61" s="103"/>
      <c r="F61" s="103"/>
      <c r="G61" s="103"/>
      <c r="H61" s="103"/>
      <c r="I61" s="103"/>
      <c r="J61" s="103"/>
      <c r="K61" s="103"/>
      <c r="L61" s="103"/>
      <c r="M61" s="103"/>
      <c r="N61" s="103"/>
      <c r="O61" s="103"/>
      <c r="P61" s="103"/>
      <c r="Q61" s="103"/>
      <c r="R61" s="103"/>
      <c r="S61" s="103"/>
      <c r="T61" s="103"/>
      <c r="U61" s="103"/>
      <c r="V61" s="103"/>
      <c r="W61" s="103"/>
      <c r="X61" s="103"/>
      <c r="Y61" s="103"/>
      <c r="Z61" s="103"/>
      <c r="AA61" s="103"/>
    </row>
    <row r="62" spans="1:27" ht="15">
      <c r="A62" s="135" t="s">
        <v>68</v>
      </c>
      <c r="B62" s="109">
        <f>'3C4_3C5 INFO BASE'!L75</f>
        <v>113</v>
      </c>
      <c r="C62" s="109">
        <v>1126.6</v>
      </c>
      <c r="D62" s="109">
        <v>2073.1</v>
      </c>
      <c r="E62" s="103"/>
      <c r="F62" s="103"/>
      <c r="G62" s="103"/>
      <c r="H62" s="103"/>
      <c r="I62" s="103"/>
      <c r="J62" s="103"/>
      <c r="K62" s="103"/>
      <c r="L62" s="103"/>
      <c r="M62" s="103"/>
      <c r="N62" s="103"/>
      <c r="O62" s="103"/>
      <c r="P62" s="103"/>
      <c r="Q62" s="103"/>
      <c r="R62" s="103"/>
      <c r="S62" s="103"/>
      <c r="T62" s="103"/>
      <c r="U62" s="103"/>
      <c r="V62" s="103"/>
      <c r="W62" s="103"/>
      <c r="X62" s="103"/>
      <c r="Y62" s="103"/>
      <c r="Z62" s="103"/>
      <c r="AA62" s="103"/>
    </row>
    <row r="63" spans="1:27" ht="15">
      <c r="A63" s="135" t="s">
        <v>69</v>
      </c>
      <c r="B63" s="109">
        <f>'3C4_3C5 INFO BASE'!L76</f>
        <v>0</v>
      </c>
      <c r="C63" s="109">
        <v>4862</v>
      </c>
      <c r="D63" s="109">
        <v>0</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row>
    <row r="64" spans="1:27" ht="15">
      <c r="A64" s="135" t="s">
        <v>70</v>
      </c>
      <c r="B64" s="109">
        <f>'3C4_3C5 INFO BASE'!L77</f>
        <v>0</v>
      </c>
      <c r="C64" s="109">
        <v>243</v>
      </c>
      <c r="D64" s="109">
        <v>443.562</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row>
    <row r="65" spans="1:27" ht="15">
      <c r="A65" s="135" t="s">
        <v>71</v>
      </c>
      <c r="B65" s="109">
        <f>'3C4_3C5 INFO BASE'!L78</f>
        <v>128</v>
      </c>
      <c r="C65" s="109">
        <v>0</v>
      </c>
      <c r="D65" s="109">
        <v>6409.771</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row>
    <row r="66" spans="1:27" ht="15">
      <c r="A66" s="137"/>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row>
    <row r="67" spans="1:11" ht="15">
      <c r="A67" s="102" t="s">
        <v>79</v>
      </c>
      <c r="B67" s="1183">
        <v>3</v>
      </c>
      <c r="C67" s="1178"/>
      <c r="D67" s="1179"/>
      <c r="F67" s="6"/>
      <c r="G67" s="507" t="s">
        <v>989</v>
      </c>
      <c r="H67" s="6"/>
      <c r="I67" s="6"/>
      <c r="J67" s="6"/>
      <c r="K67" s="6"/>
    </row>
    <row r="68" spans="1:11" ht="25.5">
      <c r="A68" s="104" t="s">
        <v>80</v>
      </c>
      <c r="B68" s="1184" t="s">
        <v>938</v>
      </c>
      <c r="C68" s="1185"/>
      <c r="D68" s="1186"/>
      <c r="F68" s="6"/>
      <c r="G68" s="6"/>
      <c r="H68" s="6"/>
      <c r="I68" s="6"/>
      <c r="J68" s="6"/>
      <c r="K68" s="6"/>
    </row>
    <row r="69" spans="1:11" ht="69" customHeight="1">
      <c r="A69" s="104" t="s">
        <v>81</v>
      </c>
      <c r="B69" s="1180" t="s">
        <v>1098</v>
      </c>
      <c r="C69" s="1181"/>
      <c r="D69" s="1182"/>
      <c r="F69" s="6"/>
      <c r="G69" s="6"/>
      <c r="H69" s="6"/>
      <c r="I69" s="6"/>
      <c r="J69" s="6"/>
      <c r="K69" s="6"/>
    </row>
    <row r="70" spans="1:11" ht="25.5">
      <c r="A70" s="104" t="s">
        <v>82</v>
      </c>
      <c r="B70" s="1180"/>
      <c r="C70" s="1181"/>
      <c r="D70" s="1182"/>
      <c r="F70" s="6"/>
      <c r="G70" s="6"/>
      <c r="H70" s="6"/>
      <c r="I70" s="6"/>
      <c r="J70" s="6"/>
      <c r="K70" s="6"/>
    </row>
    <row r="71" spans="1:4" ht="25.5">
      <c r="A71" s="104" t="s">
        <v>83</v>
      </c>
      <c r="B71" s="1180"/>
      <c r="C71" s="1181"/>
      <c r="D71" s="1182"/>
    </row>
    <row r="72" spans="1:4" ht="15">
      <c r="A72" s="104" t="s">
        <v>84</v>
      </c>
      <c r="B72" s="1180"/>
      <c r="C72" s="1181"/>
      <c r="D72" s="1182"/>
    </row>
    <row r="73" spans="1:4" ht="25.5">
      <c r="A73" s="138" t="s">
        <v>41</v>
      </c>
      <c r="B73" s="138" t="s">
        <v>474</v>
      </c>
      <c r="C73" s="138" t="s">
        <v>475</v>
      </c>
      <c r="D73" s="138" t="s">
        <v>463</v>
      </c>
    </row>
    <row r="74" spans="1:4" ht="15">
      <c r="A74" s="139" t="s">
        <v>4</v>
      </c>
      <c r="B74" s="140">
        <f>SUM(B75:B77)</f>
        <v>37299647.97</v>
      </c>
      <c r="C74" s="140">
        <f>SUM(C75:C77)</f>
        <v>144624.0600000047</v>
      </c>
      <c r="D74" s="140">
        <f>SUM(D75:D77)</f>
        <v>37299647.97</v>
      </c>
    </row>
    <row r="75" spans="1:4" ht="15">
      <c r="A75" s="476" t="s">
        <v>928</v>
      </c>
      <c r="B75" s="129">
        <v>5302557.269999996</v>
      </c>
      <c r="C75" s="129">
        <v>100315.89000000525</v>
      </c>
      <c r="D75" s="130">
        <f>SUM(B75)</f>
        <v>5302557.269999996</v>
      </c>
    </row>
    <row r="76" spans="1:4" ht="15">
      <c r="A76" s="476" t="s">
        <v>929</v>
      </c>
      <c r="B76" s="129">
        <v>29135051.82</v>
      </c>
      <c r="C76" s="129">
        <v>24223.859999999404</v>
      </c>
      <c r="D76" s="130">
        <f>SUM(B76)</f>
        <v>29135051.82</v>
      </c>
    </row>
    <row r="77" spans="1:4" ht="15">
      <c r="A77" s="476" t="s">
        <v>930</v>
      </c>
      <c r="B77" s="129">
        <v>2862038.88</v>
      </c>
      <c r="C77" s="129">
        <v>20084.310000000056</v>
      </c>
      <c r="D77" s="130">
        <f>SUM(B77)</f>
        <v>2862038.88</v>
      </c>
    </row>
  </sheetData>
  <mergeCells count="18">
    <mergeCell ref="B1:D1"/>
    <mergeCell ref="B67:D67"/>
    <mergeCell ref="B68:D68"/>
    <mergeCell ref="B2:D2"/>
    <mergeCell ref="B3:D3"/>
    <mergeCell ref="B4:D4"/>
    <mergeCell ref="B5:D5"/>
    <mergeCell ref="B6:D6"/>
    <mergeCell ref="B34:D34"/>
    <mergeCell ref="B35:D35"/>
    <mergeCell ref="B36:D36"/>
    <mergeCell ref="B37:D37"/>
    <mergeCell ref="B38:D38"/>
    <mergeCell ref="B39:D39"/>
    <mergeCell ref="B70:D70"/>
    <mergeCell ref="B71:D71"/>
    <mergeCell ref="B72:D72"/>
    <mergeCell ref="B69:D69"/>
  </mergeCells>
  <hyperlinks>
    <hyperlink ref="B37" r:id="rId1" display="http://frenteweb.minagri.gob.pe/sisca/"/>
    <hyperlink ref="B4" r:id="rId2" display="http://frenteweb.minagri.gob.pe/sisca/"/>
  </hyperlinks>
  <printOptions/>
  <pageMargins left="0.7" right="0.7" top="0.75" bottom="0.75" header="0.3" footer="0.3"/>
  <pageSetup horizontalDpi="300" verticalDpi="300" orientation="portrait" r:id="rId4"/>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EC3E6"/>
  </sheetPr>
  <dimension ref="A1:I19"/>
  <sheetViews>
    <sheetView workbookViewId="0" topLeftCell="A1"/>
  </sheetViews>
  <sheetFormatPr defaultColWidth="10.8515625" defaultRowHeight="15"/>
  <cols>
    <col min="1" max="1" width="10.8515625" style="103" customWidth="1"/>
    <col min="2" max="2" width="96.00390625" style="103" bestFit="1" customWidth="1"/>
    <col min="3" max="10" width="10.8515625" style="103" customWidth="1"/>
  </cols>
  <sheetData>
    <row r="1" spans="1:9" ht="15">
      <c r="A1" s="102" t="s">
        <v>79</v>
      </c>
      <c r="B1" s="142">
        <v>1</v>
      </c>
      <c r="D1" s="6"/>
      <c r="E1" s="507" t="s">
        <v>989</v>
      </c>
      <c r="F1" s="6"/>
      <c r="G1" s="6"/>
      <c r="H1" s="6"/>
      <c r="I1" s="6"/>
    </row>
    <row r="2" spans="1:9" ht="25.5">
      <c r="A2" s="104" t="s">
        <v>80</v>
      </c>
      <c r="B2" s="142" t="s">
        <v>220</v>
      </c>
      <c r="D2" s="6"/>
      <c r="E2" s="6"/>
      <c r="F2" s="6"/>
      <c r="G2" s="6"/>
      <c r="H2" s="6"/>
      <c r="I2" s="6"/>
    </row>
    <row r="3" spans="1:9" ht="15" customHeight="1">
      <c r="A3" s="104" t="s">
        <v>81</v>
      </c>
      <c r="B3" s="143"/>
      <c r="D3" s="6"/>
      <c r="E3" s="6"/>
      <c r="F3" s="6"/>
      <c r="G3" s="6"/>
      <c r="H3" s="6"/>
      <c r="I3" s="6"/>
    </row>
    <row r="4" spans="1:9" ht="38.25">
      <c r="A4" s="104" t="s">
        <v>82</v>
      </c>
      <c r="B4" s="144"/>
      <c r="D4" s="6"/>
      <c r="E4" s="6"/>
      <c r="F4" s="6"/>
      <c r="G4" s="6"/>
      <c r="H4" s="6"/>
      <c r="I4" s="6"/>
    </row>
    <row r="5" spans="1:2" ht="25.5">
      <c r="A5" s="104" t="s">
        <v>83</v>
      </c>
      <c r="B5" s="145"/>
    </row>
    <row r="6" spans="1:2" ht="25.5">
      <c r="A6" s="104" t="s">
        <v>84</v>
      </c>
      <c r="B6" s="143" t="s">
        <v>354</v>
      </c>
    </row>
    <row r="7" spans="1:2" ht="15">
      <c r="A7" s="105"/>
      <c r="B7" s="105" t="s">
        <v>223</v>
      </c>
    </row>
    <row r="8" spans="1:2" ht="15">
      <c r="A8" s="108" t="s">
        <v>219</v>
      </c>
      <c r="B8" s="146" t="s">
        <v>570</v>
      </c>
    </row>
    <row r="9" ht="15">
      <c r="A9" s="147" t="s">
        <v>569</v>
      </c>
    </row>
    <row r="11" spans="1:9" ht="15">
      <c r="A11" s="102" t="s">
        <v>79</v>
      </c>
      <c r="B11" s="142">
        <v>2</v>
      </c>
      <c r="D11" s="6"/>
      <c r="E11" s="507" t="s">
        <v>989</v>
      </c>
      <c r="F11" s="6"/>
      <c r="G11" s="6"/>
      <c r="H11" s="6"/>
      <c r="I11" s="6"/>
    </row>
    <row r="12" spans="1:9" ht="25.5">
      <c r="A12" s="104" t="s">
        <v>80</v>
      </c>
      <c r="B12" s="142" t="s">
        <v>222</v>
      </c>
      <c r="D12" s="6"/>
      <c r="E12" s="6"/>
      <c r="F12" s="6"/>
      <c r="G12" s="6"/>
      <c r="H12" s="6"/>
      <c r="I12" s="6"/>
    </row>
    <row r="13" spans="1:9" ht="12.75">
      <c r="A13" s="104" t="s">
        <v>81</v>
      </c>
      <c r="B13" s="143"/>
      <c r="D13" s="6"/>
      <c r="E13" s="6"/>
      <c r="F13" s="6"/>
      <c r="G13" s="6"/>
      <c r="H13" s="6"/>
      <c r="I13" s="6"/>
    </row>
    <row r="14" spans="1:9" ht="38.25">
      <c r="A14" s="104" t="s">
        <v>82</v>
      </c>
      <c r="B14" s="144"/>
      <c r="D14" s="6"/>
      <c r="E14" s="6"/>
      <c r="F14" s="6"/>
      <c r="G14" s="6"/>
      <c r="H14" s="6"/>
      <c r="I14" s="6"/>
    </row>
    <row r="15" spans="1:2" ht="25.5">
      <c r="A15" s="104" t="s">
        <v>83</v>
      </c>
      <c r="B15" s="145"/>
    </row>
    <row r="16" spans="1:2" ht="25.5">
      <c r="A16" s="104" t="s">
        <v>84</v>
      </c>
      <c r="B16" s="143" t="s">
        <v>354</v>
      </c>
    </row>
    <row r="17" spans="1:2" ht="15">
      <c r="A17" s="105"/>
      <c r="B17" s="105" t="s">
        <v>223</v>
      </c>
    </row>
    <row r="18" spans="1:2" ht="15">
      <c r="A18" s="108" t="s">
        <v>221</v>
      </c>
      <c r="B18" s="146" t="s">
        <v>570</v>
      </c>
    </row>
    <row r="19" ht="15">
      <c r="A19" s="147" t="s">
        <v>569</v>
      </c>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EC3E6"/>
  </sheetPr>
  <dimension ref="A1:I8"/>
  <sheetViews>
    <sheetView workbookViewId="0" topLeftCell="A1">
      <selection activeCell="B20" sqref="B20"/>
    </sheetView>
  </sheetViews>
  <sheetFormatPr defaultColWidth="10.8515625" defaultRowHeight="15"/>
  <cols>
    <col min="1" max="1" width="15.57421875" style="103" bestFit="1" customWidth="1"/>
    <col min="2" max="2" width="67.8515625" style="103" customWidth="1"/>
    <col min="3" max="3" width="10.8515625" style="103" customWidth="1"/>
  </cols>
  <sheetData>
    <row r="1" spans="1:9" ht="15">
      <c r="A1" s="102" t="s">
        <v>79</v>
      </c>
      <c r="B1" s="142">
        <v>1</v>
      </c>
      <c r="D1" s="6"/>
      <c r="E1" s="507" t="s">
        <v>989</v>
      </c>
      <c r="F1" s="6"/>
      <c r="G1" s="6"/>
      <c r="H1" s="6"/>
      <c r="I1" s="6"/>
    </row>
    <row r="2" spans="1:9" ht="15">
      <c r="A2" s="104" t="s">
        <v>80</v>
      </c>
      <c r="B2" s="148" t="s">
        <v>947</v>
      </c>
      <c r="D2" s="6"/>
      <c r="E2" s="6"/>
      <c r="F2" s="6"/>
      <c r="G2" s="6"/>
      <c r="H2" s="6"/>
      <c r="I2" s="6"/>
    </row>
    <row r="3" spans="1:9" ht="25.5">
      <c r="A3" s="104" t="s">
        <v>81</v>
      </c>
      <c r="B3" s="149" t="s">
        <v>493</v>
      </c>
      <c r="D3" s="6"/>
      <c r="E3" s="6"/>
      <c r="F3" s="6"/>
      <c r="G3" s="6"/>
      <c r="H3" s="6"/>
      <c r="I3" s="6"/>
    </row>
    <row r="4" spans="1:9" ht="30">
      <c r="A4" s="104" t="s">
        <v>82</v>
      </c>
      <c r="B4" s="699" t="s">
        <v>494</v>
      </c>
      <c r="D4" s="6"/>
      <c r="E4" s="6"/>
      <c r="F4" s="6"/>
      <c r="G4" s="6"/>
      <c r="H4" s="6"/>
      <c r="I4" s="6"/>
    </row>
    <row r="5" spans="1:2" ht="15">
      <c r="A5" s="104" t="s">
        <v>83</v>
      </c>
      <c r="B5" s="145">
        <v>44009</v>
      </c>
    </row>
    <row r="6" spans="1:2" ht="25.5">
      <c r="A6" s="104" t="s">
        <v>84</v>
      </c>
      <c r="B6" s="149" t="s">
        <v>495</v>
      </c>
    </row>
    <row r="7" spans="1:2" ht="15">
      <c r="A7" s="105" t="s">
        <v>250</v>
      </c>
      <c r="B7" s="105" t="s">
        <v>1016</v>
      </c>
    </row>
    <row r="8" spans="1:2" ht="15">
      <c r="A8" s="108" t="s">
        <v>231</v>
      </c>
      <c r="B8" s="109">
        <v>358008.424395</v>
      </c>
    </row>
  </sheetData>
  <hyperlinks>
    <hyperlink ref="B4" r:id="rId1" display="http://siea.minagri.gob.pe/siea/?q=publicaciones/anuario-estadistico-de-insumos-y-servicios-agrarios"/>
  </hyperlinks>
  <printOptions/>
  <pageMargins left="0.7" right="0.7" top="0.75" bottom="0.75" header="0.3" footer="0.3"/>
  <pageSetup orientation="portrait" paperSize="9"/>
  <drawing r:id="rId4"/>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EC3E6"/>
  </sheetPr>
  <dimension ref="A1:AF743"/>
  <sheetViews>
    <sheetView workbookViewId="0" topLeftCell="Q13">
      <selection activeCell="W25" sqref="W25"/>
    </sheetView>
  </sheetViews>
  <sheetFormatPr defaultColWidth="10.8515625" defaultRowHeight="15"/>
  <cols>
    <col min="1" max="1" width="17.140625" style="103" bestFit="1" customWidth="1"/>
    <col min="2" max="2" width="59.28125" style="103" customWidth="1"/>
    <col min="3" max="3" width="11.57421875" style="103" bestFit="1" customWidth="1"/>
    <col min="4" max="4" width="12.7109375" style="103" bestFit="1" customWidth="1"/>
    <col min="5" max="5" width="11.7109375" style="103" bestFit="1" customWidth="1"/>
    <col min="6" max="6" width="12.7109375" style="103" bestFit="1" customWidth="1"/>
    <col min="7" max="11" width="11.57421875" style="103" bestFit="1" customWidth="1"/>
    <col min="12" max="20" width="11.57421875" style="0" bestFit="1" customWidth="1"/>
    <col min="21" max="21" width="11.7109375" style="0" bestFit="1" customWidth="1"/>
    <col min="22" max="29" width="11.57421875" style="0" bestFit="1" customWidth="1"/>
  </cols>
  <sheetData>
    <row r="1" spans="1:25" ht="15">
      <c r="A1" s="102" t="s">
        <v>79</v>
      </c>
      <c r="B1" s="562">
        <v>1</v>
      </c>
      <c r="D1" s="6"/>
      <c r="E1" s="507" t="s">
        <v>989</v>
      </c>
      <c r="F1" s="6"/>
      <c r="G1" s="6"/>
      <c r="H1" s="6"/>
      <c r="I1" s="6"/>
      <c r="L1" s="1"/>
      <c r="M1" s="1"/>
      <c r="N1" s="1"/>
      <c r="O1" s="1"/>
      <c r="P1" s="1"/>
      <c r="Q1" s="1"/>
      <c r="R1" s="1"/>
      <c r="S1" s="1"/>
      <c r="T1" s="1"/>
      <c r="U1" s="1"/>
      <c r="V1" s="1"/>
      <c r="W1" s="1"/>
      <c r="X1" s="1"/>
      <c r="Y1" s="1"/>
    </row>
    <row r="2" spans="1:25" ht="25.5">
      <c r="A2" s="104" t="s">
        <v>80</v>
      </c>
      <c r="B2" s="563" t="s">
        <v>974</v>
      </c>
      <c r="D2" s="6"/>
      <c r="E2" s="6"/>
      <c r="F2" s="6"/>
      <c r="G2" s="6"/>
      <c r="H2" s="6"/>
      <c r="I2" s="6"/>
      <c r="L2" s="1"/>
      <c r="M2" s="1"/>
      <c r="N2" s="1"/>
      <c r="O2" s="1"/>
      <c r="P2" s="1"/>
      <c r="Q2" s="1"/>
      <c r="R2" s="1"/>
      <c r="S2" s="1"/>
      <c r="T2" s="1"/>
      <c r="U2" s="1"/>
      <c r="V2" s="1"/>
      <c r="W2" s="1"/>
      <c r="X2" s="1"/>
      <c r="Y2" s="1"/>
    </row>
    <row r="3" spans="1:25" ht="25.5">
      <c r="A3" s="104" t="s">
        <v>81</v>
      </c>
      <c r="B3" s="563" t="s">
        <v>493</v>
      </c>
      <c r="D3" s="6"/>
      <c r="E3" s="6"/>
      <c r="F3" s="6"/>
      <c r="G3" s="6"/>
      <c r="H3" s="6"/>
      <c r="I3" s="6"/>
      <c r="L3" s="1"/>
      <c r="M3" s="1"/>
      <c r="N3" s="1"/>
      <c r="O3" s="1"/>
      <c r="P3" s="1"/>
      <c r="Q3" s="1"/>
      <c r="R3" s="1"/>
      <c r="S3" s="1"/>
      <c r="T3" s="1"/>
      <c r="U3" s="1"/>
      <c r="V3" s="1"/>
      <c r="W3" s="1"/>
      <c r="X3" s="1"/>
      <c r="Y3" s="1"/>
    </row>
    <row r="4" spans="1:25" ht="30" customHeight="1">
      <c r="A4" s="104" t="s">
        <v>82</v>
      </c>
      <c r="B4" s="150" t="s">
        <v>494</v>
      </c>
      <c r="D4" s="6"/>
      <c r="E4" s="6"/>
      <c r="F4" s="6"/>
      <c r="G4" s="6"/>
      <c r="H4" s="6"/>
      <c r="I4" s="6"/>
      <c r="L4" s="1"/>
      <c r="M4" s="1"/>
      <c r="N4" s="1"/>
      <c r="O4" s="1"/>
      <c r="P4" s="1"/>
      <c r="Q4" s="1"/>
      <c r="R4" s="1"/>
      <c r="S4" s="1"/>
      <c r="T4" s="1"/>
      <c r="U4" s="1"/>
      <c r="V4" s="1"/>
      <c r="W4" s="1"/>
      <c r="X4" s="1"/>
      <c r="Y4" s="1"/>
    </row>
    <row r="5" spans="1:25" ht="15">
      <c r="A5" s="104" t="s">
        <v>83</v>
      </c>
      <c r="B5" s="564">
        <v>44009</v>
      </c>
      <c r="L5" s="1"/>
      <c r="M5" s="1"/>
      <c r="N5" s="1"/>
      <c r="O5" s="1"/>
      <c r="P5" s="1"/>
      <c r="Q5" s="1"/>
      <c r="R5" s="1"/>
      <c r="S5" s="1"/>
      <c r="T5" s="1"/>
      <c r="U5" s="1"/>
      <c r="V5" s="1"/>
      <c r="W5" s="1"/>
      <c r="X5" s="1"/>
      <c r="Y5" s="1"/>
    </row>
    <row r="6" spans="1:25" ht="25.5" customHeight="1">
      <c r="A6" s="104" t="s">
        <v>84</v>
      </c>
      <c r="B6" s="563" t="s">
        <v>495</v>
      </c>
      <c r="L6" s="1"/>
      <c r="M6" s="1"/>
      <c r="N6" s="1"/>
      <c r="O6" s="1"/>
      <c r="P6" s="1"/>
      <c r="Q6" s="1"/>
      <c r="R6" s="1"/>
      <c r="S6" s="1"/>
      <c r="T6" s="1"/>
      <c r="U6" s="1"/>
      <c r="V6" s="1"/>
      <c r="W6" s="1"/>
      <c r="X6" s="1"/>
      <c r="Y6" s="1"/>
    </row>
    <row r="7" spans="1:25" ht="26.25">
      <c r="A7" s="105" t="s">
        <v>249</v>
      </c>
      <c r="B7" s="105" t="s">
        <v>1016</v>
      </c>
      <c r="L7" s="1"/>
      <c r="M7" s="1"/>
      <c r="N7" s="1"/>
      <c r="O7" s="1"/>
      <c r="P7" s="1"/>
      <c r="Q7" s="1"/>
      <c r="R7" s="1"/>
      <c r="S7" s="1"/>
      <c r="T7" s="1"/>
      <c r="U7" s="1"/>
      <c r="V7" s="1"/>
      <c r="W7" s="1"/>
      <c r="X7" s="1"/>
      <c r="Y7" s="1"/>
    </row>
    <row r="8" spans="1:25" ht="15">
      <c r="A8" s="108" t="s">
        <v>231</v>
      </c>
      <c r="B8" s="109">
        <f>'3C3 INFO BASE'!B8</f>
        <v>358008.424395</v>
      </c>
      <c r="L8" s="1"/>
      <c r="M8" s="1"/>
      <c r="N8" s="1"/>
      <c r="O8" s="1"/>
      <c r="P8" s="1"/>
      <c r="Q8" s="1"/>
      <c r="R8" s="1"/>
      <c r="S8" s="1"/>
      <c r="T8" s="1"/>
      <c r="U8" s="1"/>
      <c r="V8" s="1"/>
      <c r="W8" s="1"/>
      <c r="X8" s="1"/>
      <c r="Y8" s="1"/>
    </row>
    <row r="9" spans="1:25" ht="15">
      <c r="A9" s="108" t="s">
        <v>254</v>
      </c>
      <c r="B9" s="109">
        <v>189004.2875</v>
      </c>
      <c r="L9" s="1"/>
      <c r="M9" s="1"/>
      <c r="N9" s="1"/>
      <c r="O9" s="1"/>
      <c r="P9" s="1"/>
      <c r="Q9" s="1"/>
      <c r="R9" s="1"/>
      <c r="S9" s="1"/>
      <c r="T9" s="1"/>
      <c r="U9" s="1"/>
      <c r="V9" s="1"/>
      <c r="W9" s="1"/>
      <c r="X9" s="1"/>
      <c r="Y9" s="1"/>
    </row>
    <row r="10" spans="1:25" ht="15">
      <c r="A10" s="108" t="s">
        <v>352</v>
      </c>
      <c r="B10" s="109">
        <v>227205.054776</v>
      </c>
      <c r="L10" s="1"/>
      <c r="M10" s="1"/>
      <c r="N10" s="1"/>
      <c r="O10" s="1"/>
      <c r="P10" s="1"/>
      <c r="Q10" s="1"/>
      <c r="R10" s="1"/>
      <c r="S10" s="1"/>
      <c r="T10" s="1"/>
      <c r="U10" s="1"/>
      <c r="V10" s="1"/>
      <c r="W10" s="1"/>
      <c r="X10" s="1"/>
      <c r="Y10" s="1"/>
    </row>
    <row r="11" spans="1:25" ht="15">
      <c r="A11" s="108" t="s">
        <v>353</v>
      </c>
      <c r="B11" s="109">
        <v>119554.43</v>
      </c>
      <c r="L11" s="1"/>
      <c r="M11" s="1"/>
      <c r="N11" s="1"/>
      <c r="O11" s="1"/>
      <c r="P11" s="1"/>
      <c r="Q11" s="1"/>
      <c r="R11" s="1"/>
      <c r="S11" s="1"/>
      <c r="T11" s="1"/>
      <c r="U11" s="1"/>
      <c r="V11" s="1"/>
      <c r="W11" s="1"/>
      <c r="X11" s="1"/>
      <c r="Y11" s="1"/>
    </row>
    <row r="12" spans="12:25" ht="15">
      <c r="L12" s="1"/>
      <c r="M12" s="1"/>
      <c r="N12" s="1"/>
      <c r="O12" s="1"/>
      <c r="P12" s="1"/>
      <c r="Q12" s="1"/>
      <c r="R12" s="1"/>
      <c r="S12" s="1"/>
      <c r="T12" s="1"/>
      <c r="U12" s="1"/>
      <c r="V12" s="1"/>
      <c r="W12" s="1"/>
      <c r="X12" s="1"/>
      <c r="Y12" s="1"/>
    </row>
    <row r="13" spans="1:25" ht="15">
      <c r="A13" s="102" t="s">
        <v>79</v>
      </c>
      <c r="B13" s="143">
        <v>2</v>
      </c>
      <c r="D13" s="6"/>
      <c r="E13" s="507" t="s">
        <v>989</v>
      </c>
      <c r="F13" s="6"/>
      <c r="G13" s="6"/>
      <c r="H13" s="6"/>
      <c r="I13" s="6"/>
      <c r="L13" s="1"/>
      <c r="M13" s="1"/>
      <c r="N13" s="1"/>
      <c r="O13" s="1"/>
      <c r="P13" s="1"/>
      <c r="Q13" s="1"/>
      <c r="R13" s="1"/>
      <c r="S13" s="1"/>
      <c r="T13" s="1"/>
      <c r="U13" s="1"/>
      <c r="V13" s="1"/>
      <c r="W13" s="1"/>
      <c r="X13" s="1"/>
      <c r="Y13" s="1"/>
    </row>
    <row r="14" spans="1:25" ht="15">
      <c r="A14" s="104" t="s">
        <v>80</v>
      </c>
      <c r="B14" s="149" t="s">
        <v>975</v>
      </c>
      <c r="C14" s="151"/>
      <c r="D14" s="6"/>
      <c r="E14" s="6"/>
      <c r="F14" s="6"/>
      <c r="G14" s="6"/>
      <c r="H14" s="6"/>
      <c r="I14" s="6"/>
      <c r="L14" s="1"/>
      <c r="M14" s="1"/>
      <c r="N14" s="1"/>
      <c r="O14" s="1"/>
      <c r="P14" s="1"/>
      <c r="Q14" s="1"/>
      <c r="R14" s="1"/>
      <c r="S14" s="1"/>
      <c r="T14" s="1"/>
      <c r="U14" s="1"/>
      <c r="V14" s="1"/>
      <c r="W14" s="1"/>
      <c r="X14" s="1"/>
      <c r="Y14" s="1"/>
    </row>
    <row r="15" spans="1:25" ht="15">
      <c r="A15" s="104" t="s">
        <v>81</v>
      </c>
      <c r="B15" s="152" t="s">
        <v>568</v>
      </c>
      <c r="C15" s="153"/>
      <c r="D15" s="6"/>
      <c r="E15" s="6"/>
      <c r="F15" s="6"/>
      <c r="G15" s="6"/>
      <c r="H15" s="6"/>
      <c r="I15" s="6"/>
      <c r="L15" s="1"/>
      <c r="M15" s="1"/>
      <c r="N15" s="1"/>
      <c r="O15" s="1"/>
      <c r="P15" s="1"/>
      <c r="Q15" s="1"/>
      <c r="R15" s="1"/>
      <c r="S15" s="1"/>
      <c r="T15" s="1"/>
      <c r="U15" s="1"/>
      <c r="V15" s="1"/>
      <c r="W15" s="1"/>
      <c r="X15" s="1"/>
      <c r="Y15" s="1"/>
    </row>
    <row r="16" spans="1:25" ht="15">
      <c r="A16" s="104" t="s">
        <v>82</v>
      </c>
      <c r="B16" s="569" t="s">
        <v>567</v>
      </c>
      <c r="C16" s="155"/>
      <c r="D16" s="6"/>
      <c r="E16" s="6"/>
      <c r="F16" s="6"/>
      <c r="G16" s="6"/>
      <c r="H16" s="6"/>
      <c r="I16" s="6"/>
      <c r="L16" s="1"/>
      <c r="M16" s="1"/>
      <c r="N16" s="1"/>
      <c r="O16" s="1"/>
      <c r="P16" s="1"/>
      <c r="Q16" s="1"/>
      <c r="R16" s="1"/>
      <c r="S16" s="1"/>
      <c r="T16" s="1"/>
      <c r="U16" s="1"/>
      <c r="V16" s="1"/>
      <c r="W16" s="1"/>
      <c r="X16" s="1"/>
      <c r="Y16" s="1"/>
    </row>
    <row r="17" spans="1:25" ht="15">
      <c r="A17" s="104" t="s">
        <v>83</v>
      </c>
      <c r="B17" s="156">
        <v>44056</v>
      </c>
      <c r="C17" s="157"/>
      <c r="D17" s="157"/>
      <c r="L17" s="1"/>
      <c r="M17" s="1"/>
      <c r="N17" s="1"/>
      <c r="O17" s="1"/>
      <c r="P17" s="1"/>
      <c r="Q17" s="1"/>
      <c r="R17" s="1"/>
      <c r="S17" s="1"/>
      <c r="T17" s="1"/>
      <c r="U17" s="1"/>
      <c r="V17" s="1"/>
      <c r="W17" s="1"/>
      <c r="X17" s="1"/>
      <c r="Y17" s="1"/>
    </row>
    <row r="18" spans="1:25" ht="25.5">
      <c r="A18" s="104" t="s">
        <v>84</v>
      </c>
      <c r="B18" s="149" t="s">
        <v>1046</v>
      </c>
      <c r="L18" s="1"/>
      <c r="M18" s="1"/>
      <c r="N18" s="1"/>
      <c r="O18" s="1"/>
      <c r="P18" s="1"/>
      <c r="Q18" s="1"/>
      <c r="R18" s="1"/>
      <c r="S18" s="1"/>
      <c r="T18" s="1"/>
      <c r="U18" s="1"/>
      <c r="V18" s="1"/>
      <c r="W18" s="1"/>
      <c r="X18" s="1"/>
      <c r="Y18" s="1"/>
    </row>
    <row r="19" spans="1:32" ht="26.25">
      <c r="A19" s="105" t="s">
        <v>337</v>
      </c>
      <c r="B19" s="133" t="s">
        <v>1059</v>
      </c>
      <c r="C19" s="133" t="s">
        <v>302</v>
      </c>
      <c r="D19" s="133" t="s">
        <v>303</v>
      </c>
      <c r="E19" s="133" t="s">
        <v>332</v>
      </c>
      <c r="F19" s="133" t="s">
        <v>304</v>
      </c>
      <c r="G19" s="133" t="s">
        <v>305</v>
      </c>
      <c r="H19" s="133" t="s">
        <v>306</v>
      </c>
      <c r="I19" s="133" t="s">
        <v>307</v>
      </c>
      <c r="J19" s="133" t="s">
        <v>308</v>
      </c>
      <c r="K19" s="133" t="s">
        <v>309</v>
      </c>
      <c r="L19" s="3" t="s">
        <v>310</v>
      </c>
      <c r="M19" s="3" t="s">
        <v>311</v>
      </c>
      <c r="N19" s="3" t="s">
        <v>312</v>
      </c>
      <c r="O19" s="3" t="s">
        <v>313</v>
      </c>
      <c r="P19" s="3" t="s">
        <v>314</v>
      </c>
      <c r="Q19" s="3" t="s">
        <v>315</v>
      </c>
      <c r="R19" s="3" t="s">
        <v>316</v>
      </c>
      <c r="S19" s="3" t="s">
        <v>317</v>
      </c>
      <c r="T19" s="3" t="s">
        <v>318</v>
      </c>
      <c r="U19" s="3" t="s">
        <v>319</v>
      </c>
      <c r="V19" s="3" t="s">
        <v>320</v>
      </c>
      <c r="W19" s="3" t="s">
        <v>322</v>
      </c>
      <c r="X19" s="3" t="s">
        <v>323</v>
      </c>
      <c r="Y19" s="3" t="s">
        <v>324</v>
      </c>
      <c r="Z19" s="3" t="s">
        <v>325</v>
      </c>
      <c r="AA19" s="3" t="s">
        <v>326</v>
      </c>
      <c r="AB19" s="3" t="s">
        <v>327</v>
      </c>
      <c r="AC19" s="3" t="s">
        <v>328</v>
      </c>
      <c r="AD19" s="3" t="s">
        <v>329</v>
      </c>
      <c r="AE19" s="3" t="s">
        <v>330</v>
      </c>
      <c r="AF19" s="3" t="s">
        <v>331</v>
      </c>
    </row>
    <row r="20" spans="1:32" ht="15">
      <c r="A20" s="134" t="s">
        <v>167</v>
      </c>
      <c r="B20" s="134">
        <f>SUM(B21:B44)</f>
        <v>87697</v>
      </c>
      <c r="C20" s="134">
        <f aca="true" t="shared" si="0" ref="C20:V20">SUM(C21:C44)</f>
        <v>310699</v>
      </c>
      <c r="D20" s="134">
        <f t="shared" si="0"/>
        <v>419564</v>
      </c>
      <c r="E20" s="134">
        <f t="shared" si="0"/>
        <v>160649</v>
      </c>
      <c r="F20" s="134">
        <f t="shared" si="0"/>
        <v>267576</v>
      </c>
      <c r="G20" s="134">
        <f>SUM(G21:G44)</f>
        <v>99109</v>
      </c>
      <c r="H20" s="134">
        <f t="shared" si="0"/>
        <v>18094</v>
      </c>
      <c r="I20" s="134">
        <f>SUM(I21:I44)</f>
        <v>15142</v>
      </c>
      <c r="J20" s="134">
        <f t="shared" si="0"/>
        <v>64224</v>
      </c>
      <c r="K20" s="134">
        <f t="shared" si="0"/>
        <v>6093</v>
      </c>
      <c r="L20" s="4">
        <f t="shared" si="0"/>
        <v>18099</v>
      </c>
      <c r="M20" s="4">
        <f t="shared" si="0"/>
        <v>14884</v>
      </c>
      <c r="N20" s="4">
        <f t="shared" si="0"/>
        <v>44394</v>
      </c>
      <c r="O20" s="4">
        <f t="shared" si="0"/>
        <v>31967</v>
      </c>
      <c r="P20" s="4">
        <f t="shared" si="0"/>
        <v>197312</v>
      </c>
      <c r="Q20" s="4">
        <f t="shared" si="0"/>
        <v>6070</v>
      </c>
      <c r="R20" s="4">
        <f t="shared" si="0"/>
        <v>127180</v>
      </c>
      <c r="S20" s="4">
        <f t="shared" si="0"/>
        <v>135745</v>
      </c>
      <c r="T20" s="4">
        <f t="shared" si="0"/>
        <v>51057</v>
      </c>
      <c r="U20" s="4">
        <f t="shared" si="0"/>
        <v>383973</v>
      </c>
      <c r="V20" s="4">
        <f t="shared" si="0"/>
        <v>125582</v>
      </c>
      <c r="W20" s="4">
        <v>6636695.343</v>
      </c>
      <c r="X20" s="4">
        <v>120125.325</v>
      </c>
      <c r="Y20" s="4">
        <v>50153.91</v>
      </c>
      <c r="Z20" s="4">
        <v>80886.753</v>
      </c>
      <c r="AA20" s="4">
        <v>71918.587</v>
      </c>
      <c r="AB20" s="4">
        <v>13099.818</v>
      </c>
      <c r="AC20" s="4">
        <v>24200.327999999998</v>
      </c>
      <c r="AD20" s="4">
        <v>14019.22</v>
      </c>
      <c r="AE20" s="4">
        <v>64340.522</v>
      </c>
      <c r="AF20" s="4">
        <v>1371.22</v>
      </c>
    </row>
    <row r="21" spans="1:32" ht="15">
      <c r="A21" s="158" t="s">
        <v>49</v>
      </c>
      <c r="B21" s="146"/>
      <c r="C21" s="146">
        <v>3840</v>
      </c>
      <c r="D21" s="146">
        <v>41567</v>
      </c>
      <c r="E21" s="146">
        <v>13232</v>
      </c>
      <c r="F21" s="146">
        <v>12171</v>
      </c>
      <c r="G21" s="146">
        <v>9268</v>
      </c>
      <c r="H21" s="146">
        <v>2</v>
      </c>
      <c r="I21" s="146">
        <v>40</v>
      </c>
      <c r="J21" s="146">
        <v>61</v>
      </c>
      <c r="K21" s="146"/>
      <c r="L21" s="8"/>
      <c r="M21" s="8">
        <v>1078</v>
      </c>
      <c r="N21" s="8">
        <v>1081</v>
      </c>
      <c r="O21" s="8"/>
      <c r="P21" s="8">
        <v>7511</v>
      </c>
      <c r="Q21" s="8">
        <v>29</v>
      </c>
      <c r="R21" s="8">
        <v>474</v>
      </c>
      <c r="S21" s="8">
        <v>137</v>
      </c>
      <c r="T21" s="8"/>
      <c r="U21" s="8">
        <v>53258</v>
      </c>
      <c r="V21" s="8">
        <v>7302</v>
      </c>
      <c r="W21" s="8">
        <v>125</v>
      </c>
      <c r="X21" s="8">
        <v>273</v>
      </c>
      <c r="Y21" s="8">
        <v>702</v>
      </c>
      <c r="Z21" s="8">
        <v>8192</v>
      </c>
      <c r="AA21" s="8">
        <v>152</v>
      </c>
      <c r="AB21" s="8"/>
      <c r="AC21" s="8"/>
      <c r="AD21" s="8">
        <v>120</v>
      </c>
      <c r="AE21" s="8">
        <v>318</v>
      </c>
      <c r="AF21" s="8">
        <v>270</v>
      </c>
    </row>
    <row r="22" spans="1:32" ht="15">
      <c r="A22" s="158" t="s">
        <v>321</v>
      </c>
      <c r="B22" s="146">
        <v>7267</v>
      </c>
      <c r="C22" s="146">
        <v>10709</v>
      </c>
      <c r="D22" s="146">
        <v>6795</v>
      </c>
      <c r="E22" s="146">
        <v>147</v>
      </c>
      <c r="F22" s="146">
        <v>16440</v>
      </c>
      <c r="G22" s="146">
        <v>163</v>
      </c>
      <c r="H22" s="146">
        <v>290</v>
      </c>
      <c r="I22" s="146">
        <v>1150</v>
      </c>
      <c r="J22" s="146">
        <v>352</v>
      </c>
      <c r="K22" s="146">
        <v>132</v>
      </c>
      <c r="L22" s="8">
        <v>518</v>
      </c>
      <c r="M22" s="8"/>
      <c r="N22" s="8">
        <v>4094</v>
      </c>
      <c r="O22" s="8">
        <v>2915</v>
      </c>
      <c r="P22" s="8">
        <v>8932</v>
      </c>
      <c r="Q22" s="8">
        <v>230</v>
      </c>
      <c r="R22" s="8">
        <v>12262</v>
      </c>
      <c r="S22" s="8">
        <v>7325</v>
      </c>
      <c r="T22" s="8"/>
      <c r="U22" s="8"/>
      <c r="V22" s="8"/>
      <c r="W22" s="8">
        <v>7902</v>
      </c>
      <c r="X22" s="8">
        <v>1460</v>
      </c>
      <c r="Y22" s="8">
        <v>807</v>
      </c>
      <c r="Z22" s="8">
        <v>937</v>
      </c>
      <c r="AA22" s="8">
        <v>1645</v>
      </c>
      <c r="AB22" s="8">
        <v>42</v>
      </c>
      <c r="AC22" s="8"/>
      <c r="AD22" s="8">
        <v>643</v>
      </c>
      <c r="AE22" s="8">
        <v>130</v>
      </c>
      <c r="AF22" s="8"/>
    </row>
    <row r="23" spans="1:32" ht="15">
      <c r="A23" s="158" t="s">
        <v>50</v>
      </c>
      <c r="B23" s="146"/>
      <c r="C23" s="146">
        <v>22165</v>
      </c>
      <c r="D23" s="146"/>
      <c r="E23" s="146">
        <v>88</v>
      </c>
      <c r="F23" s="146">
        <v>2157</v>
      </c>
      <c r="G23" s="146">
        <v>105</v>
      </c>
      <c r="H23" s="146">
        <v>177</v>
      </c>
      <c r="I23" s="146">
        <v>126</v>
      </c>
      <c r="J23" s="146">
        <v>4100</v>
      </c>
      <c r="K23" s="146">
        <v>10</v>
      </c>
      <c r="L23" s="8"/>
      <c r="M23" s="8"/>
      <c r="N23" s="8">
        <v>2366</v>
      </c>
      <c r="O23" s="8"/>
      <c r="P23" s="8">
        <v>22035</v>
      </c>
      <c r="Q23" s="8">
        <v>173</v>
      </c>
      <c r="R23" s="8">
        <v>4761</v>
      </c>
      <c r="S23" s="8">
        <v>4349</v>
      </c>
      <c r="T23" s="8"/>
      <c r="U23" s="8"/>
      <c r="V23" s="8"/>
      <c r="W23" s="8">
        <v>2761</v>
      </c>
      <c r="X23" s="8">
        <v>1358</v>
      </c>
      <c r="Y23" s="8">
        <v>1024</v>
      </c>
      <c r="Z23" s="8">
        <v>3769</v>
      </c>
      <c r="AA23" s="8">
        <v>3502</v>
      </c>
      <c r="AB23" s="8">
        <v>2</v>
      </c>
      <c r="AC23" s="8"/>
      <c r="AD23" s="8">
        <v>787</v>
      </c>
      <c r="AE23" s="8">
        <v>1367</v>
      </c>
      <c r="AF23" s="8"/>
    </row>
    <row r="24" spans="1:32" ht="15">
      <c r="A24" s="158" t="s">
        <v>51</v>
      </c>
      <c r="B24" s="146">
        <v>501</v>
      </c>
      <c r="C24" s="146">
        <v>10410</v>
      </c>
      <c r="D24" s="146">
        <v>19939</v>
      </c>
      <c r="E24" s="146">
        <v>2</v>
      </c>
      <c r="F24" s="146">
        <v>194</v>
      </c>
      <c r="G24" s="146">
        <v>26</v>
      </c>
      <c r="H24" s="146">
        <v>9931</v>
      </c>
      <c r="I24" s="146">
        <v>137</v>
      </c>
      <c r="J24" s="146">
        <v>1831</v>
      </c>
      <c r="K24" s="146">
        <v>1762</v>
      </c>
      <c r="L24" s="8">
        <v>107</v>
      </c>
      <c r="M24" s="8"/>
      <c r="N24" s="8">
        <v>2167</v>
      </c>
      <c r="O24" s="8"/>
      <c r="P24" s="8">
        <v>2346</v>
      </c>
      <c r="Q24" s="8">
        <v>911</v>
      </c>
      <c r="R24" s="8">
        <v>1638</v>
      </c>
      <c r="S24" s="8">
        <v>394</v>
      </c>
      <c r="T24" s="8"/>
      <c r="U24" s="8"/>
      <c r="V24" s="8"/>
      <c r="W24" s="8">
        <v>40284</v>
      </c>
      <c r="X24" s="8">
        <v>31</v>
      </c>
      <c r="Y24" s="8">
        <v>1148</v>
      </c>
      <c r="Z24" s="8">
        <v>3452</v>
      </c>
      <c r="AA24" s="8">
        <v>218</v>
      </c>
      <c r="AB24" s="8">
        <v>147</v>
      </c>
      <c r="AC24" s="8"/>
      <c r="AD24" s="8"/>
      <c r="AE24" s="8">
        <v>794</v>
      </c>
      <c r="AF24" s="8"/>
    </row>
    <row r="25" spans="1:32" ht="15">
      <c r="A25" s="158" t="s">
        <v>52</v>
      </c>
      <c r="B25" s="146"/>
      <c r="C25" s="146">
        <v>20596</v>
      </c>
      <c r="D25" s="146">
        <v>80</v>
      </c>
      <c r="E25" s="146">
        <v>284</v>
      </c>
      <c r="F25" s="146">
        <v>863</v>
      </c>
      <c r="G25" s="146">
        <v>798</v>
      </c>
      <c r="H25" s="146">
        <v>409</v>
      </c>
      <c r="I25" s="146">
        <v>32</v>
      </c>
      <c r="J25" s="146">
        <v>11515</v>
      </c>
      <c r="K25" s="146"/>
      <c r="L25" s="8"/>
      <c r="M25" s="8">
        <v>127</v>
      </c>
      <c r="N25" s="8">
        <v>1706</v>
      </c>
      <c r="O25" s="8"/>
      <c r="P25" s="8">
        <v>17013</v>
      </c>
      <c r="Q25" s="8">
        <v>117</v>
      </c>
      <c r="R25" s="8">
        <v>8655</v>
      </c>
      <c r="S25" s="8">
        <v>12476</v>
      </c>
      <c r="T25" s="8"/>
      <c r="U25" s="8">
        <v>5866</v>
      </c>
      <c r="V25" s="8">
        <v>6903</v>
      </c>
      <c r="W25" s="8">
        <v>7951</v>
      </c>
      <c r="X25" s="8">
        <v>4153</v>
      </c>
      <c r="Y25" s="8">
        <v>1519</v>
      </c>
      <c r="Z25" s="8">
        <v>1943</v>
      </c>
      <c r="AA25" s="8">
        <v>6364</v>
      </c>
      <c r="AB25" s="8">
        <v>18</v>
      </c>
      <c r="AC25" s="8"/>
      <c r="AD25" s="8">
        <v>279</v>
      </c>
      <c r="AE25" s="8">
        <v>1569</v>
      </c>
      <c r="AF25" s="8"/>
    </row>
    <row r="26" spans="1:32" ht="15">
      <c r="A26" s="158" t="s">
        <v>53</v>
      </c>
      <c r="B26" s="146"/>
      <c r="C26" s="146">
        <v>26162</v>
      </c>
      <c r="D26" s="146">
        <v>24886</v>
      </c>
      <c r="E26" s="146">
        <v>5489</v>
      </c>
      <c r="F26" s="146">
        <v>18507</v>
      </c>
      <c r="G26" s="146">
        <v>7493</v>
      </c>
      <c r="H26" s="146">
        <v>160</v>
      </c>
      <c r="I26" s="146">
        <v>1184</v>
      </c>
      <c r="J26" s="146">
        <v>878</v>
      </c>
      <c r="K26" s="146"/>
      <c r="L26" s="8"/>
      <c r="M26" s="8">
        <v>362</v>
      </c>
      <c r="N26" s="8">
        <v>9112</v>
      </c>
      <c r="O26" s="8"/>
      <c r="P26" s="8">
        <v>37673</v>
      </c>
      <c r="Q26" s="8">
        <v>137</v>
      </c>
      <c r="R26" s="8">
        <v>28344</v>
      </c>
      <c r="S26" s="8">
        <v>10478</v>
      </c>
      <c r="T26" s="8"/>
      <c r="U26" s="8">
        <v>53038</v>
      </c>
      <c r="V26" s="8">
        <v>1231</v>
      </c>
      <c r="W26" s="8">
        <v>2212</v>
      </c>
      <c r="X26" s="8">
        <v>16752</v>
      </c>
      <c r="Y26" s="8">
        <v>10895</v>
      </c>
      <c r="Z26" s="8">
        <v>17214</v>
      </c>
      <c r="AA26" s="8">
        <v>4156</v>
      </c>
      <c r="AB26" s="8"/>
      <c r="AC26" s="8"/>
      <c r="AD26" s="8">
        <v>464</v>
      </c>
      <c r="AE26" s="8">
        <v>1466</v>
      </c>
      <c r="AF26" s="8">
        <v>4</v>
      </c>
    </row>
    <row r="27" spans="1:32" ht="15">
      <c r="A27" s="158" t="s">
        <v>54</v>
      </c>
      <c r="B27" s="146"/>
      <c r="C27" s="146">
        <v>30136</v>
      </c>
      <c r="D27" s="146">
        <v>1476</v>
      </c>
      <c r="E27" s="146">
        <v>3501</v>
      </c>
      <c r="F27" s="146">
        <v>2866</v>
      </c>
      <c r="G27" s="146">
        <v>3544</v>
      </c>
      <c r="H27" s="146">
        <v>596</v>
      </c>
      <c r="I27" s="146">
        <v>32</v>
      </c>
      <c r="J27" s="146">
        <v>3088</v>
      </c>
      <c r="K27" s="146">
        <v>712</v>
      </c>
      <c r="L27" s="8"/>
      <c r="M27" s="8">
        <v>841</v>
      </c>
      <c r="N27" s="8">
        <v>2426</v>
      </c>
      <c r="O27" s="8"/>
      <c r="P27" s="8">
        <v>24589</v>
      </c>
      <c r="Q27" s="8">
        <v>47</v>
      </c>
      <c r="R27" s="8">
        <v>10338</v>
      </c>
      <c r="S27" s="8">
        <v>14455</v>
      </c>
      <c r="T27" s="8"/>
      <c r="U27" s="8">
        <v>50402</v>
      </c>
      <c r="V27" s="8">
        <v>18138</v>
      </c>
      <c r="W27" s="8">
        <v>2175</v>
      </c>
      <c r="X27" s="8">
        <v>2900</v>
      </c>
      <c r="Y27" s="8">
        <v>365</v>
      </c>
      <c r="Z27" s="8">
        <v>1413</v>
      </c>
      <c r="AA27" s="8">
        <v>10483</v>
      </c>
      <c r="AB27" s="8"/>
      <c r="AC27" s="8"/>
      <c r="AD27" s="8">
        <v>2331</v>
      </c>
      <c r="AE27" s="8">
        <v>548</v>
      </c>
      <c r="AF27" s="8">
        <v>63</v>
      </c>
    </row>
    <row r="28" spans="1:32" ht="15">
      <c r="A28" s="158" t="s">
        <v>55</v>
      </c>
      <c r="B28" s="146"/>
      <c r="C28" s="146">
        <v>24915</v>
      </c>
      <c r="D28" s="146"/>
      <c r="E28" s="146">
        <v>101</v>
      </c>
      <c r="F28" s="146">
        <v>268</v>
      </c>
      <c r="G28" s="146"/>
      <c r="H28" s="146">
        <v>13</v>
      </c>
      <c r="I28" s="146">
        <v>8</v>
      </c>
      <c r="J28" s="146">
        <v>1213</v>
      </c>
      <c r="K28" s="146">
        <v>71</v>
      </c>
      <c r="L28" s="8"/>
      <c r="M28" s="8"/>
      <c r="N28" s="8">
        <v>639</v>
      </c>
      <c r="O28" s="8"/>
      <c r="P28" s="8">
        <v>16176</v>
      </c>
      <c r="Q28" s="8">
        <v>23</v>
      </c>
      <c r="R28" s="8">
        <v>4318</v>
      </c>
      <c r="S28" s="8">
        <v>13863</v>
      </c>
      <c r="T28" s="8"/>
      <c r="U28" s="8">
        <v>10</v>
      </c>
      <c r="V28" s="8"/>
      <c r="W28" s="8">
        <v>10367</v>
      </c>
      <c r="X28" s="8">
        <v>3116</v>
      </c>
      <c r="Y28" s="8">
        <v>6295</v>
      </c>
      <c r="Z28" s="8">
        <v>3950</v>
      </c>
      <c r="AA28" s="8">
        <v>6031</v>
      </c>
      <c r="AB28" s="8"/>
      <c r="AC28" s="8"/>
      <c r="AD28" s="8">
        <v>436</v>
      </c>
      <c r="AE28" s="8">
        <v>2426</v>
      </c>
      <c r="AF28" s="8"/>
    </row>
    <row r="29" spans="1:32" ht="15">
      <c r="A29" s="158" t="s">
        <v>56</v>
      </c>
      <c r="B29" s="146"/>
      <c r="C29" s="146">
        <v>37122</v>
      </c>
      <c r="D29" s="146">
        <v>9151</v>
      </c>
      <c r="E29" s="146">
        <v>17972</v>
      </c>
      <c r="F29" s="146">
        <v>10864</v>
      </c>
      <c r="G29" s="146">
        <v>4726</v>
      </c>
      <c r="H29" s="146">
        <v>73</v>
      </c>
      <c r="I29" s="146">
        <v>268</v>
      </c>
      <c r="J29" s="146">
        <v>834</v>
      </c>
      <c r="K29" s="146"/>
      <c r="L29" s="8">
        <v>65</v>
      </c>
      <c r="M29" s="8">
        <v>786</v>
      </c>
      <c r="N29" s="8">
        <v>706</v>
      </c>
      <c r="O29" s="8"/>
      <c r="P29" s="8">
        <v>13596</v>
      </c>
      <c r="Q29" s="8">
        <v>62</v>
      </c>
      <c r="R29" s="8">
        <v>7746</v>
      </c>
      <c r="S29" s="8">
        <v>6043</v>
      </c>
      <c r="T29" s="8">
        <v>2398</v>
      </c>
      <c r="U29" s="8">
        <v>16202</v>
      </c>
      <c r="V29" s="8">
        <v>10449</v>
      </c>
      <c r="W29" s="8">
        <v>745</v>
      </c>
      <c r="X29" s="8">
        <v>1070</v>
      </c>
      <c r="Y29" s="8">
        <v>2245</v>
      </c>
      <c r="Z29" s="8">
        <v>4430</v>
      </c>
      <c r="AA29" s="8">
        <v>3063</v>
      </c>
      <c r="AB29" s="8"/>
      <c r="AC29" s="8"/>
      <c r="AD29" s="8">
        <v>1073</v>
      </c>
      <c r="AE29" s="8">
        <v>487</v>
      </c>
      <c r="AF29" s="8"/>
    </row>
    <row r="30" spans="1:32" ht="15">
      <c r="A30" s="158" t="s">
        <v>57</v>
      </c>
      <c r="B30" s="146"/>
      <c r="C30" s="146">
        <v>2366</v>
      </c>
      <c r="D30" s="146"/>
      <c r="E30" s="146">
        <v>99</v>
      </c>
      <c r="F30" s="146">
        <v>17741</v>
      </c>
      <c r="G30" s="146">
        <v>118</v>
      </c>
      <c r="H30" s="146">
        <v>1651</v>
      </c>
      <c r="I30" s="146">
        <v>968</v>
      </c>
      <c r="J30" s="146">
        <v>8</v>
      </c>
      <c r="K30" s="146">
        <v>1657</v>
      </c>
      <c r="L30" s="8">
        <v>12377</v>
      </c>
      <c r="M30" s="8"/>
      <c r="N30" s="8">
        <v>1370</v>
      </c>
      <c r="O30" s="8">
        <v>13899</v>
      </c>
      <c r="P30" s="8">
        <v>72</v>
      </c>
      <c r="Q30" s="8">
        <v>1032</v>
      </c>
      <c r="R30" s="8">
        <v>52</v>
      </c>
      <c r="S30" s="8">
        <v>78</v>
      </c>
      <c r="T30" s="8"/>
      <c r="U30" s="8"/>
      <c r="V30" s="8"/>
      <c r="W30" s="8">
        <v>5764</v>
      </c>
      <c r="X30" s="8"/>
      <c r="Y30" s="8">
        <v>85</v>
      </c>
      <c r="Z30" s="8">
        <v>244</v>
      </c>
      <c r="AA30" s="8"/>
      <c r="AB30" s="8">
        <v>3837</v>
      </c>
      <c r="AC30" s="8">
        <v>222</v>
      </c>
      <c r="AD30" s="8"/>
      <c r="AE30" s="8">
        <v>88</v>
      </c>
      <c r="AF30" s="8"/>
    </row>
    <row r="31" spans="1:32" ht="15">
      <c r="A31" s="158" t="s">
        <v>58</v>
      </c>
      <c r="B31" s="146"/>
      <c r="C31" s="146">
        <v>23540</v>
      </c>
      <c r="D31" s="146">
        <v>1214</v>
      </c>
      <c r="E31" s="146">
        <v>16737</v>
      </c>
      <c r="F31" s="146">
        <v>5588</v>
      </c>
      <c r="G31" s="146">
        <v>7092</v>
      </c>
      <c r="H31" s="146">
        <v>308</v>
      </c>
      <c r="I31" s="146"/>
      <c r="J31" s="146">
        <v>2008</v>
      </c>
      <c r="K31" s="146">
        <v>303</v>
      </c>
      <c r="L31" s="8"/>
      <c r="M31" s="8">
        <v>6089</v>
      </c>
      <c r="N31" s="8">
        <v>6376</v>
      </c>
      <c r="O31" s="8"/>
      <c r="P31" s="8">
        <v>7826</v>
      </c>
      <c r="Q31" s="8">
        <v>68</v>
      </c>
      <c r="R31" s="8">
        <v>5164</v>
      </c>
      <c r="S31" s="8">
        <v>10529</v>
      </c>
      <c r="T31" s="8"/>
      <c r="U31" s="8">
        <v>79808</v>
      </c>
      <c r="V31" s="8">
        <v>17799</v>
      </c>
      <c r="W31" s="8">
        <v>3112</v>
      </c>
      <c r="X31" s="8">
        <v>946</v>
      </c>
      <c r="Y31" s="8">
        <v>4296</v>
      </c>
      <c r="Z31" s="8">
        <v>3959</v>
      </c>
      <c r="AA31" s="8">
        <v>1571</v>
      </c>
      <c r="AB31" s="8"/>
      <c r="AC31" s="8"/>
      <c r="AD31" s="8">
        <v>397</v>
      </c>
      <c r="AE31" s="8">
        <v>2543</v>
      </c>
      <c r="AF31" s="8">
        <v>64</v>
      </c>
    </row>
    <row r="32" spans="1:32" ht="15">
      <c r="A32" s="158" t="s">
        <v>59</v>
      </c>
      <c r="B32" s="146">
        <v>41776</v>
      </c>
      <c r="C32" s="146">
        <v>22595</v>
      </c>
      <c r="D32" s="146">
        <v>32857</v>
      </c>
      <c r="E32" s="146">
        <v>486</v>
      </c>
      <c r="F32" s="146">
        <v>19083</v>
      </c>
      <c r="G32" s="146">
        <v>1126</v>
      </c>
      <c r="H32" s="146">
        <v>681</v>
      </c>
      <c r="I32" s="146">
        <v>410</v>
      </c>
      <c r="J32" s="146">
        <v>2044</v>
      </c>
      <c r="K32" s="146">
        <v>997</v>
      </c>
      <c r="L32" s="8">
        <v>36</v>
      </c>
      <c r="M32" s="8">
        <v>1124</v>
      </c>
      <c r="N32" s="8">
        <v>821</v>
      </c>
      <c r="O32" s="8">
        <v>12284</v>
      </c>
      <c r="P32" s="8">
        <v>14486</v>
      </c>
      <c r="Q32" s="8">
        <v>158</v>
      </c>
      <c r="R32" s="8">
        <v>28704</v>
      </c>
      <c r="S32" s="8">
        <v>27359</v>
      </c>
      <c r="T32" s="8"/>
      <c r="U32" s="8">
        <v>202</v>
      </c>
      <c r="V32" s="8">
        <v>26</v>
      </c>
      <c r="W32" s="8">
        <v>5484</v>
      </c>
      <c r="X32" s="8">
        <v>9051</v>
      </c>
      <c r="Y32" s="8">
        <v>1182</v>
      </c>
      <c r="Z32" s="8">
        <v>2088</v>
      </c>
      <c r="AA32" s="8">
        <v>4834</v>
      </c>
      <c r="AB32" s="8">
        <v>17</v>
      </c>
      <c r="AC32" s="8">
        <v>347</v>
      </c>
      <c r="AD32" s="8">
        <v>3248</v>
      </c>
      <c r="AE32" s="8">
        <v>364</v>
      </c>
      <c r="AF32" s="8"/>
    </row>
    <row r="33" spans="1:32" ht="15">
      <c r="A33" s="158" t="s">
        <v>60</v>
      </c>
      <c r="B33" s="146">
        <v>25874</v>
      </c>
      <c r="C33" s="146">
        <v>590</v>
      </c>
      <c r="D33" s="146">
        <v>49831</v>
      </c>
      <c r="E33" s="146">
        <v>604</v>
      </c>
      <c r="F33" s="146">
        <v>16532</v>
      </c>
      <c r="G33" s="146">
        <v>510</v>
      </c>
      <c r="H33" s="146">
        <v>595</v>
      </c>
      <c r="I33" s="146">
        <v>2573</v>
      </c>
      <c r="J33" s="146">
        <v>3</v>
      </c>
      <c r="K33" s="146"/>
      <c r="L33" s="8">
        <v>3133</v>
      </c>
      <c r="M33" s="8"/>
      <c r="N33" s="8">
        <v>2637</v>
      </c>
      <c r="O33" s="8">
        <v>1015</v>
      </c>
      <c r="P33" s="8">
        <v>2616</v>
      </c>
      <c r="Q33" s="8">
        <v>378</v>
      </c>
      <c r="R33" s="8">
        <v>1473</v>
      </c>
      <c r="S33" s="8">
        <v>25</v>
      </c>
      <c r="T33" s="8"/>
      <c r="U33" s="8">
        <v>2407</v>
      </c>
      <c r="V33" s="8">
        <v>44</v>
      </c>
      <c r="W33" s="8">
        <v>2602</v>
      </c>
      <c r="X33" s="8">
        <v>553</v>
      </c>
      <c r="Y33" s="8">
        <v>1593</v>
      </c>
      <c r="Z33" s="8">
        <v>1573</v>
      </c>
      <c r="AA33" s="8">
        <v>131</v>
      </c>
      <c r="AB33" s="8">
        <v>3369</v>
      </c>
      <c r="AC33" s="8">
        <v>1275</v>
      </c>
      <c r="AD33" s="8"/>
      <c r="AE33" s="8">
        <v>45</v>
      </c>
      <c r="AF33" s="8"/>
    </row>
    <row r="34" spans="1:32" ht="15">
      <c r="A34" s="159" t="s">
        <v>61</v>
      </c>
      <c r="B34" s="146">
        <v>12279</v>
      </c>
      <c r="C34" s="146">
        <v>4713</v>
      </c>
      <c r="D34" s="146"/>
      <c r="E34" s="146">
        <v>303</v>
      </c>
      <c r="F34" s="146">
        <v>21626</v>
      </c>
      <c r="G34" s="146">
        <v>993</v>
      </c>
      <c r="H34" s="146">
        <v>1811</v>
      </c>
      <c r="I34" s="146">
        <v>6935</v>
      </c>
      <c r="J34" s="146">
        <v>15</v>
      </c>
      <c r="K34" s="146">
        <v>449</v>
      </c>
      <c r="L34" s="8">
        <v>1296</v>
      </c>
      <c r="M34" s="8"/>
      <c r="N34" s="8">
        <v>2651</v>
      </c>
      <c r="O34" s="8">
        <v>1854</v>
      </c>
      <c r="P34" s="8">
        <v>477</v>
      </c>
      <c r="Q34" s="8">
        <v>1653</v>
      </c>
      <c r="R34" s="8">
        <v>145</v>
      </c>
      <c r="S34" s="8">
        <v>93</v>
      </c>
      <c r="T34" s="8"/>
      <c r="U34" s="8"/>
      <c r="V34" s="8"/>
      <c r="W34" s="8">
        <v>10344</v>
      </c>
      <c r="X34" s="8">
        <v>4</v>
      </c>
      <c r="Y34" s="8">
        <v>715</v>
      </c>
      <c r="Z34" s="8">
        <v>1023</v>
      </c>
      <c r="AA34" s="8">
        <v>96</v>
      </c>
      <c r="AB34" s="8"/>
      <c r="AC34" s="8">
        <v>1549</v>
      </c>
      <c r="AD34" s="8"/>
      <c r="AE34" s="8">
        <v>530</v>
      </c>
      <c r="AF34" s="8"/>
    </row>
    <row r="35" spans="1:32" ht="15">
      <c r="A35" s="160" t="s">
        <v>62</v>
      </c>
      <c r="B35" s="146"/>
      <c r="C35" s="146"/>
      <c r="D35" s="146">
        <v>33046</v>
      </c>
      <c r="E35" s="146">
        <v>24161</v>
      </c>
      <c r="F35" s="146">
        <v>36446</v>
      </c>
      <c r="G35" s="146">
        <v>39501</v>
      </c>
      <c r="H35" s="146"/>
      <c r="I35" s="146"/>
      <c r="J35" s="146"/>
      <c r="K35" s="146"/>
      <c r="L35" s="8"/>
      <c r="M35" s="8">
        <v>2043</v>
      </c>
      <c r="N35" s="8">
        <v>4681</v>
      </c>
      <c r="O35" s="8"/>
      <c r="P35" s="8"/>
      <c r="Q35" s="8">
        <v>544</v>
      </c>
      <c r="R35" s="8"/>
      <c r="S35" s="8"/>
      <c r="T35" s="8">
        <v>8898</v>
      </c>
      <c r="U35" s="8">
        <v>176</v>
      </c>
      <c r="V35" s="8">
        <v>582</v>
      </c>
      <c r="W35" s="8"/>
      <c r="X35" s="8"/>
      <c r="Y35" s="8"/>
      <c r="Z35" s="8">
        <v>4148</v>
      </c>
      <c r="AA35" s="8"/>
      <c r="AB35" s="8"/>
      <c r="AC35" s="8">
        <v>5684</v>
      </c>
      <c r="AD35" s="8"/>
      <c r="AE35" s="8"/>
      <c r="AF35" s="8"/>
    </row>
    <row r="36" spans="1:32" ht="15">
      <c r="A36" s="160" t="s">
        <v>63</v>
      </c>
      <c r="B36" s="146"/>
      <c r="C36" s="146"/>
      <c r="D36" s="146">
        <v>2559</v>
      </c>
      <c r="E36" s="146">
        <v>1636</v>
      </c>
      <c r="F36" s="146">
        <v>4135</v>
      </c>
      <c r="G36" s="146">
        <v>723</v>
      </c>
      <c r="H36" s="146"/>
      <c r="I36" s="146">
        <v>40</v>
      </c>
      <c r="J36" s="146"/>
      <c r="K36" s="146"/>
      <c r="L36" s="8"/>
      <c r="M36" s="8">
        <v>208</v>
      </c>
      <c r="N36" s="8"/>
      <c r="O36" s="8"/>
      <c r="P36" s="8"/>
      <c r="Q36" s="8">
        <v>4</v>
      </c>
      <c r="R36" s="8"/>
      <c r="S36" s="8"/>
      <c r="T36" s="8"/>
      <c r="U36" s="8">
        <v>31</v>
      </c>
      <c r="V36" s="8">
        <v>433</v>
      </c>
      <c r="W36" s="8"/>
      <c r="X36" s="8"/>
      <c r="Y36" s="8"/>
      <c r="Z36" s="8">
        <v>352</v>
      </c>
      <c r="AA36" s="8"/>
      <c r="AB36" s="8"/>
      <c r="AC36" s="8"/>
      <c r="AD36" s="8"/>
      <c r="AE36" s="8"/>
      <c r="AF36" s="8"/>
    </row>
    <row r="37" spans="1:32" ht="15">
      <c r="A37" s="160" t="s">
        <v>64</v>
      </c>
      <c r="B37" s="146"/>
      <c r="C37" s="146">
        <v>530</v>
      </c>
      <c r="D37" s="146"/>
      <c r="E37" s="146">
        <v>2</v>
      </c>
      <c r="F37" s="146">
        <v>51</v>
      </c>
      <c r="G37" s="146"/>
      <c r="H37" s="146">
        <v>83</v>
      </c>
      <c r="I37" s="146"/>
      <c r="J37" s="146">
        <v>67</v>
      </c>
      <c r="K37" s="146"/>
      <c r="L37" s="8"/>
      <c r="M37" s="8"/>
      <c r="N37" s="8">
        <v>48</v>
      </c>
      <c r="O37" s="8"/>
      <c r="P37" s="8">
        <v>640</v>
      </c>
      <c r="Q37" s="8">
        <v>9</v>
      </c>
      <c r="R37" s="8">
        <v>66</v>
      </c>
      <c r="S37" s="8">
        <v>106</v>
      </c>
      <c r="T37" s="8"/>
      <c r="U37" s="8"/>
      <c r="V37" s="8"/>
      <c r="W37" s="8">
        <v>9348</v>
      </c>
      <c r="X37" s="8"/>
      <c r="Y37" s="8">
        <v>15</v>
      </c>
      <c r="Z37" s="8">
        <v>30</v>
      </c>
      <c r="AA37" s="8">
        <v>175</v>
      </c>
      <c r="AB37" s="8"/>
      <c r="AC37" s="8"/>
      <c r="AD37" s="8"/>
      <c r="AE37" s="8">
        <v>109</v>
      </c>
      <c r="AF37" s="8"/>
    </row>
    <row r="38" spans="1:32" ht="15">
      <c r="A38" s="160" t="s">
        <v>65</v>
      </c>
      <c r="B38" s="146"/>
      <c r="C38" s="146">
        <v>8766</v>
      </c>
      <c r="D38" s="146">
        <v>2777</v>
      </c>
      <c r="E38" s="146">
        <v>6176</v>
      </c>
      <c r="F38" s="146">
        <v>3911</v>
      </c>
      <c r="G38" s="146">
        <v>4061</v>
      </c>
      <c r="H38" s="146"/>
      <c r="I38" s="146"/>
      <c r="J38" s="146">
        <v>5</v>
      </c>
      <c r="K38" s="146"/>
      <c r="L38" s="8"/>
      <c r="M38" s="8">
        <v>36</v>
      </c>
      <c r="N38" s="8">
        <v>817</v>
      </c>
      <c r="O38" s="8"/>
      <c r="P38" s="8">
        <v>1573</v>
      </c>
      <c r="Q38" s="8"/>
      <c r="R38" s="8">
        <v>202</v>
      </c>
      <c r="S38" s="8">
        <v>138</v>
      </c>
      <c r="T38" s="8"/>
      <c r="U38" s="8">
        <v>10794</v>
      </c>
      <c r="V38" s="8">
        <v>1036</v>
      </c>
      <c r="W38" s="8">
        <v>163</v>
      </c>
      <c r="X38" s="8">
        <v>91</v>
      </c>
      <c r="Y38" s="8">
        <v>658</v>
      </c>
      <c r="Z38" s="8">
        <v>973</v>
      </c>
      <c r="AA38" s="8">
        <v>611</v>
      </c>
      <c r="AB38" s="8"/>
      <c r="AC38" s="8"/>
      <c r="AD38" s="8">
        <v>18</v>
      </c>
      <c r="AE38" s="8">
        <v>366</v>
      </c>
      <c r="AF38" s="8"/>
    </row>
    <row r="39" spans="1:32" ht="15">
      <c r="A39" s="160" t="s">
        <v>66</v>
      </c>
      <c r="B39" s="146"/>
      <c r="C39" s="146">
        <v>1473</v>
      </c>
      <c r="D39" s="146">
        <v>67373</v>
      </c>
      <c r="E39" s="146">
        <v>14324</v>
      </c>
      <c r="F39" s="146">
        <v>16608</v>
      </c>
      <c r="G39" s="146">
        <v>1101</v>
      </c>
      <c r="H39" s="146">
        <v>225</v>
      </c>
      <c r="I39" s="146">
        <v>919</v>
      </c>
      <c r="J39" s="146"/>
      <c r="K39" s="146"/>
      <c r="L39" s="8">
        <v>373</v>
      </c>
      <c r="M39" s="8"/>
      <c r="N39" s="8">
        <v>276</v>
      </c>
      <c r="O39" s="8"/>
      <c r="P39" s="8">
        <v>15447</v>
      </c>
      <c r="Q39" s="8">
        <v>80</v>
      </c>
      <c r="R39" s="8">
        <v>11318</v>
      </c>
      <c r="S39" s="8">
        <v>317</v>
      </c>
      <c r="T39" s="8"/>
      <c r="U39" s="8">
        <v>7979</v>
      </c>
      <c r="V39" s="8">
        <v>1318</v>
      </c>
      <c r="W39" s="8">
        <v>161</v>
      </c>
      <c r="X39" s="8">
        <v>5215</v>
      </c>
      <c r="Y39" s="8">
        <v>380</v>
      </c>
      <c r="Z39" s="8">
        <v>5388</v>
      </c>
      <c r="AA39" s="8">
        <v>588</v>
      </c>
      <c r="AB39" s="8"/>
      <c r="AC39" s="8">
        <v>6756</v>
      </c>
      <c r="AD39" s="8"/>
      <c r="AE39" s="8"/>
      <c r="AF39" s="8">
        <v>309</v>
      </c>
    </row>
    <row r="40" spans="1:32" ht="15">
      <c r="A40" s="160" t="s">
        <v>67</v>
      </c>
      <c r="B40" s="146"/>
      <c r="C40" s="146">
        <v>59695</v>
      </c>
      <c r="D40" s="146">
        <v>283</v>
      </c>
      <c r="E40" s="146">
        <v>1174</v>
      </c>
      <c r="F40" s="146">
        <v>2435</v>
      </c>
      <c r="G40" s="146">
        <v>1927</v>
      </c>
      <c r="H40" s="146">
        <v>482</v>
      </c>
      <c r="I40" s="146">
        <v>204</v>
      </c>
      <c r="J40" s="146">
        <v>35694</v>
      </c>
      <c r="K40" s="146"/>
      <c r="L40" s="8"/>
      <c r="M40" s="8">
        <v>737</v>
      </c>
      <c r="N40" s="8">
        <v>11</v>
      </c>
      <c r="O40" s="8"/>
      <c r="P40" s="8">
        <v>3824</v>
      </c>
      <c r="Q40" s="8"/>
      <c r="R40" s="8">
        <v>1501</v>
      </c>
      <c r="S40" s="8">
        <v>27580</v>
      </c>
      <c r="T40" s="8"/>
      <c r="U40" s="8">
        <v>10858</v>
      </c>
      <c r="V40" s="8">
        <v>291</v>
      </c>
      <c r="W40" s="8">
        <v>47180</v>
      </c>
      <c r="X40" s="8">
        <v>1180</v>
      </c>
      <c r="Y40" s="8"/>
      <c r="Z40" s="8">
        <v>473</v>
      </c>
      <c r="AA40" s="8">
        <v>10293</v>
      </c>
      <c r="AB40" s="8"/>
      <c r="AC40" s="8"/>
      <c r="AD40" s="8">
        <v>1321</v>
      </c>
      <c r="AE40" s="8">
        <v>480</v>
      </c>
      <c r="AF40" s="8">
        <v>31</v>
      </c>
    </row>
    <row r="41" spans="1:32" ht="15">
      <c r="A41" s="160" t="s">
        <v>68</v>
      </c>
      <c r="B41" s="146"/>
      <c r="C41" s="146"/>
      <c r="D41" s="146">
        <v>101255</v>
      </c>
      <c r="E41" s="146">
        <v>29489</v>
      </c>
      <c r="F41" s="146">
        <v>46616</v>
      </c>
      <c r="G41" s="146">
        <v>6290</v>
      </c>
      <c r="H41" s="146"/>
      <c r="I41" s="146"/>
      <c r="J41" s="146"/>
      <c r="K41" s="146"/>
      <c r="L41" s="8">
        <v>105</v>
      </c>
      <c r="M41" s="8">
        <v>890</v>
      </c>
      <c r="N41" s="8"/>
      <c r="O41" s="8"/>
      <c r="P41" s="8"/>
      <c r="Q41" s="8">
        <v>110</v>
      </c>
      <c r="R41" s="8"/>
      <c r="S41" s="8"/>
      <c r="T41" s="8">
        <v>24023</v>
      </c>
      <c r="U41" s="8">
        <v>87163</v>
      </c>
      <c r="V41" s="8">
        <v>48814</v>
      </c>
      <c r="W41" s="8"/>
      <c r="X41" s="8"/>
      <c r="Y41" s="8"/>
      <c r="Z41" s="8">
        <v>3919</v>
      </c>
      <c r="AA41" s="8"/>
      <c r="AB41" s="8"/>
      <c r="AC41" s="8">
        <v>1084</v>
      </c>
      <c r="AD41" s="8"/>
      <c r="AE41" s="8"/>
      <c r="AF41" s="8">
        <v>17</v>
      </c>
    </row>
    <row r="42" spans="1:32" ht="15">
      <c r="A42" s="160" t="s">
        <v>69</v>
      </c>
      <c r="B42" s="146"/>
      <c r="C42" s="146">
        <v>376</v>
      </c>
      <c r="D42" s="146"/>
      <c r="E42" s="146">
        <v>4</v>
      </c>
      <c r="F42" s="146">
        <v>21</v>
      </c>
      <c r="G42" s="146"/>
      <c r="H42" s="146">
        <v>607</v>
      </c>
      <c r="I42" s="146">
        <v>39</v>
      </c>
      <c r="J42" s="146">
        <v>508</v>
      </c>
      <c r="K42" s="146"/>
      <c r="L42" s="8"/>
      <c r="M42" s="8"/>
      <c r="N42" s="8">
        <v>171</v>
      </c>
      <c r="O42" s="8"/>
      <c r="P42" s="8">
        <v>480</v>
      </c>
      <c r="Q42" s="8">
        <v>225</v>
      </c>
      <c r="R42" s="8">
        <v>19</v>
      </c>
      <c r="S42" s="8"/>
      <c r="T42" s="8"/>
      <c r="U42" s="8"/>
      <c r="V42" s="8"/>
      <c r="W42" s="8">
        <v>11094</v>
      </c>
      <c r="X42" s="8"/>
      <c r="Y42" s="8">
        <v>28</v>
      </c>
      <c r="Z42" s="8"/>
      <c r="AA42" s="8"/>
      <c r="AB42" s="8"/>
      <c r="AC42" s="8"/>
      <c r="AD42" s="8"/>
      <c r="AE42" s="8">
        <v>134</v>
      </c>
      <c r="AF42" s="8"/>
    </row>
    <row r="43" spans="1:32" ht="15">
      <c r="A43" s="160" t="s">
        <v>70</v>
      </c>
      <c r="B43" s="146"/>
      <c r="C43" s="146"/>
      <c r="D43" s="146">
        <v>14654</v>
      </c>
      <c r="E43" s="146">
        <v>4810</v>
      </c>
      <c r="F43" s="146">
        <v>1024</v>
      </c>
      <c r="G43" s="146">
        <v>108</v>
      </c>
      <c r="H43" s="146"/>
      <c r="I43" s="146">
        <v>4</v>
      </c>
      <c r="J43" s="146"/>
      <c r="K43" s="146"/>
      <c r="L43" s="8"/>
      <c r="M43" s="8"/>
      <c r="N43" s="8">
        <v>238</v>
      </c>
      <c r="O43" s="8"/>
      <c r="P43" s="8"/>
      <c r="Q43" s="8">
        <v>3</v>
      </c>
      <c r="R43" s="8"/>
      <c r="S43" s="8"/>
      <c r="T43" s="8"/>
      <c r="U43" s="8"/>
      <c r="V43" s="8">
        <v>625</v>
      </c>
      <c r="W43" s="8"/>
      <c r="X43" s="8"/>
      <c r="Y43" s="8"/>
      <c r="Z43" s="8"/>
      <c r="AA43" s="8"/>
      <c r="AB43" s="8"/>
      <c r="AC43" s="8">
        <v>86</v>
      </c>
      <c r="AD43" s="8"/>
      <c r="AE43" s="8"/>
      <c r="AF43" s="8">
        <v>19</v>
      </c>
    </row>
    <row r="44" spans="1:32" ht="15">
      <c r="A44" s="160" t="s">
        <v>71</v>
      </c>
      <c r="B44" s="146"/>
      <c r="C44" s="146"/>
      <c r="D44" s="146">
        <v>9821</v>
      </c>
      <c r="E44" s="146">
        <v>19828</v>
      </c>
      <c r="F44" s="146">
        <v>11429</v>
      </c>
      <c r="G44" s="146">
        <v>9436</v>
      </c>
      <c r="H44" s="146"/>
      <c r="I44" s="146">
        <v>73</v>
      </c>
      <c r="J44" s="146"/>
      <c r="K44" s="146"/>
      <c r="L44" s="8">
        <v>89</v>
      </c>
      <c r="M44" s="8">
        <v>563</v>
      </c>
      <c r="N44" s="8"/>
      <c r="O44" s="8"/>
      <c r="P44" s="8"/>
      <c r="Q44" s="8">
        <v>77</v>
      </c>
      <c r="R44" s="8"/>
      <c r="S44" s="8"/>
      <c r="T44" s="8">
        <v>15738</v>
      </c>
      <c r="U44" s="8">
        <v>5779</v>
      </c>
      <c r="V44" s="8">
        <v>10591</v>
      </c>
      <c r="W44" s="8"/>
      <c r="X44" s="8"/>
      <c r="Y44" s="8"/>
      <c r="Z44" s="8">
        <v>1477</v>
      </c>
      <c r="AA44" s="8"/>
      <c r="AB44" s="8"/>
      <c r="AC44" s="8">
        <v>309</v>
      </c>
      <c r="AD44" s="8"/>
      <c r="AE44" s="8"/>
      <c r="AF44" s="8">
        <v>14</v>
      </c>
    </row>
    <row r="45" spans="1:25" ht="15">
      <c r="A45" s="137"/>
      <c r="L45" s="1"/>
      <c r="M45" s="1"/>
      <c r="N45" s="1"/>
      <c r="O45" s="1"/>
      <c r="P45" s="1"/>
      <c r="Q45" s="1"/>
      <c r="R45" s="1"/>
      <c r="S45" s="1"/>
      <c r="T45" s="1"/>
      <c r="U45" s="1"/>
      <c r="V45" s="1"/>
      <c r="W45" s="1"/>
      <c r="X45" s="1"/>
      <c r="Y45" s="1"/>
    </row>
    <row r="46" spans="12:25" ht="15">
      <c r="L46" s="1"/>
      <c r="M46" s="1"/>
      <c r="N46" s="1"/>
      <c r="O46" s="1"/>
      <c r="P46" s="1"/>
      <c r="Q46" s="1"/>
      <c r="R46" s="1"/>
      <c r="S46" s="1"/>
      <c r="T46" s="1"/>
      <c r="U46" s="1"/>
      <c r="V46" s="1"/>
      <c r="W46" s="1"/>
      <c r="X46" s="1"/>
      <c r="Y46" s="1"/>
    </row>
    <row r="47" spans="1:29" ht="15">
      <c r="A47" s="102" t="s">
        <v>79</v>
      </c>
      <c r="B47" s="143">
        <v>3</v>
      </c>
      <c r="D47" s="6"/>
      <c r="E47" s="507" t="s">
        <v>989</v>
      </c>
      <c r="F47" s="6"/>
      <c r="G47" s="6"/>
      <c r="H47" s="6"/>
      <c r="I47" s="6"/>
      <c r="L47" s="1"/>
      <c r="M47" s="1"/>
      <c r="N47" s="1"/>
      <c r="O47" s="1"/>
      <c r="P47" s="1"/>
      <c r="Q47" s="1"/>
      <c r="R47" s="1"/>
      <c r="S47" s="1"/>
      <c r="T47" s="1"/>
      <c r="U47" s="1"/>
      <c r="V47" s="1"/>
      <c r="W47" s="1"/>
      <c r="X47" s="1"/>
      <c r="Y47" s="1"/>
      <c r="Z47" s="1"/>
      <c r="AA47" s="1"/>
      <c r="AB47" s="1"/>
      <c r="AC47" s="1"/>
    </row>
    <row r="48" spans="1:29" ht="15">
      <c r="A48" s="104" t="s">
        <v>80</v>
      </c>
      <c r="B48" s="149" t="s">
        <v>921</v>
      </c>
      <c r="D48" s="6"/>
      <c r="E48" s="6"/>
      <c r="F48" s="6"/>
      <c r="G48" s="6"/>
      <c r="H48" s="6"/>
      <c r="I48" s="6"/>
      <c r="L48" s="1"/>
      <c r="M48" s="1"/>
      <c r="N48" s="1"/>
      <c r="O48" s="1"/>
      <c r="P48" s="1"/>
      <c r="Q48" s="1"/>
      <c r="R48" s="1"/>
      <c r="S48" s="1"/>
      <c r="T48" s="1"/>
      <c r="U48" s="1"/>
      <c r="V48" s="1"/>
      <c r="W48" s="1"/>
      <c r="X48" s="1"/>
      <c r="Y48" s="1"/>
      <c r="Z48" s="1"/>
      <c r="AA48" s="1"/>
      <c r="AB48" s="1"/>
      <c r="AC48" s="1"/>
    </row>
    <row r="49" spans="1:29" ht="15">
      <c r="A49" s="104" t="s">
        <v>81</v>
      </c>
      <c r="B49" s="152" t="s">
        <v>568</v>
      </c>
      <c r="D49" s="6"/>
      <c r="E49" s="6"/>
      <c r="F49" s="6"/>
      <c r="G49" s="6"/>
      <c r="H49" s="6"/>
      <c r="I49" s="6"/>
      <c r="L49" s="1"/>
      <c r="M49" s="1"/>
      <c r="N49" s="1"/>
      <c r="O49" s="1"/>
      <c r="P49" s="1"/>
      <c r="Q49" s="1"/>
      <c r="R49" s="1"/>
      <c r="S49" s="1"/>
      <c r="T49" s="1"/>
      <c r="U49" s="1"/>
      <c r="V49" s="1"/>
      <c r="W49" s="1"/>
      <c r="X49" s="1"/>
      <c r="Y49" s="1"/>
      <c r="Z49" s="1"/>
      <c r="AA49" s="1"/>
      <c r="AB49" s="1"/>
      <c r="AC49" s="1"/>
    </row>
    <row r="50" spans="1:29" ht="15">
      <c r="A50" s="104" t="s">
        <v>82</v>
      </c>
      <c r="B50" s="569" t="s">
        <v>567</v>
      </c>
      <c r="I50" s="6"/>
      <c r="L50" s="1"/>
      <c r="M50" s="1"/>
      <c r="N50" s="1"/>
      <c r="O50" s="1"/>
      <c r="P50" s="1"/>
      <c r="Q50" s="1"/>
      <c r="R50" s="1"/>
      <c r="S50" s="1"/>
      <c r="T50" s="1"/>
      <c r="U50" s="1"/>
      <c r="V50" s="1"/>
      <c r="W50" s="1"/>
      <c r="X50" s="1"/>
      <c r="Y50" s="1"/>
      <c r="Z50" s="1"/>
      <c r="AA50" s="1"/>
      <c r="AB50" s="1"/>
      <c r="AC50" s="1"/>
    </row>
    <row r="51" spans="1:29" ht="15">
      <c r="A51" s="104" t="s">
        <v>83</v>
      </c>
      <c r="B51" s="156">
        <v>44056</v>
      </c>
      <c r="L51" s="1"/>
      <c r="M51" s="1"/>
      <c r="N51" s="1"/>
      <c r="O51" s="1"/>
      <c r="P51" s="1"/>
      <c r="Q51" s="1"/>
      <c r="R51" s="1"/>
      <c r="S51" s="1"/>
      <c r="T51" s="1"/>
      <c r="U51" s="1"/>
      <c r="V51" s="1"/>
      <c r="W51" s="1"/>
      <c r="X51" s="1"/>
      <c r="Y51" s="1"/>
      <c r="Z51" s="1"/>
      <c r="AA51" s="1"/>
      <c r="AB51" s="1"/>
      <c r="AC51" s="1"/>
    </row>
    <row r="52" spans="1:29" ht="25.5">
      <c r="A52" s="104" t="s">
        <v>84</v>
      </c>
      <c r="B52" s="565" t="s">
        <v>1046</v>
      </c>
      <c r="L52" s="1"/>
      <c r="M52" s="1"/>
      <c r="N52" s="1"/>
      <c r="O52" s="1"/>
      <c r="P52" s="1"/>
      <c r="Q52" s="1"/>
      <c r="R52" s="1"/>
      <c r="S52" s="1"/>
      <c r="T52" s="1"/>
      <c r="U52" s="1"/>
      <c r="V52" s="1"/>
      <c r="W52" s="1"/>
      <c r="X52" s="1"/>
      <c r="Y52" s="1"/>
      <c r="Z52" s="1"/>
      <c r="AA52" s="1"/>
      <c r="AB52" s="1"/>
      <c r="AC52" s="1"/>
    </row>
    <row r="53" spans="1:32" ht="26.25">
      <c r="A53" s="105" t="s">
        <v>372</v>
      </c>
      <c r="B53" s="133" t="s">
        <v>1059</v>
      </c>
      <c r="C53" s="133" t="s">
        <v>302</v>
      </c>
      <c r="D53" s="133" t="s">
        <v>303</v>
      </c>
      <c r="E53" s="133" t="s">
        <v>332</v>
      </c>
      <c r="F53" s="133" t="s">
        <v>304</v>
      </c>
      <c r="G53" s="133" t="s">
        <v>305</v>
      </c>
      <c r="H53" s="133" t="s">
        <v>306</v>
      </c>
      <c r="I53" s="133" t="s">
        <v>307</v>
      </c>
      <c r="J53" s="133" t="s">
        <v>308</v>
      </c>
      <c r="K53" s="133" t="s">
        <v>309</v>
      </c>
      <c r="L53" s="3" t="s">
        <v>310</v>
      </c>
      <c r="M53" s="3" t="s">
        <v>311</v>
      </c>
      <c r="N53" s="3" t="s">
        <v>312</v>
      </c>
      <c r="O53" s="3" t="s">
        <v>313</v>
      </c>
      <c r="P53" s="3" t="s">
        <v>314</v>
      </c>
      <c r="Q53" s="3" t="s">
        <v>315</v>
      </c>
      <c r="R53" s="3" t="s">
        <v>316</v>
      </c>
      <c r="S53" s="3" t="s">
        <v>317</v>
      </c>
      <c r="T53" s="3" t="s">
        <v>318</v>
      </c>
      <c r="U53" s="3" t="s">
        <v>319</v>
      </c>
      <c r="V53" s="3" t="s">
        <v>320</v>
      </c>
      <c r="W53" s="3" t="s">
        <v>322</v>
      </c>
      <c r="X53" s="3" t="s">
        <v>323</v>
      </c>
      <c r="Y53" s="3" t="s">
        <v>324</v>
      </c>
      <c r="Z53" s="3" t="s">
        <v>325</v>
      </c>
      <c r="AA53" s="3" t="s">
        <v>326</v>
      </c>
      <c r="AB53" s="3" t="s">
        <v>327</v>
      </c>
      <c r="AC53" s="3" t="s">
        <v>328</v>
      </c>
      <c r="AD53" s="3" t="s">
        <v>329</v>
      </c>
      <c r="AE53" s="3" t="s">
        <v>330</v>
      </c>
      <c r="AF53" s="3" t="s">
        <v>331</v>
      </c>
    </row>
    <row r="54" spans="1:32" ht="15">
      <c r="A54" s="134" t="s">
        <v>167</v>
      </c>
      <c r="B54" s="134">
        <f>SUM(B55:B78)</f>
        <v>9832526</v>
      </c>
      <c r="C54" s="134">
        <f aca="true" t="shared" si="1" ref="C54:AF54">SUM(C55:C78)</f>
        <v>4514240</v>
      </c>
      <c r="D54" s="134">
        <f t="shared" si="1"/>
        <v>3165749</v>
      </c>
      <c r="E54" s="134">
        <f t="shared" si="1"/>
        <v>2073996</v>
      </c>
      <c r="F54" s="134">
        <f t="shared" si="1"/>
        <v>1232381</v>
      </c>
      <c r="G54" s="134">
        <f t="shared" si="1"/>
        <v>1180955</v>
      </c>
      <c r="H54" s="134">
        <f t="shared" si="1"/>
        <v>705632</v>
      </c>
      <c r="I54" s="134">
        <f t="shared" si="1"/>
        <v>269670</v>
      </c>
      <c r="J54" s="134">
        <f t="shared" si="1"/>
        <v>79269</v>
      </c>
      <c r="K54" s="134">
        <f t="shared" si="1"/>
        <v>108801</v>
      </c>
      <c r="L54" s="4">
        <f t="shared" si="1"/>
        <v>45358</v>
      </c>
      <c r="M54" s="4">
        <f t="shared" si="1"/>
        <v>461287</v>
      </c>
      <c r="N54" s="4">
        <f t="shared" si="1"/>
        <v>398751</v>
      </c>
      <c r="O54" s="4">
        <f t="shared" si="1"/>
        <v>378305</v>
      </c>
      <c r="P54" s="4">
        <f t="shared" si="1"/>
        <v>277427</v>
      </c>
      <c r="Q54" s="4">
        <f t="shared" si="1"/>
        <v>232900</v>
      </c>
      <c r="R54" s="4">
        <f t="shared" si="1"/>
        <v>191109</v>
      </c>
      <c r="S54" s="4">
        <f t="shared" si="1"/>
        <v>204498</v>
      </c>
      <c r="T54" s="4">
        <f t="shared" si="1"/>
        <v>736345</v>
      </c>
      <c r="U54" s="4">
        <f t="shared" si="1"/>
        <v>277760</v>
      </c>
      <c r="V54" s="4">
        <f t="shared" si="1"/>
        <v>107920</v>
      </c>
      <c r="W54" s="4">
        <f t="shared" si="1"/>
        <v>6636697</v>
      </c>
      <c r="X54" s="4">
        <f t="shared" si="1"/>
        <v>50154</v>
      </c>
      <c r="Y54" s="4">
        <f t="shared" si="1"/>
        <v>120126</v>
      </c>
      <c r="Z54" s="4">
        <f t="shared" si="1"/>
        <v>80889</v>
      </c>
      <c r="AA54" s="4">
        <f t="shared" si="1"/>
        <v>71918</v>
      </c>
      <c r="AB54" s="4">
        <f t="shared" si="1"/>
        <v>13099</v>
      </c>
      <c r="AC54" s="4">
        <f t="shared" si="1"/>
        <v>24200</v>
      </c>
      <c r="AD54" s="4">
        <f t="shared" si="1"/>
        <v>14019</v>
      </c>
      <c r="AE54" s="4">
        <f t="shared" si="1"/>
        <v>64341</v>
      </c>
      <c r="AF54" s="4">
        <f t="shared" si="1"/>
        <v>1372</v>
      </c>
    </row>
    <row r="55" spans="1:32" ht="15">
      <c r="A55" s="158" t="s">
        <v>49</v>
      </c>
      <c r="B55" s="146"/>
      <c r="C55" s="146">
        <v>58267</v>
      </c>
      <c r="D55" s="146">
        <v>307947</v>
      </c>
      <c r="E55" s="146">
        <v>137909</v>
      </c>
      <c r="F55" s="146">
        <v>27938</v>
      </c>
      <c r="G55" s="146">
        <v>143468</v>
      </c>
      <c r="H55" s="146">
        <v>14</v>
      </c>
      <c r="I55" s="146">
        <v>294</v>
      </c>
      <c r="J55" s="146">
        <v>63</v>
      </c>
      <c r="K55" s="146"/>
      <c r="L55" s="8"/>
      <c r="M55" s="8">
        <v>8371</v>
      </c>
      <c r="N55" s="8">
        <v>6445</v>
      </c>
      <c r="O55" s="8"/>
      <c r="P55" s="8">
        <v>6568</v>
      </c>
      <c r="Q55" s="8">
        <v>204</v>
      </c>
      <c r="R55" s="8">
        <v>476</v>
      </c>
      <c r="S55" s="8">
        <v>128</v>
      </c>
      <c r="T55" s="8"/>
      <c r="U55" s="8">
        <v>34966</v>
      </c>
      <c r="V55" s="8">
        <v>4224</v>
      </c>
      <c r="W55" s="8">
        <v>12260</v>
      </c>
      <c r="X55" s="8">
        <v>196</v>
      </c>
      <c r="Y55" s="8">
        <v>1657</v>
      </c>
      <c r="Z55" s="8">
        <v>6065</v>
      </c>
      <c r="AA55" s="8">
        <v>121</v>
      </c>
      <c r="AB55" s="8"/>
      <c r="AC55" s="8"/>
      <c r="AD55" s="8">
        <v>75</v>
      </c>
      <c r="AE55" s="8">
        <v>751</v>
      </c>
      <c r="AF55" s="8">
        <v>525</v>
      </c>
    </row>
    <row r="56" spans="1:32" ht="15">
      <c r="A56" s="158" t="s">
        <v>321</v>
      </c>
      <c r="B56" s="146">
        <v>1001408</v>
      </c>
      <c r="C56" s="146">
        <v>113944</v>
      </c>
      <c r="D56" s="146">
        <v>65150</v>
      </c>
      <c r="E56" s="146">
        <v>1650</v>
      </c>
      <c r="F56" s="146">
        <v>107605</v>
      </c>
      <c r="G56" s="146">
        <v>3371</v>
      </c>
      <c r="H56" s="146">
        <v>6295</v>
      </c>
      <c r="I56" s="146">
        <v>23134</v>
      </c>
      <c r="J56" s="146">
        <v>402</v>
      </c>
      <c r="K56" s="146">
        <v>5950</v>
      </c>
      <c r="L56" s="8">
        <v>1484</v>
      </c>
      <c r="M56" s="8"/>
      <c r="N56" s="8">
        <v>43063</v>
      </c>
      <c r="O56" s="8">
        <v>15888</v>
      </c>
      <c r="P56" s="8">
        <v>10546</v>
      </c>
      <c r="Q56" s="8">
        <v>5330</v>
      </c>
      <c r="R56" s="8">
        <v>11982</v>
      </c>
      <c r="S56" s="8">
        <v>7152</v>
      </c>
      <c r="T56" s="8"/>
      <c r="U56" s="8"/>
      <c r="V56" s="8"/>
      <c r="W56" s="8">
        <v>223815</v>
      </c>
      <c r="X56" s="8">
        <v>1449</v>
      </c>
      <c r="Y56" s="8">
        <v>2796</v>
      </c>
      <c r="Z56" s="8">
        <v>1141</v>
      </c>
      <c r="AA56" s="8">
        <v>1635</v>
      </c>
      <c r="AB56" s="8">
        <v>58</v>
      </c>
      <c r="AC56" s="8"/>
      <c r="AD56" s="8">
        <v>642</v>
      </c>
      <c r="AE56" s="8">
        <v>455</v>
      </c>
      <c r="AF56" s="8"/>
    </row>
    <row r="57" spans="1:32" ht="15">
      <c r="A57" s="158" t="s">
        <v>50</v>
      </c>
      <c r="B57" s="146"/>
      <c r="C57" s="146">
        <v>387486</v>
      </c>
      <c r="D57" s="146"/>
      <c r="E57" s="146">
        <v>377</v>
      </c>
      <c r="F57" s="146">
        <v>3963</v>
      </c>
      <c r="G57" s="146">
        <v>1126</v>
      </c>
      <c r="H57" s="146">
        <v>1114</v>
      </c>
      <c r="I57" s="146">
        <v>1063</v>
      </c>
      <c r="J57" s="146">
        <v>6394</v>
      </c>
      <c r="K57" s="146">
        <v>60</v>
      </c>
      <c r="L57" s="8"/>
      <c r="M57" s="8"/>
      <c r="N57" s="8">
        <v>18040</v>
      </c>
      <c r="O57" s="8"/>
      <c r="P57" s="8">
        <v>36873</v>
      </c>
      <c r="Q57" s="8">
        <v>3141</v>
      </c>
      <c r="R57" s="8">
        <v>7338</v>
      </c>
      <c r="S57" s="8">
        <v>7288</v>
      </c>
      <c r="T57" s="8"/>
      <c r="U57" s="8"/>
      <c r="V57" s="8"/>
      <c r="W57" s="8">
        <v>105820</v>
      </c>
      <c r="X57" s="8">
        <v>2254</v>
      </c>
      <c r="Y57" s="8">
        <v>3748</v>
      </c>
      <c r="Z57" s="8">
        <v>5968</v>
      </c>
      <c r="AA57" s="8">
        <v>5875</v>
      </c>
      <c r="AB57" s="8">
        <v>3</v>
      </c>
      <c r="AC57" s="8"/>
      <c r="AD57" s="8">
        <v>1463</v>
      </c>
      <c r="AE57" s="8">
        <v>5264</v>
      </c>
      <c r="AF57" s="8"/>
    </row>
    <row r="58" spans="1:32" ht="15">
      <c r="A58" s="158" t="s">
        <v>51</v>
      </c>
      <c r="B58" s="146">
        <v>45368</v>
      </c>
      <c r="C58" s="146">
        <v>348793</v>
      </c>
      <c r="D58" s="146">
        <v>250051</v>
      </c>
      <c r="E58" s="146">
        <v>12</v>
      </c>
      <c r="F58" s="146">
        <v>1367</v>
      </c>
      <c r="G58" s="146">
        <v>474</v>
      </c>
      <c r="H58" s="146">
        <v>453990</v>
      </c>
      <c r="I58" s="146">
        <v>1498</v>
      </c>
      <c r="J58" s="146">
        <v>6206</v>
      </c>
      <c r="K58" s="146">
        <v>26282</v>
      </c>
      <c r="L58" s="8">
        <v>680</v>
      </c>
      <c r="M58" s="8"/>
      <c r="N58" s="8">
        <v>40067</v>
      </c>
      <c r="O58" s="8"/>
      <c r="P58" s="8">
        <v>7263</v>
      </c>
      <c r="Q58" s="8">
        <v>42546</v>
      </c>
      <c r="R58" s="8">
        <v>11388</v>
      </c>
      <c r="S58" s="8">
        <v>1102</v>
      </c>
      <c r="T58" s="8"/>
      <c r="U58" s="8"/>
      <c r="V58" s="8"/>
      <c r="W58" s="8">
        <v>2919437</v>
      </c>
      <c r="X58" s="8">
        <v>126</v>
      </c>
      <c r="Y58" s="8">
        <v>11156</v>
      </c>
      <c r="Z58" s="8">
        <v>6501</v>
      </c>
      <c r="AA58" s="8">
        <v>480</v>
      </c>
      <c r="AB58" s="8">
        <v>400</v>
      </c>
      <c r="AC58" s="8"/>
      <c r="AD58" s="8"/>
      <c r="AE58" s="8">
        <v>6467</v>
      </c>
      <c r="AF58" s="8"/>
    </row>
    <row r="59" spans="1:32" ht="15">
      <c r="A59" s="158" t="s">
        <v>52</v>
      </c>
      <c r="B59" s="146"/>
      <c r="C59" s="146">
        <v>304181</v>
      </c>
      <c r="D59" s="146">
        <v>201</v>
      </c>
      <c r="E59" s="146">
        <v>2289</v>
      </c>
      <c r="F59" s="146">
        <v>1919</v>
      </c>
      <c r="G59" s="146">
        <v>8114</v>
      </c>
      <c r="H59" s="146">
        <v>3590</v>
      </c>
      <c r="I59" s="146">
        <v>574</v>
      </c>
      <c r="J59" s="146">
        <v>16657</v>
      </c>
      <c r="K59" s="146"/>
      <c r="L59" s="8"/>
      <c r="M59" s="8">
        <v>1767</v>
      </c>
      <c r="N59" s="8">
        <v>9578</v>
      </c>
      <c r="O59" s="8"/>
      <c r="P59" s="8">
        <v>18188</v>
      </c>
      <c r="Q59" s="8">
        <v>1528</v>
      </c>
      <c r="R59" s="8">
        <v>9749</v>
      </c>
      <c r="S59" s="8">
        <v>13520</v>
      </c>
      <c r="T59" s="8"/>
      <c r="U59" s="8">
        <v>3875</v>
      </c>
      <c r="V59" s="8">
        <v>5544</v>
      </c>
      <c r="W59" s="8">
        <v>212956</v>
      </c>
      <c r="X59" s="8">
        <v>3973</v>
      </c>
      <c r="Y59" s="8">
        <v>3517</v>
      </c>
      <c r="Z59" s="8">
        <v>2129</v>
      </c>
      <c r="AA59" s="8">
        <v>6621</v>
      </c>
      <c r="AB59" s="8">
        <v>28</v>
      </c>
      <c r="AC59" s="8"/>
      <c r="AD59" s="8">
        <v>360</v>
      </c>
      <c r="AE59" s="8">
        <v>4071</v>
      </c>
      <c r="AF59" s="8"/>
    </row>
    <row r="60" spans="1:32" ht="15">
      <c r="A60" s="158" t="s">
        <v>53</v>
      </c>
      <c r="B60" s="146"/>
      <c r="C60" s="146">
        <v>310251</v>
      </c>
      <c r="D60" s="146">
        <v>195641</v>
      </c>
      <c r="E60" s="146">
        <v>39061</v>
      </c>
      <c r="F60" s="146">
        <v>61636</v>
      </c>
      <c r="G60" s="146">
        <v>63179</v>
      </c>
      <c r="H60" s="146">
        <v>1732</v>
      </c>
      <c r="I60" s="146">
        <v>7514</v>
      </c>
      <c r="J60" s="146">
        <v>751</v>
      </c>
      <c r="K60" s="146"/>
      <c r="L60" s="8"/>
      <c r="M60" s="8">
        <v>3686</v>
      </c>
      <c r="N60" s="8">
        <v>23162</v>
      </c>
      <c r="O60" s="8"/>
      <c r="P60" s="8">
        <v>28384</v>
      </c>
      <c r="Q60" s="8">
        <v>943</v>
      </c>
      <c r="R60" s="8">
        <v>27697</v>
      </c>
      <c r="S60" s="8">
        <v>9785</v>
      </c>
      <c r="T60" s="8"/>
      <c r="U60" s="8">
        <v>48182</v>
      </c>
      <c r="V60" s="8">
        <v>1001</v>
      </c>
      <c r="W60" s="8">
        <v>170418</v>
      </c>
      <c r="X60" s="8">
        <v>14347</v>
      </c>
      <c r="Y60" s="8">
        <v>18649</v>
      </c>
      <c r="Z60" s="8">
        <v>15651</v>
      </c>
      <c r="AA60" s="8">
        <v>3753</v>
      </c>
      <c r="AB60" s="8"/>
      <c r="AC60" s="8"/>
      <c r="AD60" s="8">
        <v>420</v>
      </c>
      <c r="AE60" s="8">
        <v>2922</v>
      </c>
      <c r="AF60" s="8">
        <v>11</v>
      </c>
    </row>
    <row r="61" spans="1:32" ht="15">
      <c r="A61" s="158" t="s">
        <v>54</v>
      </c>
      <c r="B61" s="146"/>
      <c r="C61" s="146">
        <v>369441</v>
      </c>
      <c r="D61" s="146">
        <v>2598</v>
      </c>
      <c r="E61" s="146">
        <v>32988</v>
      </c>
      <c r="F61" s="146">
        <v>4680</v>
      </c>
      <c r="G61" s="146">
        <v>34697</v>
      </c>
      <c r="H61" s="146">
        <v>8649</v>
      </c>
      <c r="I61" s="146">
        <v>229</v>
      </c>
      <c r="J61" s="146">
        <v>3937</v>
      </c>
      <c r="K61" s="146">
        <v>12293</v>
      </c>
      <c r="L61" s="8"/>
      <c r="M61" s="8">
        <v>12453</v>
      </c>
      <c r="N61" s="8">
        <v>44934</v>
      </c>
      <c r="O61" s="8"/>
      <c r="P61" s="8">
        <v>60289</v>
      </c>
      <c r="Q61" s="8">
        <v>787</v>
      </c>
      <c r="R61" s="8">
        <v>17871</v>
      </c>
      <c r="S61" s="8">
        <v>26753</v>
      </c>
      <c r="T61" s="8"/>
      <c r="U61" s="8">
        <v>27163</v>
      </c>
      <c r="V61" s="8">
        <v>10788</v>
      </c>
      <c r="W61" s="8">
        <v>142650</v>
      </c>
      <c r="X61" s="8">
        <v>3934</v>
      </c>
      <c r="Y61" s="8">
        <v>2075</v>
      </c>
      <c r="Z61" s="8">
        <v>2244</v>
      </c>
      <c r="AA61" s="8">
        <v>18148</v>
      </c>
      <c r="AB61" s="8"/>
      <c r="AC61" s="8"/>
      <c r="AD61" s="8">
        <v>3048</v>
      </c>
      <c r="AE61" s="8">
        <v>4063</v>
      </c>
      <c r="AF61" s="8">
        <v>94</v>
      </c>
    </row>
    <row r="62" spans="1:32" ht="15">
      <c r="A62" s="158" t="s">
        <v>55</v>
      </c>
      <c r="B62" s="146"/>
      <c r="C62" s="146">
        <v>259122</v>
      </c>
      <c r="D62" s="146"/>
      <c r="E62" s="146">
        <v>554</v>
      </c>
      <c r="F62" s="146">
        <v>411</v>
      </c>
      <c r="G62" s="146"/>
      <c r="H62" s="146">
        <v>121</v>
      </c>
      <c r="I62" s="146">
        <v>43</v>
      </c>
      <c r="J62" s="146">
        <v>1189</v>
      </c>
      <c r="K62" s="146">
        <v>585</v>
      </c>
      <c r="L62" s="8"/>
      <c r="M62" s="8"/>
      <c r="N62" s="8">
        <v>6585</v>
      </c>
      <c r="O62" s="8"/>
      <c r="P62" s="8">
        <v>25368</v>
      </c>
      <c r="Q62" s="8">
        <v>240</v>
      </c>
      <c r="R62" s="8">
        <v>6614</v>
      </c>
      <c r="S62" s="8">
        <v>21256</v>
      </c>
      <c r="T62" s="8"/>
      <c r="U62" s="8">
        <v>12</v>
      </c>
      <c r="V62" s="8"/>
      <c r="W62" s="8">
        <v>144452</v>
      </c>
      <c r="X62" s="8">
        <v>4767</v>
      </c>
      <c r="Y62" s="8">
        <v>22216</v>
      </c>
      <c r="Z62" s="8">
        <v>6107</v>
      </c>
      <c r="AA62" s="8">
        <v>9297</v>
      </c>
      <c r="AB62" s="8"/>
      <c r="AC62" s="8"/>
      <c r="AD62" s="8">
        <v>631</v>
      </c>
      <c r="AE62" s="8">
        <v>8441</v>
      </c>
      <c r="AF62" s="8"/>
    </row>
    <row r="63" spans="1:32" ht="15">
      <c r="A63" s="158" t="s">
        <v>56</v>
      </c>
      <c r="B63" s="146"/>
      <c r="C63" s="146">
        <v>500809</v>
      </c>
      <c r="D63" s="146">
        <v>48301</v>
      </c>
      <c r="E63" s="146">
        <v>208460</v>
      </c>
      <c r="F63" s="146">
        <v>43096</v>
      </c>
      <c r="G63" s="146">
        <v>55388</v>
      </c>
      <c r="H63" s="146">
        <v>943</v>
      </c>
      <c r="I63" s="146">
        <v>3286</v>
      </c>
      <c r="J63" s="146">
        <v>661</v>
      </c>
      <c r="K63" s="146"/>
      <c r="L63" s="8">
        <v>38</v>
      </c>
      <c r="M63" s="8">
        <v>10019</v>
      </c>
      <c r="N63" s="8">
        <v>5411</v>
      </c>
      <c r="O63" s="8"/>
      <c r="P63" s="8">
        <v>12015</v>
      </c>
      <c r="Q63" s="8">
        <v>1498</v>
      </c>
      <c r="R63" s="8">
        <v>8332</v>
      </c>
      <c r="S63" s="8">
        <v>7943</v>
      </c>
      <c r="T63" s="8">
        <v>18113</v>
      </c>
      <c r="U63" s="8">
        <v>7850</v>
      </c>
      <c r="V63" s="8">
        <v>6491</v>
      </c>
      <c r="W63" s="8">
        <v>17252</v>
      </c>
      <c r="X63" s="8">
        <v>1099</v>
      </c>
      <c r="Y63" s="8">
        <v>11745</v>
      </c>
      <c r="Z63" s="8">
        <v>5390</v>
      </c>
      <c r="AA63" s="8">
        <v>2777</v>
      </c>
      <c r="AB63" s="8"/>
      <c r="AC63" s="8"/>
      <c r="AD63" s="8">
        <v>1011</v>
      </c>
      <c r="AE63" s="8">
        <v>3668</v>
      </c>
      <c r="AF63" s="8"/>
    </row>
    <row r="64" spans="1:32" ht="15">
      <c r="A64" s="158" t="s">
        <v>57</v>
      </c>
      <c r="B64" s="146"/>
      <c r="C64" s="146">
        <v>76642</v>
      </c>
      <c r="D64" s="146"/>
      <c r="E64" s="146">
        <v>2146</v>
      </c>
      <c r="F64" s="146">
        <v>167414</v>
      </c>
      <c r="G64" s="146">
        <v>2506</v>
      </c>
      <c r="H64" s="146">
        <v>91920</v>
      </c>
      <c r="I64" s="146">
        <v>21316</v>
      </c>
      <c r="J64" s="146">
        <v>10</v>
      </c>
      <c r="K64" s="146">
        <v>31933</v>
      </c>
      <c r="L64" s="8">
        <v>31211</v>
      </c>
      <c r="M64" s="8"/>
      <c r="N64" s="8">
        <v>14097</v>
      </c>
      <c r="O64" s="8">
        <v>171411</v>
      </c>
      <c r="P64" s="8">
        <v>240</v>
      </c>
      <c r="Q64" s="8">
        <v>95441</v>
      </c>
      <c r="R64" s="8">
        <v>88</v>
      </c>
      <c r="S64" s="8">
        <v>164</v>
      </c>
      <c r="T64" s="8"/>
      <c r="U64" s="8"/>
      <c r="V64" s="8"/>
      <c r="W64" s="8">
        <v>149631</v>
      </c>
      <c r="X64" s="8"/>
      <c r="Y64" s="8">
        <v>344</v>
      </c>
      <c r="Z64" s="8">
        <v>415</v>
      </c>
      <c r="AA64" s="8"/>
      <c r="AB64" s="8">
        <v>6539</v>
      </c>
      <c r="AC64" s="8">
        <v>406</v>
      </c>
      <c r="AD64" s="8"/>
      <c r="AE64" s="8">
        <v>430</v>
      </c>
      <c r="AF64" s="8"/>
    </row>
    <row r="65" spans="1:32" ht="15">
      <c r="A65" s="158" t="s">
        <v>58</v>
      </c>
      <c r="B65" s="146"/>
      <c r="C65" s="146">
        <v>386008</v>
      </c>
      <c r="D65" s="146">
        <v>3959</v>
      </c>
      <c r="E65" s="146">
        <v>191316</v>
      </c>
      <c r="F65" s="146">
        <v>17893</v>
      </c>
      <c r="G65" s="146">
        <v>82001</v>
      </c>
      <c r="H65" s="146">
        <v>5972</v>
      </c>
      <c r="I65" s="146"/>
      <c r="J65" s="146">
        <v>3802</v>
      </c>
      <c r="K65" s="146">
        <v>4916</v>
      </c>
      <c r="L65" s="8"/>
      <c r="M65" s="8">
        <v>339703</v>
      </c>
      <c r="N65" s="8">
        <v>77024</v>
      </c>
      <c r="O65" s="8"/>
      <c r="P65" s="8">
        <v>17003</v>
      </c>
      <c r="Q65" s="8">
        <v>837</v>
      </c>
      <c r="R65" s="8">
        <v>11673</v>
      </c>
      <c r="S65" s="8">
        <v>22187</v>
      </c>
      <c r="T65" s="8"/>
      <c r="U65" s="8">
        <v>46692</v>
      </c>
      <c r="V65" s="8">
        <v>21400</v>
      </c>
      <c r="W65" s="8">
        <v>116141</v>
      </c>
      <c r="X65" s="8">
        <v>1854</v>
      </c>
      <c r="Y65" s="8">
        <v>27288</v>
      </c>
      <c r="Z65" s="8">
        <v>4593</v>
      </c>
      <c r="AA65" s="8">
        <v>3169</v>
      </c>
      <c r="AB65" s="8"/>
      <c r="AC65" s="8"/>
      <c r="AD65" s="8">
        <v>523</v>
      </c>
      <c r="AE65" s="8">
        <v>18176</v>
      </c>
      <c r="AF65" s="8">
        <v>73</v>
      </c>
    </row>
    <row r="66" spans="1:32" ht="15">
      <c r="A66" s="158" t="s">
        <v>59</v>
      </c>
      <c r="B66" s="146">
        <v>5047662</v>
      </c>
      <c r="C66" s="146">
        <v>422801</v>
      </c>
      <c r="D66" s="146">
        <v>334920</v>
      </c>
      <c r="E66" s="146">
        <v>7923</v>
      </c>
      <c r="F66" s="146">
        <v>165517</v>
      </c>
      <c r="G66" s="146">
        <v>16259</v>
      </c>
      <c r="H66" s="146">
        <v>26290</v>
      </c>
      <c r="I66" s="146">
        <v>6015</v>
      </c>
      <c r="J66" s="146">
        <v>2900</v>
      </c>
      <c r="K66" s="146">
        <v>20008</v>
      </c>
      <c r="L66" s="8">
        <v>167</v>
      </c>
      <c r="M66" s="8">
        <v>22515</v>
      </c>
      <c r="N66" s="8">
        <v>9773</v>
      </c>
      <c r="O66" s="8">
        <v>164346</v>
      </c>
      <c r="P66" s="8">
        <v>23721</v>
      </c>
      <c r="Q66" s="8">
        <v>6475</v>
      </c>
      <c r="R66" s="8">
        <v>59663</v>
      </c>
      <c r="S66" s="8">
        <v>57913</v>
      </c>
      <c r="T66" s="8"/>
      <c r="U66" s="8">
        <v>215</v>
      </c>
      <c r="V66" s="8">
        <v>27</v>
      </c>
      <c r="W66" s="8">
        <v>227535</v>
      </c>
      <c r="X66" s="8">
        <v>10209</v>
      </c>
      <c r="Y66" s="8">
        <v>4098</v>
      </c>
      <c r="Z66" s="8">
        <v>3053</v>
      </c>
      <c r="AA66" s="8">
        <v>6171</v>
      </c>
      <c r="AB66" s="8">
        <v>47</v>
      </c>
      <c r="AC66" s="8">
        <v>625</v>
      </c>
      <c r="AD66" s="8">
        <v>4107</v>
      </c>
      <c r="AE66" s="8">
        <v>1575</v>
      </c>
      <c r="AF66" s="8"/>
    </row>
    <row r="67" spans="1:32" ht="15">
      <c r="A67" s="158" t="s">
        <v>60</v>
      </c>
      <c r="B67" s="146">
        <v>2278785</v>
      </c>
      <c r="C67" s="146">
        <v>3913</v>
      </c>
      <c r="D67" s="146">
        <v>399038</v>
      </c>
      <c r="E67" s="146">
        <v>7435</v>
      </c>
      <c r="F67" s="146">
        <v>101809</v>
      </c>
      <c r="G67" s="146">
        <v>6068</v>
      </c>
      <c r="H67" s="146">
        <v>16844</v>
      </c>
      <c r="I67" s="146">
        <v>35749</v>
      </c>
      <c r="J67" s="146">
        <v>6</v>
      </c>
      <c r="K67" s="146"/>
      <c r="L67" s="8">
        <v>6300</v>
      </c>
      <c r="M67" s="8"/>
      <c r="N67" s="8">
        <v>23713</v>
      </c>
      <c r="O67" s="8">
        <v>7143</v>
      </c>
      <c r="P67" s="8">
        <v>5288</v>
      </c>
      <c r="Q67" s="8">
        <v>11074</v>
      </c>
      <c r="R67" s="8">
        <v>1550</v>
      </c>
      <c r="S67" s="8">
        <v>20</v>
      </c>
      <c r="T67" s="8"/>
      <c r="U67" s="8">
        <v>1703</v>
      </c>
      <c r="V67" s="8">
        <v>37</v>
      </c>
      <c r="W67" s="8">
        <v>84914</v>
      </c>
      <c r="X67" s="8">
        <v>594</v>
      </c>
      <c r="Y67" s="8">
        <v>4121</v>
      </c>
      <c r="Z67" s="8">
        <v>1978</v>
      </c>
      <c r="AA67" s="8">
        <v>113</v>
      </c>
      <c r="AB67" s="8">
        <v>6024</v>
      </c>
      <c r="AC67" s="8">
        <v>1311</v>
      </c>
      <c r="AD67" s="8"/>
      <c r="AE67" s="8">
        <v>65</v>
      </c>
      <c r="AF67" s="8"/>
    </row>
    <row r="68" spans="1:32" ht="15">
      <c r="A68" s="159" t="s">
        <v>61</v>
      </c>
      <c r="B68" s="146">
        <v>1459303</v>
      </c>
      <c r="C68" s="146">
        <v>107127</v>
      </c>
      <c r="D68" s="146"/>
      <c r="E68" s="146">
        <v>3964</v>
      </c>
      <c r="F68" s="146">
        <v>205995</v>
      </c>
      <c r="G68" s="146">
        <v>37145</v>
      </c>
      <c r="H68" s="146">
        <v>52420</v>
      </c>
      <c r="I68" s="146">
        <v>149768</v>
      </c>
      <c r="J68" s="146">
        <v>30</v>
      </c>
      <c r="K68" s="146">
        <v>6774</v>
      </c>
      <c r="L68" s="8">
        <v>4040</v>
      </c>
      <c r="M68" s="8"/>
      <c r="N68" s="8">
        <v>38936</v>
      </c>
      <c r="O68" s="8">
        <v>19517</v>
      </c>
      <c r="P68" s="8">
        <v>952</v>
      </c>
      <c r="Q68" s="8">
        <v>50147</v>
      </c>
      <c r="R68" s="8">
        <v>227</v>
      </c>
      <c r="S68" s="8">
        <v>164</v>
      </c>
      <c r="T68" s="8"/>
      <c r="U68" s="8"/>
      <c r="V68" s="8"/>
      <c r="W68" s="8">
        <v>403244</v>
      </c>
      <c r="X68" s="8">
        <v>5</v>
      </c>
      <c r="Y68" s="8">
        <v>3080</v>
      </c>
      <c r="Z68" s="8">
        <v>2577</v>
      </c>
      <c r="AA68" s="8">
        <v>125</v>
      </c>
      <c r="AB68" s="8"/>
      <c r="AC68" s="8">
        <v>3692</v>
      </c>
      <c r="AD68" s="8"/>
      <c r="AE68" s="8">
        <v>2222</v>
      </c>
      <c r="AF68" s="8"/>
    </row>
    <row r="69" spans="1:32" ht="15">
      <c r="A69" s="160" t="s">
        <v>62</v>
      </c>
      <c r="B69" s="146"/>
      <c r="C69" s="146"/>
      <c r="D69" s="146">
        <v>96716</v>
      </c>
      <c r="E69" s="146">
        <v>276148</v>
      </c>
      <c r="F69" s="146">
        <v>106771</v>
      </c>
      <c r="G69" s="146">
        <v>405682</v>
      </c>
      <c r="H69" s="146"/>
      <c r="I69" s="146"/>
      <c r="J69" s="146"/>
      <c r="K69" s="146"/>
      <c r="L69" s="8"/>
      <c r="M69" s="8">
        <v>17275</v>
      </c>
      <c r="N69" s="8">
        <v>19845</v>
      </c>
      <c r="O69" s="8"/>
      <c r="P69" s="8"/>
      <c r="Q69" s="8">
        <v>1822</v>
      </c>
      <c r="R69" s="8"/>
      <c r="S69" s="8"/>
      <c r="T69" s="8">
        <v>113321</v>
      </c>
      <c r="U69" s="8">
        <v>162</v>
      </c>
      <c r="V69" s="8">
        <v>540</v>
      </c>
      <c r="W69" s="8"/>
      <c r="X69" s="8"/>
      <c r="Y69" s="8"/>
      <c r="Z69" s="8">
        <v>4367</v>
      </c>
      <c r="AA69" s="8"/>
      <c r="AB69" s="8"/>
      <c r="AC69" s="8">
        <v>5649</v>
      </c>
      <c r="AD69" s="8"/>
      <c r="AE69" s="8"/>
      <c r="AF69" s="8"/>
    </row>
    <row r="70" spans="1:32" ht="15">
      <c r="A70" s="160" t="s">
        <v>63</v>
      </c>
      <c r="B70" s="146"/>
      <c r="C70" s="146"/>
      <c r="D70" s="146">
        <v>5425</v>
      </c>
      <c r="E70" s="146">
        <v>19873</v>
      </c>
      <c r="F70" s="146">
        <v>10543</v>
      </c>
      <c r="G70" s="146">
        <v>10126</v>
      </c>
      <c r="H70" s="146"/>
      <c r="I70" s="146">
        <v>278</v>
      </c>
      <c r="J70" s="146"/>
      <c r="K70" s="146"/>
      <c r="L70" s="8"/>
      <c r="M70" s="8">
        <v>3066</v>
      </c>
      <c r="N70" s="8"/>
      <c r="O70" s="8"/>
      <c r="P70" s="8"/>
      <c r="Q70" s="8">
        <v>28</v>
      </c>
      <c r="R70" s="8"/>
      <c r="S70" s="8"/>
      <c r="T70" s="8"/>
      <c r="U70" s="8">
        <v>14</v>
      </c>
      <c r="V70" s="8">
        <v>324</v>
      </c>
      <c r="W70" s="8"/>
      <c r="X70" s="8"/>
      <c r="Y70" s="8"/>
      <c r="Z70" s="8">
        <v>298</v>
      </c>
      <c r="AA70" s="8"/>
      <c r="AB70" s="8"/>
      <c r="AC70" s="8"/>
      <c r="AD70" s="8"/>
      <c r="AE70" s="8"/>
      <c r="AF70" s="8"/>
    </row>
    <row r="71" spans="1:32" ht="15">
      <c r="A71" s="160" t="s">
        <v>64</v>
      </c>
      <c r="B71" s="146"/>
      <c r="C71" s="146">
        <v>6554</v>
      </c>
      <c r="D71" s="146"/>
      <c r="E71" s="146">
        <v>16</v>
      </c>
      <c r="F71" s="146">
        <v>179</v>
      </c>
      <c r="G71" s="146"/>
      <c r="H71" s="146">
        <v>2624</v>
      </c>
      <c r="I71" s="146"/>
      <c r="J71" s="146">
        <v>71</v>
      </c>
      <c r="K71" s="146"/>
      <c r="L71" s="8"/>
      <c r="M71" s="8"/>
      <c r="N71" s="8">
        <v>764</v>
      </c>
      <c r="O71" s="8"/>
      <c r="P71" s="8">
        <v>779</v>
      </c>
      <c r="Q71" s="8">
        <v>183</v>
      </c>
      <c r="R71" s="8">
        <v>73</v>
      </c>
      <c r="S71" s="8">
        <v>114</v>
      </c>
      <c r="T71" s="8"/>
      <c r="U71" s="8"/>
      <c r="V71" s="8"/>
      <c r="W71" s="8">
        <v>434524</v>
      </c>
      <c r="X71" s="8"/>
      <c r="Y71" s="8">
        <v>68</v>
      </c>
      <c r="Z71" s="8">
        <v>72</v>
      </c>
      <c r="AA71" s="8">
        <v>214</v>
      </c>
      <c r="AB71" s="8"/>
      <c r="AC71" s="8"/>
      <c r="AD71" s="8"/>
      <c r="AE71" s="8">
        <v>357</v>
      </c>
      <c r="AF71" s="8"/>
    </row>
    <row r="72" spans="1:32" ht="15">
      <c r="A72" s="160" t="s">
        <v>65</v>
      </c>
      <c r="B72" s="146"/>
      <c r="C72" s="146">
        <v>146916</v>
      </c>
      <c r="D72" s="146">
        <v>3881</v>
      </c>
      <c r="E72" s="146">
        <v>93202</v>
      </c>
      <c r="F72" s="146">
        <v>6562</v>
      </c>
      <c r="G72" s="146">
        <v>61067</v>
      </c>
      <c r="H72" s="146"/>
      <c r="I72" s="146"/>
      <c r="J72" s="146">
        <v>5</v>
      </c>
      <c r="K72" s="146"/>
      <c r="L72" s="8"/>
      <c r="M72" s="8">
        <v>410</v>
      </c>
      <c r="N72" s="8">
        <v>12173</v>
      </c>
      <c r="O72" s="8"/>
      <c r="P72" s="8">
        <v>1832</v>
      </c>
      <c r="Q72" s="8"/>
      <c r="R72" s="8">
        <v>247</v>
      </c>
      <c r="S72" s="8">
        <v>182</v>
      </c>
      <c r="T72" s="8"/>
      <c r="U72" s="8">
        <v>10094</v>
      </c>
      <c r="V72" s="8">
        <v>1338</v>
      </c>
      <c r="W72" s="8">
        <v>2196</v>
      </c>
      <c r="X72" s="8">
        <v>84</v>
      </c>
      <c r="Y72" s="8">
        <v>2656</v>
      </c>
      <c r="Z72" s="8">
        <v>1449</v>
      </c>
      <c r="AA72" s="8">
        <v>756</v>
      </c>
      <c r="AB72" s="8"/>
      <c r="AC72" s="8"/>
      <c r="AD72" s="8">
        <v>46</v>
      </c>
      <c r="AE72" s="8">
        <v>2090</v>
      </c>
      <c r="AF72" s="8"/>
    </row>
    <row r="73" spans="1:32" ht="15">
      <c r="A73" s="160" t="s">
        <v>66</v>
      </c>
      <c r="B73" s="146"/>
      <c r="C73" s="146">
        <v>13951</v>
      </c>
      <c r="D73" s="146">
        <v>589687</v>
      </c>
      <c r="E73" s="146">
        <v>274342</v>
      </c>
      <c r="F73" s="146">
        <v>61666</v>
      </c>
      <c r="G73" s="146">
        <v>6924</v>
      </c>
      <c r="H73" s="146">
        <v>6334</v>
      </c>
      <c r="I73" s="146">
        <v>16048</v>
      </c>
      <c r="J73" s="146"/>
      <c r="K73" s="146"/>
      <c r="L73" s="8">
        <v>1197</v>
      </c>
      <c r="M73" s="8"/>
      <c r="N73" s="8">
        <v>1845</v>
      </c>
      <c r="O73" s="8"/>
      <c r="P73" s="8">
        <v>15080</v>
      </c>
      <c r="Q73" s="8">
        <v>1550</v>
      </c>
      <c r="R73" s="8">
        <v>14490</v>
      </c>
      <c r="S73" s="8">
        <v>265</v>
      </c>
      <c r="T73" s="8"/>
      <c r="U73" s="8">
        <v>3044</v>
      </c>
      <c r="V73" s="8">
        <v>658</v>
      </c>
      <c r="W73" s="8">
        <v>3182</v>
      </c>
      <c r="X73" s="8">
        <v>4113</v>
      </c>
      <c r="Y73" s="8">
        <v>772</v>
      </c>
      <c r="Z73" s="8">
        <v>4235</v>
      </c>
      <c r="AA73" s="8">
        <v>501</v>
      </c>
      <c r="AB73" s="8"/>
      <c r="AC73" s="8">
        <v>10851</v>
      </c>
      <c r="AD73" s="8"/>
      <c r="AE73" s="8"/>
      <c r="AF73" s="8">
        <v>543</v>
      </c>
    </row>
    <row r="74" spans="1:32" ht="15">
      <c r="A74" s="160" t="s">
        <v>67</v>
      </c>
      <c r="B74" s="146"/>
      <c r="C74" s="146">
        <v>691785</v>
      </c>
      <c r="D74" s="146">
        <v>516</v>
      </c>
      <c r="E74" s="146">
        <v>11522</v>
      </c>
      <c r="F74" s="146">
        <v>4124</v>
      </c>
      <c r="G74" s="146">
        <v>20950</v>
      </c>
      <c r="H74" s="146">
        <v>8519</v>
      </c>
      <c r="I74" s="146">
        <v>1853</v>
      </c>
      <c r="J74" s="146">
        <v>35166</v>
      </c>
      <c r="K74" s="146"/>
      <c r="L74" s="8"/>
      <c r="M74" s="8">
        <v>20811</v>
      </c>
      <c r="N74" s="8">
        <v>88</v>
      </c>
      <c r="O74" s="8"/>
      <c r="P74" s="8">
        <v>6069</v>
      </c>
      <c r="Q74" s="8"/>
      <c r="R74" s="8">
        <v>1598</v>
      </c>
      <c r="S74" s="8">
        <v>28562</v>
      </c>
      <c r="T74" s="8"/>
      <c r="U74" s="8">
        <v>6940</v>
      </c>
      <c r="V74" s="8">
        <v>236</v>
      </c>
      <c r="W74" s="8">
        <v>1019036</v>
      </c>
      <c r="X74" s="8">
        <v>1150</v>
      </c>
      <c r="Y74" s="8"/>
      <c r="Z74" s="8">
        <v>527</v>
      </c>
      <c r="AA74" s="8">
        <v>12162</v>
      </c>
      <c r="AB74" s="8"/>
      <c r="AC74" s="8"/>
      <c r="AD74" s="8">
        <v>1693</v>
      </c>
      <c r="AE74" s="8">
        <v>2585</v>
      </c>
      <c r="AF74" s="8">
        <v>37</v>
      </c>
    </row>
    <row r="75" spans="1:32" ht="15">
      <c r="A75" s="160" t="s">
        <v>68</v>
      </c>
      <c r="B75" s="146"/>
      <c r="C75" s="146"/>
      <c r="D75" s="146">
        <v>710287</v>
      </c>
      <c r="E75" s="146">
        <v>385532</v>
      </c>
      <c r="F75" s="146">
        <v>102265</v>
      </c>
      <c r="G75" s="146">
        <v>99887</v>
      </c>
      <c r="H75" s="146"/>
      <c r="I75" s="146"/>
      <c r="J75" s="146"/>
      <c r="K75" s="146"/>
      <c r="L75" s="8">
        <v>113</v>
      </c>
      <c r="M75" s="8">
        <v>11712</v>
      </c>
      <c r="N75" s="8"/>
      <c r="O75" s="8"/>
      <c r="P75" s="8"/>
      <c r="Q75" s="8">
        <v>1432</v>
      </c>
      <c r="R75" s="8"/>
      <c r="S75" s="8"/>
      <c r="T75" s="8">
        <v>381665</v>
      </c>
      <c r="U75" s="8">
        <v>82319</v>
      </c>
      <c r="V75" s="8">
        <v>45996</v>
      </c>
      <c r="W75" s="8"/>
      <c r="X75" s="8"/>
      <c r="Y75" s="8"/>
      <c r="Z75" s="8">
        <v>3896</v>
      </c>
      <c r="AA75" s="8"/>
      <c r="AB75" s="8"/>
      <c r="AC75" s="8">
        <v>1087</v>
      </c>
      <c r="AD75" s="8"/>
      <c r="AE75" s="8"/>
      <c r="AF75" s="8">
        <v>39</v>
      </c>
    </row>
    <row r="76" spans="1:32" ht="15">
      <c r="A76" s="160" t="s">
        <v>69</v>
      </c>
      <c r="B76" s="146"/>
      <c r="C76" s="146">
        <v>6249</v>
      </c>
      <c r="D76" s="146"/>
      <c r="E76" s="146">
        <v>52</v>
      </c>
      <c r="F76" s="146">
        <v>52</v>
      </c>
      <c r="G76" s="146"/>
      <c r="H76" s="146">
        <v>18261</v>
      </c>
      <c r="I76" s="146">
        <v>500</v>
      </c>
      <c r="J76" s="146">
        <v>1019</v>
      </c>
      <c r="K76" s="146"/>
      <c r="L76" s="8"/>
      <c r="M76" s="8"/>
      <c r="N76" s="8">
        <v>1649</v>
      </c>
      <c r="O76" s="8"/>
      <c r="P76" s="8">
        <v>969</v>
      </c>
      <c r="Q76" s="8">
        <v>7324</v>
      </c>
      <c r="R76" s="8">
        <v>53</v>
      </c>
      <c r="S76" s="8"/>
      <c r="T76" s="8"/>
      <c r="U76" s="8"/>
      <c r="V76" s="8"/>
      <c r="W76" s="8">
        <v>247234</v>
      </c>
      <c r="X76" s="8"/>
      <c r="Y76" s="8">
        <v>140</v>
      </c>
      <c r="Z76" s="8"/>
      <c r="AA76" s="8"/>
      <c r="AB76" s="8"/>
      <c r="AC76" s="8"/>
      <c r="AD76" s="8"/>
      <c r="AE76" s="8">
        <v>739</v>
      </c>
      <c r="AF76" s="8"/>
    </row>
    <row r="77" spans="1:32" ht="15">
      <c r="A77" s="160" t="s">
        <v>70</v>
      </c>
      <c r="B77" s="146"/>
      <c r="C77" s="146"/>
      <c r="D77" s="146">
        <v>124497</v>
      </c>
      <c r="E77" s="146">
        <v>114856</v>
      </c>
      <c r="F77" s="146">
        <v>3186</v>
      </c>
      <c r="G77" s="146">
        <v>1764</v>
      </c>
      <c r="H77" s="146"/>
      <c r="I77" s="146">
        <v>37</v>
      </c>
      <c r="J77" s="146"/>
      <c r="K77" s="146"/>
      <c r="L77" s="8"/>
      <c r="M77" s="8"/>
      <c r="N77" s="8">
        <v>1559</v>
      </c>
      <c r="O77" s="8"/>
      <c r="P77" s="8"/>
      <c r="Q77" s="8">
        <v>22</v>
      </c>
      <c r="R77" s="8"/>
      <c r="S77" s="8"/>
      <c r="T77" s="8"/>
      <c r="U77" s="8"/>
      <c r="V77" s="8">
        <v>694</v>
      </c>
      <c r="W77" s="8"/>
      <c r="X77" s="8"/>
      <c r="Y77" s="8"/>
      <c r="Z77" s="8"/>
      <c r="AA77" s="8"/>
      <c r="AB77" s="8"/>
      <c r="AC77" s="8">
        <v>116</v>
      </c>
      <c r="AD77" s="8"/>
      <c r="AE77" s="8"/>
      <c r="AF77" s="8">
        <v>30</v>
      </c>
    </row>
    <row r="78" spans="1:32" ht="15">
      <c r="A78" s="160" t="s">
        <v>71</v>
      </c>
      <c r="B78" s="146"/>
      <c r="C78" s="146"/>
      <c r="D78" s="146">
        <v>26934</v>
      </c>
      <c r="E78" s="146">
        <v>262369</v>
      </c>
      <c r="F78" s="146">
        <v>25790</v>
      </c>
      <c r="G78" s="146">
        <v>120759</v>
      </c>
      <c r="H78" s="146"/>
      <c r="I78" s="146">
        <v>471</v>
      </c>
      <c r="J78" s="146"/>
      <c r="K78" s="146"/>
      <c r="L78" s="8">
        <v>128</v>
      </c>
      <c r="M78" s="8">
        <v>9499</v>
      </c>
      <c r="N78" s="8"/>
      <c r="O78" s="8"/>
      <c r="P78" s="8"/>
      <c r="Q78" s="8">
        <v>348</v>
      </c>
      <c r="R78" s="8"/>
      <c r="S78" s="8"/>
      <c r="T78" s="8">
        <v>223246</v>
      </c>
      <c r="U78" s="8">
        <v>4529</v>
      </c>
      <c r="V78" s="8">
        <v>8622</v>
      </c>
      <c r="W78" s="8"/>
      <c r="X78" s="8"/>
      <c r="Y78" s="8"/>
      <c r="Z78" s="8">
        <v>2233</v>
      </c>
      <c r="AA78" s="8"/>
      <c r="AB78" s="8"/>
      <c r="AC78" s="8">
        <v>463</v>
      </c>
      <c r="AD78" s="8"/>
      <c r="AE78" s="8"/>
      <c r="AF78" s="8">
        <v>20</v>
      </c>
    </row>
    <row r="79" spans="12:29" ht="15">
      <c r="L79" s="1"/>
      <c r="M79" s="1"/>
      <c r="N79" s="1"/>
      <c r="O79" s="1"/>
      <c r="P79" s="1"/>
      <c r="Q79" s="1"/>
      <c r="R79" s="1"/>
      <c r="S79" s="1"/>
      <c r="T79" s="1"/>
      <c r="U79" s="1"/>
      <c r="V79" s="1"/>
      <c r="W79" s="1"/>
      <c r="X79" s="1"/>
      <c r="Y79" s="1"/>
      <c r="Z79" s="1"/>
      <c r="AA79" s="1"/>
      <c r="AB79" s="1"/>
      <c r="AC79" s="1"/>
    </row>
    <row r="80" spans="1:29" ht="15">
      <c r="A80" s="102" t="s">
        <v>79</v>
      </c>
      <c r="B80" s="1162">
        <v>4</v>
      </c>
      <c r="C80" s="1162"/>
      <c r="D80" s="1162"/>
      <c r="E80" s="1162"/>
      <c r="F80" s="1162"/>
      <c r="G80" s="1162"/>
      <c r="H80" s="1162"/>
      <c r="J80" s="6"/>
      <c r="K80" s="507" t="s">
        <v>989</v>
      </c>
      <c r="L80" s="6"/>
      <c r="M80" s="6"/>
      <c r="N80" s="6"/>
      <c r="O80" s="6"/>
      <c r="P80" s="1"/>
      <c r="Q80" s="1"/>
      <c r="R80" s="1"/>
      <c r="S80" s="1"/>
      <c r="T80" s="1"/>
      <c r="U80" s="1"/>
      <c r="V80" s="1"/>
      <c r="W80" s="1"/>
      <c r="X80" s="1"/>
      <c r="Y80" s="1"/>
      <c r="Z80" s="1"/>
      <c r="AA80" s="1"/>
      <c r="AB80" s="1"/>
      <c r="AC80" s="1"/>
    </row>
    <row r="81" spans="1:29" ht="15">
      <c r="A81" s="104" t="s">
        <v>80</v>
      </c>
      <c r="B81" s="1163" t="s">
        <v>490</v>
      </c>
      <c r="C81" s="1163"/>
      <c r="D81" s="1163"/>
      <c r="E81" s="1163"/>
      <c r="F81" s="1163"/>
      <c r="G81" s="1163"/>
      <c r="H81" s="1163"/>
      <c r="J81" s="6"/>
      <c r="K81" s="6"/>
      <c r="L81" s="6"/>
      <c r="M81" s="6"/>
      <c r="N81" s="6"/>
      <c r="O81" s="6"/>
      <c r="P81" s="1"/>
      <c r="Q81" s="1"/>
      <c r="R81" s="1"/>
      <c r="S81" s="1"/>
      <c r="T81" s="1"/>
      <c r="U81" s="1"/>
      <c r="V81" s="1"/>
      <c r="W81" s="1"/>
      <c r="X81" s="1"/>
      <c r="Y81" s="1"/>
      <c r="Z81" s="1"/>
      <c r="AA81" s="1"/>
      <c r="AB81" s="1"/>
      <c r="AC81" s="1"/>
    </row>
    <row r="82" spans="1:29" ht="15">
      <c r="A82" s="104" t="s">
        <v>81</v>
      </c>
      <c r="B82" s="1161" t="s">
        <v>145</v>
      </c>
      <c r="C82" s="1161"/>
      <c r="D82" s="1161"/>
      <c r="E82" s="1161"/>
      <c r="F82" s="1161"/>
      <c r="G82" s="1161"/>
      <c r="H82" s="1161"/>
      <c r="J82" s="6"/>
      <c r="K82" s="6"/>
      <c r="L82" s="6"/>
      <c r="M82" s="6"/>
      <c r="N82" s="6"/>
      <c r="O82" s="6"/>
      <c r="P82" s="1"/>
      <c r="Q82" s="1"/>
      <c r="R82" s="1"/>
      <c r="S82" s="1"/>
      <c r="T82" s="1"/>
      <c r="U82" s="1"/>
      <c r="V82" s="1"/>
      <c r="W82" s="1"/>
      <c r="X82" s="1"/>
      <c r="Y82" s="1"/>
      <c r="Z82" s="1"/>
      <c r="AA82" s="1"/>
      <c r="AB82" s="1"/>
      <c r="AC82" s="1"/>
    </row>
    <row r="83" spans="1:29" ht="15">
      <c r="A83" s="104" t="s">
        <v>82</v>
      </c>
      <c r="B83" s="1172" t="s">
        <v>144</v>
      </c>
      <c r="C83" s="1162"/>
      <c r="D83" s="1162"/>
      <c r="E83" s="1162"/>
      <c r="F83" s="1162"/>
      <c r="G83" s="1162"/>
      <c r="H83" s="1162"/>
      <c r="J83" s="6"/>
      <c r="K83" s="6"/>
      <c r="L83" s="6"/>
      <c r="M83" s="6"/>
      <c r="N83" s="6"/>
      <c r="O83" s="6"/>
      <c r="P83" s="1"/>
      <c r="Q83" s="1"/>
      <c r="R83" s="1"/>
      <c r="S83" s="1"/>
      <c r="T83" s="1"/>
      <c r="U83" s="1"/>
      <c r="V83" s="1"/>
      <c r="W83" s="1"/>
      <c r="X83" s="1"/>
      <c r="Y83" s="1"/>
      <c r="Z83" s="1"/>
      <c r="AA83" s="1"/>
      <c r="AB83" s="1"/>
      <c r="AC83" s="1"/>
    </row>
    <row r="84" spans="1:29" ht="15">
      <c r="A84" s="104" t="s">
        <v>83</v>
      </c>
      <c r="B84" s="1168">
        <v>44002</v>
      </c>
      <c r="C84" s="1162"/>
      <c r="D84" s="1162"/>
      <c r="E84" s="1162"/>
      <c r="F84" s="1162"/>
      <c r="G84" s="1162"/>
      <c r="H84" s="1162"/>
      <c r="L84" s="1"/>
      <c r="M84" s="1"/>
      <c r="N84" s="1"/>
      <c r="O84" s="1"/>
      <c r="P84" s="1"/>
      <c r="Q84" s="1"/>
      <c r="R84" s="1"/>
      <c r="S84" s="1"/>
      <c r="T84" s="1"/>
      <c r="U84" s="1"/>
      <c r="V84" s="1"/>
      <c r="W84" s="1"/>
      <c r="X84" s="1"/>
      <c r="Y84" s="1"/>
      <c r="Z84" s="1"/>
      <c r="AA84" s="1"/>
      <c r="AB84" s="1"/>
      <c r="AC84" s="1"/>
    </row>
    <row r="85" spans="1:29" ht="30.75" customHeight="1">
      <c r="A85" s="104" t="s">
        <v>84</v>
      </c>
      <c r="B85" s="1161" t="s">
        <v>1048</v>
      </c>
      <c r="C85" s="1161"/>
      <c r="D85" s="1161"/>
      <c r="E85" s="1161"/>
      <c r="F85" s="1161"/>
      <c r="G85" s="1161"/>
      <c r="H85" s="1161"/>
      <c r="L85" s="1"/>
      <c r="M85" s="1"/>
      <c r="N85" s="1"/>
      <c r="O85" s="1"/>
      <c r="P85" s="1"/>
      <c r="Q85" s="1"/>
      <c r="R85" s="1"/>
      <c r="S85" s="1"/>
      <c r="T85" s="1"/>
      <c r="U85" s="1"/>
      <c r="V85" s="1"/>
      <c r="W85" s="1"/>
      <c r="X85" s="1"/>
      <c r="Y85" s="1"/>
      <c r="Z85" s="1"/>
      <c r="AA85" s="1"/>
      <c r="AB85" s="1"/>
      <c r="AC85" s="1"/>
    </row>
    <row r="86" spans="1:29" ht="15">
      <c r="A86" s="105" t="s">
        <v>41</v>
      </c>
      <c r="B86" s="106" t="s">
        <v>42</v>
      </c>
      <c r="C86" s="105" t="s">
        <v>43</v>
      </c>
      <c r="D86" s="105" t="s">
        <v>44</v>
      </c>
      <c r="E86" s="105" t="s">
        <v>45</v>
      </c>
      <c r="F86" s="105" t="s">
        <v>46</v>
      </c>
      <c r="G86" s="105" t="s">
        <v>47</v>
      </c>
      <c r="H86" s="105" t="s">
        <v>48</v>
      </c>
      <c r="L86" s="1"/>
      <c r="M86" s="1"/>
      <c r="N86" s="1"/>
      <c r="O86" s="1"/>
      <c r="P86" s="1"/>
      <c r="Q86" s="1"/>
      <c r="R86" s="1"/>
      <c r="S86" s="1"/>
      <c r="T86" s="1"/>
      <c r="U86" s="1"/>
      <c r="V86" s="1"/>
      <c r="W86" s="1"/>
      <c r="X86" s="1"/>
      <c r="Y86" s="1"/>
      <c r="Z86" s="1"/>
      <c r="AA86" s="1"/>
      <c r="AB86" s="1"/>
      <c r="AC86" s="1"/>
    </row>
    <row r="87" spans="1:29" ht="15">
      <c r="A87" s="105" t="s">
        <v>76</v>
      </c>
      <c r="B87" s="107">
        <f>SUM(B88:B111)</f>
        <v>158263248</v>
      </c>
      <c r="C87" s="107">
        <f aca="true" t="shared" si="2" ref="C87:H87">SUM(C88:C111)</f>
        <v>4319229</v>
      </c>
      <c r="D87" s="107">
        <f t="shared" si="2"/>
        <v>1105017</v>
      </c>
      <c r="E87" s="107">
        <f t="shared" si="2"/>
        <v>1879713</v>
      </c>
      <c r="F87" s="107">
        <f t="shared" si="2"/>
        <v>11450659</v>
      </c>
      <c r="G87" s="107">
        <f t="shared" si="2"/>
        <v>3144911</v>
      </c>
      <c r="H87" s="107">
        <f t="shared" si="2"/>
        <v>5535455</v>
      </c>
      <c r="L87" s="1"/>
      <c r="M87" s="1"/>
      <c r="N87" s="1"/>
      <c r="O87" s="1"/>
      <c r="P87" s="1"/>
      <c r="Q87" s="1"/>
      <c r="R87" s="1"/>
      <c r="S87" s="1"/>
      <c r="T87" s="1"/>
      <c r="U87" s="1"/>
      <c r="V87" s="1"/>
      <c r="W87" s="1"/>
      <c r="X87" s="1"/>
      <c r="Y87" s="1"/>
      <c r="Z87" s="1"/>
      <c r="AA87" s="1"/>
      <c r="AB87" s="1"/>
      <c r="AC87" s="1"/>
    </row>
    <row r="88" spans="1:29" ht="15">
      <c r="A88" s="108" t="s">
        <v>85</v>
      </c>
      <c r="B88" s="109">
        <f>'3A1_3A2_3C6 INFO BASE'!B9</f>
        <v>1471619</v>
      </c>
      <c r="C88" s="109">
        <f>'3A1_3A2_3C6 INFO BASE'!C9</f>
        <v>0</v>
      </c>
      <c r="D88" s="109">
        <f>'3A1_3A2_3C6 INFO BASE'!D9</f>
        <v>0</v>
      </c>
      <c r="E88" s="109">
        <f>'3A1_3A2_3C6 INFO BASE'!E9</f>
        <v>12572</v>
      </c>
      <c r="F88" s="109">
        <f>'3A1_3A2_3C6 INFO BASE'!F9</f>
        <v>29054</v>
      </c>
      <c r="G88" s="109">
        <f>'3A1_3A2_3C6 INFO BASE'!G9</f>
        <v>84502</v>
      </c>
      <c r="H88" s="109">
        <f>'3A1_3A2_3C6 INFO BASE'!H9</f>
        <v>246360</v>
      </c>
      <c r="L88" s="1"/>
      <c r="M88" s="1"/>
      <c r="N88" s="1"/>
      <c r="O88" s="1"/>
      <c r="P88" s="1"/>
      <c r="Q88" s="1"/>
      <c r="R88" s="1"/>
      <c r="S88" s="1"/>
      <c r="T88" s="1"/>
      <c r="U88" s="1"/>
      <c r="V88" s="1"/>
      <c r="W88" s="1"/>
      <c r="X88" s="1"/>
      <c r="Y88" s="1"/>
      <c r="Z88" s="1"/>
      <c r="AA88" s="1"/>
      <c r="AB88" s="1"/>
      <c r="AC88" s="1"/>
    </row>
    <row r="89" spans="1:29" ht="15">
      <c r="A89" s="108" t="s">
        <v>86</v>
      </c>
      <c r="B89" s="109">
        <f>'3A1_3A2_3C6 INFO BASE'!B10</f>
        <v>2630235</v>
      </c>
      <c r="C89" s="109">
        <f>'3A1_3A2_3C6 INFO BASE'!C10</f>
        <v>10201</v>
      </c>
      <c r="D89" s="109">
        <f>'3A1_3A2_3C6 INFO BASE'!D10</f>
        <v>0</v>
      </c>
      <c r="E89" s="109">
        <f>'3A1_3A2_3C6 INFO BASE'!E10</f>
        <v>177602</v>
      </c>
      <c r="F89" s="109">
        <f>'3A1_3A2_3C6 INFO BASE'!F10</f>
        <v>672817</v>
      </c>
      <c r="G89" s="109">
        <f>'3A1_3A2_3C6 INFO BASE'!G10</f>
        <v>174016</v>
      </c>
      <c r="H89" s="109">
        <f>'3A1_3A2_3C6 INFO BASE'!H10</f>
        <v>309475</v>
      </c>
      <c r="L89" s="1"/>
      <c r="M89" s="1"/>
      <c r="N89" s="1"/>
      <c r="O89" s="1"/>
      <c r="P89" s="1"/>
      <c r="Q89" s="1"/>
      <c r="R89" s="1"/>
      <c r="S89" s="1"/>
      <c r="T89" s="1"/>
      <c r="U89" s="1"/>
      <c r="V89" s="1"/>
      <c r="W89" s="1"/>
      <c r="X89" s="1"/>
      <c r="Y89" s="1"/>
      <c r="Z89" s="1"/>
      <c r="AA89" s="1"/>
      <c r="AB89" s="1"/>
      <c r="AC89" s="1"/>
    </row>
    <row r="90" spans="1:29" ht="15">
      <c r="A90" s="108" t="s">
        <v>87</v>
      </c>
      <c r="B90" s="109">
        <f>'3A1_3A2_3C6 INFO BASE'!B11</f>
        <v>311441</v>
      </c>
      <c r="C90" s="109">
        <f>'3A1_3A2_3C6 INFO BASE'!C11</f>
        <v>216265</v>
      </c>
      <c r="D90" s="109">
        <f>'3A1_3A2_3C6 INFO BASE'!D11</f>
        <v>73479</v>
      </c>
      <c r="E90" s="109">
        <f>'3A1_3A2_3C6 INFO BASE'!E11</f>
        <v>111584</v>
      </c>
      <c r="F90" s="109">
        <f>'3A1_3A2_3C6 INFO BASE'!F11</f>
        <v>461957</v>
      </c>
      <c r="G90" s="109">
        <f>'3A1_3A2_3C6 INFO BASE'!G11</f>
        <v>128426</v>
      </c>
      <c r="H90" s="109">
        <f>'3A1_3A2_3C6 INFO BASE'!H11</f>
        <v>295400</v>
      </c>
      <c r="L90" s="1"/>
      <c r="M90" s="1"/>
      <c r="N90" s="1"/>
      <c r="O90" s="1"/>
      <c r="P90" s="1"/>
      <c r="Q90" s="1"/>
      <c r="R90" s="1"/>
      <c r="S90" s="1"/>
      <c r="T90" s="1"/>
      <c r="U90" s="1"/>
      <c r="V90" s="1"/>
      <c r="W90" s="1"/>
      <c r="X90" s="1"/>
      <c r="Y90" s="1"/>
      <c r="Z90" s="1"/>
      <c r="AA90" s="1"/>
      <c r="AB90" s="1"/>
      <c r="AC90" s="1"/>
    </row>
    <row r="91" spans="1:29" ht="15">
      <c r="A91" s="108" t="s">
        <v>88</v>
      </c>
      <c r="B91" s="109">
        <f>'3A1_3A2_3C6 INFO BASE'!B12</f>
        <v>18854594</v>
      </c>
      <c r="C91" s="109">
        <f>'3A1_3A2_3C6 INFO BASE'!C12</f>
        <v>430271</v>
      </c>
      <c r="D91" s="109">
        <f>'3A1_3A2_3C6 INFO BASE'!D12</f>
        <v>91070</v>
      </c>
      <c r="E91" s="109">
        <f>'3A1_3A2_3C6 INFO BASE'!E12</f>
        <v>19062</v>
      </c>
      <c r="F91" s="109">
        <f>'3A1_3A2_3C6 INFO BASE'!F12</f>
        <v>209159</v>
      </c>
      <c r="G91" s="109">
        <f>'3A1_3A2_3C6 INFO BASE'!G12</f>
        <v>91511</v>
      </c>
      <c r="H91" s="109">
        <f>'3A1_3A2_3C6 INFO BASE'!H12</f>
        <v>222440</v>
      </c>
      <c r="L91" s="1"/>
      <c r="M91" s="1"/>
      <c r="N91" s="1"/>
      <c r="O91" s="1"/>
      <c r="P91" s="1"/>
      <c r="Q91" s="1"/>
      <c r="R91" s="1"/>
      <c r="S91" s="1"/>
      <c r="T91" s="1"/>
      <c r="U91" s="1"/>
      <c r="V91" s="1"/>
      <c r="W91" s="1"/>
      <c r="X91" s="1"/>
      <c r="Y91" s="1"/>
      <c r="Z91" s="1"/>
      <c r="AA91" s="1"/>
      <c r="AB91" s="1"/>
      <c r="AC91" s="1"/>
    </row>
    <row r="92" spans="1:29" ht="15">
      <c r="A92" s="108" t="s">
        <v>89</v>
      </c>
      <c r="B92" s="109">
        <f>'3A1_3A2_3C6 INFO BASE'!B13</f>
        <v>847000</v>
      </c>
      <c r="C92" s="109">
        <f>'3A1_3A2_3C6 INFO BASE'!C13</f>
        <v>255377</v>
      </c>
      <c r="D92" s="109">
        <f>'3A1_3A2_3C6 INFO BASE'!D13</f>
        <v>95020</v>
      </c>
      <c r="E92" s="109">
        <f>'3A1_3A2_3C6 INFO BASE'!E13</f>
        <v>208978</v>
      </c>
      <c r="F92" s="109">
        <f>'3A1_3A2_3C6 INFO BASE'!F13</f>
        <v>798698</v>
      </c>
      <c r="G92" s="109">
        <f>'3A1_3A2_3C6 INFO BASE'!G13</f>
        <v>91554</v>
      </c>
      <c r="H92" s="109">
        <f>'3A1_3A2_3C6 INFO BASE'!H13</f>
        <v>430076</v>
      </c>
      <c r="L92" s="1"/>
      <c r="M92" s="1"/>
      <c r="N92" s="1"/>
      <c r="O92" s="1"/>
      <c r="P92" s="1"/>
      <c r="Q92" s="1"/>
      <c r="R92" s="1"/>
      <c r="S92" s="1"/>
      <c r="T92" s="1"/>
      <c r="U92" s="1"/>
      <c r="V92" s="1"/>
      <c r="W92" s="1"/>
      <c r="X92" s="1"/>
      <c r="Y92" s="1"/>
      <c r="Z92" s="1"/>
      <c r="AA92" s="1"/>
      <c r="AB92" s="1"/>
      <c r="AC92" s="1"/>
    </row>
    <row r="93" spans="1:29" ht="15">
      <c r="A93" s="108" t="s">
        <v>90</v>
      </c>
      <c r="B93" s="109">
        <f>'3A1_3A2_3C6 INFO BASE'!B14</f>
        <v>899857</v>
      </c>
      <c r="C93" s="109">
        <f>'3A1_3A2_3C6 INFO BASE'!C14</f>
        <v>1150</v>
      </c>
      <c r="D93" s="109">
        <f>'3A1_3A2_3C6 INFO BASE'!D14</f>
        <v>0</v>
      </c>
      <c r="E93" s="109">
        <f>'3A1_3A2_3C6 INFO BASE'!E14</f>
        <v>96193</v>
      </c>
      <c r="F93" s="109">
        <f>'3A1_3A2_3C6 INFO BASE'!F14</f>
        <v>465641</v>
      </c>
      <c r="G93" s="109">
        <f>'3A1_3A2_3C6 INFO BASE'!G14</f>
        <v>287457</v>
      </c>
      <c r="H93" s="109">
        <f>'3A1_3A2_3C6 INFO BASE'!H14</f>
        <v>657561</v>
      </c>
      <c r="L93" s="1"/>
      <c r="M93" s="1"/>
      <c r="N93" s="1"/>
      <c r="O93" s="1"/>
      <c r="P93" s="1"/>
      <c r="Q93" s="1"/>
      <c r="R93" s="1"/>
      <c r="S93" s="1"/>
      <c r="T93" s="1"/>
      <c r="U93" s="1"/>
      <c r="V93" s="1"/>
      <c r="W93" s="1"/>
      <c r="X93" s="1"/>
      <c r="Y93" s="1"/>
      <c r="Z93" s="1"/>
      <c r="AA93" s="1"/>
      <c r="AB93" s="1"/>
      <c r="AC93" s="1"/>
    </row>
    <row r="94" spans="1:29" ht="15">
      <c r="A94" s="108" t="s">
        <v>91</v>
      </c>
      <c r="B94" s="109">
        <f>'3A1_3A2_3C6 INFO BASE'!B15</f>
        <v>1203880</v>
      </c>
      <c r="C94" s="109">
        <f>'3A1_3A2_3C6 INFO BASE'!C15</f>
        <v>610184</v>
      </c>
      <c r="D94" s="109">
        <f>'3A1_3A2_3C6 INFO BASE'!D15</f>
        <v>139859</v>
      </c>
      <c r="E94" s="109">
        <f>'3A1_3A2_3C6 INFO BASE'!E15</f>
        <v>37608</v>
      </c>
      <c r="F94" s="109">
        <f>'3A1_3A2_3C6 INFO BASE'!F15</f>
        <v>1419506</v>
      </c>
      <c r="G94" s="109">
        <f>'3A1_3A2_3C6 INFO BASE'!G15</f>
        <v>160877</v>
      </c>
      <c r="H94" s="109">
        <f>'3A1_3A2_3C6 INFO BASE'!H15</f>
        <v>417960</v>
      </c>
      <c r="L94" s="1"/>
      <c r="M94" s="1"/>
      <c r="N94" s="1"/>
      <c r="O94" s="1"/>
      <c r="P94" s="1"/>
      <c r="Q94" s="1"/>
      <c r="R94" s="1"/>
      <c r="S94" s="1"/>
      <c r="T94" s="1"/>
      <c r="U94" s="1"/>
      <c r="V94" s="1"/>
      <c r="W94" s="1"/>
      <c r="X94" s="1"/>
      <c r="Y94" s="1"/>
      <c r="Z94" s="1"/>
      <c r="AA94" s="1"/>
      <c r="AB94" s="1"/>
      <c r="AC94" s="1"/>
    </row>
    <row r="95" spans="1:29" ht="15">
      <c r="A95" s="108" t="s">
        <v>92</v>
      </c>
      <c r="B95" s="109">
        <f>'3A1_3A2_3C6 INFO BASE'!B16</f>
        <v>384414</v>
      </c>
      <c r="C95" s="109">
        <f>'3A1_3A2_3C6 INFO BASE'!C16</f>
        <v>273249</v>
      </c>
      <c r="D95" s="109">
        <f>'3A1_3A2_3C6 INFO BASE'!D16</f>
        <v>131758</v>
      </c>
      <c r="E95" s="109">
        <f>'3A1_3A2_3C6 INFO BASE'!E16</f>
        <v>180188</v>
      </c>
      <c r="F95" s="109">
        <f>'3A1_3A2_3C6 INFO BASE'!F16</f>
        <v>704935</v>
      </c>
      <c r="G95" s="109">
        <f>'3A1_3A2_3C6 INFO BASE'!G16</f>
        <v>136938</v>
      </c>
      <c r="H95" s="109">
        <f>'3A1_3A2_3C6 INFO BASE'!H16</f>
        <v>175772</v>
      </c>
      <c r="L95" s="1"/>
      <c r="M95" s="1"/>
      <c r="N95" s="1"/>
      <c r="O95" s="1"/>
      <c r="P95" s="1"/>
      <c r="Q95" s="1"/>
      <c r="R95" s="1"/>
      <c r="S95" s="1"/>
      <c r="T95" s="1"/>
      <c r="U95" s="1"/>
      <c r="V95" s="1"/>
      <c r="W95" s="1"/>
      <c r="X95" s="1"/>
      <c r="Y95" s="1"/>
      <c r="Z95" s="1"/>
      <c r="AA95" s="1"/>
      <c r="AB95" s="1"/>
      <c r="AC95" s="1"/>
    </row>
    <row r="96" spans="1:29" ht="15">
      <c r="A96" s="108" t="s">
        <v>93</v>
      </c>
      <c r="B96" s="109">
        <f>'3A1_3A2_3C6 INFO BASE'!B17</f>
        <v>1756890</v>
      </c>
      <c r="C96" s="109">
        <f>'3A1_3A2_3C6 INFO BASE'!C17</f>
        <v>6967</v>
      </c>
      <c r="D96" s="109">
        <f>'3A1_3A2_3C6 INFO BASE'!D17</f>
        <v>3450</v>
      </c>
      <c r="E96" s="109">
        <f>'3A1_3A2_3C6 INFO BASE'!E17</f>
        <v>102064</v>
      </c>
      <c r="F96" s="109">
        <f>'3A1_3A2_3C6 INFO BASE'!F17</f>
        <v>634318</v>
      </c>
      <c r="G96" s="109">
        <f>'3A1_3A2_3C6 INFO BASE'!G17</f>
        <v>403917</v>
      </c>
      <c r="H96" s="109">
        <f>'3A1_3A2_3C6 INFO BASE'!H17</f>
        <v>290400</v>
      </c>
      <c r="L96" s="1"/>
      <c r="M96" s="1"/>
      <c r="N96" s="1"/>
      <c r="O96" s="1"/>
      <c r="P96" s="1"/>
      <c r="Q96" s="1"/>
      <c r="R96" s="1"/>
      <c r="S96" s="1"/>
      <c r="T96" s="1"/>
      <c r="U96" s="1"/>
      <c r="V96" s="1"/>
      <c r="W96" s="1"/>
      <c r="X96" s="1"/>
      <c r="Y96" s="1"/>
      <c r="Z96" s="1"/>
      <c r="AA96" s="1"/>
      <c r="AB96" s="1"/>
      <c r="AC96" s="1"/>
    </row>
    <row r="97" spans="1:29" ht="15">
      <c r="A97" s="108" t="s">
        <v>94</v>
      </c>
      <c r="B97" s="109">
        <f>'3A1_3A2_3C6 INFO BASE'!B18</f>
        <v>13527774</v>
      </c>
      <c r="C97" s="109">
        <f>'3A1_3A2_3C6 INFO BASE'!C18</f>
        <v>0</v>
      </c>
      <c r="D97" s="109">
        <f>'3A1_3A2_3C6 INFO BASE'!D18</f>
        <v>0</v>
      </c>
      <c r="E97" s="109">
        <f>'3A1_3A2_3C6 INFO BASE'!E18</f>
        <v>78936</v>
      </c>
      <c r="F97" s="109">
        <f>'3A1_3A2_3C6 INFO BASE'!F18</f>
        <v>28131</v>
      </c>
      <c r="G97" s="109">
        <f>'3A1_3A2_3C6 INFO BASE'!G18</f>
        <v>51510</v>
      </c>
      <c r="H97" s="109">
        <f>'3A1_3A2_3C6 INFO BASE'!H18</f>
        <v>47321</v>
      </c>
      <c r="L97" s="1"/>
      <c r="M97" s="1"/>
      <c r="N97" s="1"/>
      <c r="O97" s="1"/>
      <c r="P97" s="1"/>
      <c r="Q97" s="1"/>
      <c r="R97" s="1"/>
      <c r="S97" s="1"/>
      <c r="T97" s="1"/>
      <c r="U97" s="1"/>
      <c r="V97" s="1"/>
      <c r="W97" s="1"/>
      <c r="X97" s="1"/>
      <c r="Y97" s="1"/>
      <c r="Z97" s="1"/>
      <c r="AA97" s="1"/>
      <c r="AB97" s="1"/>
      <c r="AC97" s="1"/>
    </row>
    <row r="98" spans="1:29" ht="15">
      <c r="A98" s="108" t="s">
        <v>95</v>
      </c>
      <c r="B98" s="109">
        <f>'3A1_3A2_3C6 INFO BASE'!B19</f>
        <v>3562957</v>
      </c>
      <c r="C98" s="109">
        <f>'3A1_3A2_3C6 INFO BASE'!C19</f>
        <v>82535</v>
      </c>
      <c r="D98" s="109">
        <f>'3A1_3A2_3C6 INFO BASE'!D19</f>
        <v>52868</v>
      </c>
      <c r="E98" s="109">
        <f>'3A1_3A2_3C6 INFO BASE'!E19</f>
        <v>10187</v>
      </c>
      <c r="F98" s="109">
        <f>'3A1_3A2_3C6 INFO BASE'!F19</f>
        <v>1234318</v>
      </c>
      <c r="G98" s="109">
        <f>'3A1_3A2_3C6 INFO BASE'!G19</f>
        <v>154609</v>
      </c>
      <c r="H98" s="109">
        <f>'3A1_3A2_3C6 INFO BASE'!H19</f>
        <v>296450</v>
      </c>
      <c r="L98" s="1"/>
      <c r="M98" s="1"/>
      <c r="N98" s="1"/>
      <c r="O98" s="1"/>
      <c r="P98" s="1"/>
      <c r="Q98" s="1"/>
      <c r="R98" s="1"/>
      <c r="S98" s="1"/>
      <c r="T98" s="1"/>
      <c r="U98" s="1"/>
      <c r="V98" s="1"/>
      <c r="W98" s="1"/>
      <c r="X98" s="1"/>
      <c r="Y98" s="1"/>
      <c r="Z98" s="1"/>
      <c r="AA98" s="1"/>
      <c r="AB98" s="1"/>
      <c r="AC98" s="1"/>
    </row>
    <row r="99" spans="1:29" ht="15">
      <c r="A99" s="108" t="s">
        <v>96</v>
      </c>
      <c r="B99" s="109">
        <f>'3A1_3A2_3C6 INFO BASE'!B20</f>
        <v>26281531</v>
      </c>
      <c r="C99" s="109">
        <f>'3A1_3A2_3C6 INFO BASE'!C20</f>
        <v>7999</v>
      </c>
      <c r="D99" s="109">
        <f>'3A1_3A2_3C6 INFO BASE'!D20</f>
        <v>0</v>
      </c>
      <c r="E99" s="109">
        <f>'3A1_3A2_3C6 INFO BASE'!E20</f>
        <v>108605</v>
      </c>
      <c r="F99" s="109">
        <f>'3A1_3A2_3C6 INFO BASE'!F20</f>
        <v>357814</v>
      </c>
      <c r="G99" s="109">
        <f>'3A1_3A2_3C6 INFO BASE'!G20</f>
        <v>156911</v>
      </c>
      <c r="H99" s="109">
        <f>'3A1_3A2_3C6 INFO BASE'!H20</f>
        <v>255857</v>
      </c>
      <c r="L99" s="1"/>
      <c r="M99" s="1"/>
      <c r="N99" s="1"/>
      <c r="O99" s="1"/>
      <c r="P99" s="1"/>
      <c r="Q99" s="1"/>
      <c r="R99" s="1"/>
      <c r="S99" s="1"/>
      <c r="T99" s="1"/>
      <c r="U99" s="1"/>
      <c r="V99" s="1"/>
      <c r="W99" s="1"/>
      <c r="X99" s="1"/>
      <c r="Y99" s="1"/>
      <c r="Z99" s="1"/>
      <c r="AA99" s="1"/>
      <c r="AB99" s="1"/>
      <c r="AC99" s="1"/>
    </row>
    <row r="100" spans="1:29" ht="15">
      <c r="A100" s="108" t="s">
        <v>97</v>
      </c>
      <c r="B100" s="109">
        <f>'3A1_3A2_3C6 INFO BASE'!B21</f>
        <v>1865152</v>
      </c>
      <c r="C100" s="109">
        <f>'3A1_3A2_3C6 INFO BASE'!C21</f>
        <v>0</v>
      </c>
      <c r="D100" s="109">
        <f>'3A1_3A2_3C6 INFO BASE'!D21</f>
        <v>0</v>
      </c>
      <c r="E100" s="109">
        <f>'3A1_3A2_3C6 INFO BASE'!E21</f>
        <v>83968</v>
      </c>
      <c r="F100" s="109">
        <f>'3A1_3A2_3C6 INFO BASE'!F21</f>
        <v>82685</v>
      </c>
      <c r="G100" s="109">
        <f>'3A1_3A2_3C6 INFO BASE'!G21</f>
        <v>88160</v>
      </c>
      <c r="H100" s="109">
        <f>'3A1_3A2_3C6 INFO BASE'!H21</f>
        <v>86344</v>
      </c>
      <c r="L100" s="1"/>
      <c r="M100" s="1"/>
      <c r="N100" s="1"/>
      <c r="O100" s="1"/>
      <c r="P100" s="1"/>
      <c r="Q100" s="1"/>
      <c r="R100" s="1"/>
      <c r="S100" s="1"/>
      <c r="T100" s="1"/>
      <c r="U100" s="1"/>
      <c r="V100" s="1"/>
      <c r="W100" s="1"/>
      <c r="X100" s="1"/>
      <c r="Y100" s="1"/>
      <c r="Z100" s="1"/>
      <c r="AA100" s="1"/>
      <c r="AB100" s="1"/>
      <c r="AC100" s="1"/>
    </row>
    <row r="101" spans="1:29" ht="15">
      <c r="A101" s="108" t="s">
        <v>98</v>
      </c>
      <c r="B101" s="109">
        <f>'3A1_3A2_3C6 INFO BASE'!B22</f>
        <v>60602270</v>
      </c>
      <c r="C101" s="109">
        <f>'3A1_3A2_3C6 INFO BASE'!C22</f>
        <v>40511</v>
      </c>
      <c r="D101" s="109">
        <f>'3A1_3A2_3C6 INFO BASE'!D22</f>
        <v>20152</v>
      </c>
      <c r="E101" s="109">
        <f>'3A1_3A2_3C6 INFO BASE'!E22</f>
        <v>175075</v>
      </c>
      <c r="F101" s="109">
        <f>'3A1_3A2_3C6 INFO BASE'!F22</f>
        <v>319535</v>
      </c>
      <c r="G101" s="109">
        <f>'3A1_3A2_3C6 INFO BASE'!G22</f>
        <v>450072</v>
      </c>
      <c r="H101" s="109">
        <f>'3A1_3A2_3C6 INFO BASE'!H22</f>
        <v>257939</v>
      </c>
      <c r="L101" s="1"/>
      <c r="M101" s="1"/>
      <c r="N101" s="1"/>
      <c r="O101" s="1"/>
      <c r="P101" s="1"/>
      <c r="Q101" s="1"/>
      <c r="R101" s="1"/>
      <c r="S101" s="1"/>
      <c r="T101" s="1"/>
      <c r="U101" s="1"/>
      <c r="V101" s="1"/>
      <c r="W101" s="1"/>
      <c r="X101" s="1"/>
      <c r="Y101" s="1"/>
      <c r="Z101" s="1"/>
      <c r="AA101" s="1"/>
      <c r="AB101" s="1"/>
      <c r="AC101" s="1"/>
    </row>
    <row r="102" spans="1:29" ht="15">
      <c r="A102" s="112" t="s">
        <v>99</v>
      </c>
      <c r="B102" s="109">
        <f>'3A1_3A2_3C6 INFO BASE'!B23</f>
        <v>3985887</v>
      </c>
      <c r="C102" s="109">
        <f>'3A1_3A2_3C6 INFO BASE'!C23</f>
        <v>0</v>
      </c>
      <c r="D102" s="109">
        <f>'3A1_3A2_3C6 INFO BASE'!D23</f>
        <v>0</v>
      </c>
      <c r="E102" s="109">
        <f>'3A1_3A2_3C6 INFO BASE'!E23</f>
        <v>350</v>
      </c>
      <c r="F102" s="109">
        <f>'3A1_3A2_3C6 INFO BASE'!F23</f>
        <v>12191</v>
      </c>
      <c r="G102" s="109">
        <f>'3A1_3A2_3C6 INFO BASE'!G23</f>
        <v>83160</v>
      </c>
      <c r="H102" s="109">
        <f>'3A1_3A2_3C6 INFO BASE'!H23</f>
        <v>46053</v>
      </c>
      <c r="L102" s="1"/>
      <c r="M102" s="1"/>
      <c r="N102" s="1"/>
      <c r="O102" s="1"/>
      <c r="P102" s="1"/>
      <c r="Q102" s="1"/>
      <c r="R102" s="1"/>
      <c r="S102" s="1"/>
      <c r="T102" s="1"/>
      <c r="U102" s="1"/>
      <c r="V102" s="1"/>
      <c r="W102" s="1"/>
      <c r="X102" s="1"/>
      <c r="Y102" s="1"/>
      <c r="Z102" s="1"/>
      <c r="AA102" s="1"/>
      <c r="AB102" s="1"/>
      <c r="AC102" s="1"/>
    </row>
    <row r="103" spans="1:29" ht="15">
      <c r="A103" s="108" t="s">
        <v>100</v>
      </c>
      <c r="B103" s="109">
        <f>'3A1_3A2_3C6 INFO BASE'!B24</f>
        <v>485981</v>
      </c>
      <c r="C103" s="109">
        <f>'3A1_3A2_3C6 INFO BASE'!C24</f>
        <v>0</v>
      </c>
      <c r="D103" s="109">
        <f>'3A1_3A2_3C6 INFO BASE'!D24</f>
        <v>0</v>
      </c>
      <c r="E103" s="109">
        <f>'3A1_3A2_3C6 INFO BASE'!E24</f>
        <v>0</v>
      </c>
      <c r="F103" s="109">
        <f>'3A1_3A2_3C6 INFO BASE'!F24</f>
        <v>9104</v>
      </c>
      <c r="G103" s="109">
        <f>'3A1_3A2_3C6 INFO BASE'!G24</f>
        <v>13100</v>
      </c>
      <c r="H103" s="109">
        <f>'3A1_3A2_3C6 INFO BASE'!H24</f>
        <v>57732</v>
      </c>
      <c r="L103" s="1"/>
      <c r="M103" s="1"/>
      <c r="N103" s="1"/>
      <c r="O103" s="1"/>
      <c r="P103" s="1"/>
      <c r="Q103" s="1"/>
      <c r="R103" s="1"/>
      <c r="S103" s="1"/>
      <c r="T103" s="1"/>
      <c r="U103" s="1"/>
      <c r="V103" s="1"/>
      <c r="W103" s="1"/>
      <c r="X103" s="1"/>
      <c r="Y103" s="1"/>
      <c r="Z103" s="1"/>
      <c r="AA103" s="1"/>
      <c r="AB103" s="1"/>
      <c r="AC103" s="1"/>
    </row>
    <row r="104" spans="1:29" ht="15">
      <c r="A104" s="108" t="s">
        <v>101</v>
      </c>
      <c r="B104" s="109">
        <f>'3A1_3A2_3C6 INFO BASE'!B25</f>
        <v>54992</v>
      </c>
      <c r="C104" s="109">
        <f>'3A1_3A2_3C6 INFO BASE'!C25</f>
        <v>147754</v>
      </c>
      <c r="D104" s="109">
        <f>'3A1_3A2_3C6 INFO BASE'!D25</f>
        <v>39589</v>
      </c>
      <c r="E104" s="109">
        <f>'3A1_3A2_3C6 INFO BASE'!E25</f>
        <v>8511</v>
      </c>
      <c r="F104" s="109">
        <f>'3A1_3A2_3C6 INFO BASE'!F25</f>
        <v>47249</v>
      </c>
      <c r="G104" s="109">
        <f>'3A1_3A2_3C6 INFO BASE'!G25</f>
        <v>12837</v>
      </c>
      <c r="H104" s="109">
        <f>'3A1_3A2_3C6 INFO BASE'!H25</f>
        <v>23993</v>
      </c>
      <c r="L104" s="1"/>
      <c r="M104" s="1"/>
      <c r="N104" s="1"/>
      <c r="O104" s="1"/>
      <c r="P104" s="1"/>
      <c r="Q104" s="1"/>
      <c r="R104" s="1"/>
      <c r="S104" s="1"/>
      <c r="T104" s="1"/>
      <c r="U104" s="1"/>
      <c r="V104" s="1"/>
      <c r="W104" s="1"/>
      <c r="X104" s="1"/>
      <c r="Y104" s="1"/>
      <c r="Z104" s="1"/>
      <c r="AA104" s="1"/>
      <c r="AB104" s="1"/>
      <c r="AC104" s="1"/>
    </row>
    <row r="105" spans="1:29" ht="15">
      <c r="A105" s="108" t="s">
        <v>102</v>
      </c>
      <c r="B105" s="109">
        <f>'3A1_3A2_3C6 INFO BASE'!B26</f>
        <v>138982</v>
      </c>
      <c r="C105" s="109">
        <f>'3A1_3A2_3C6 INFO BASE'!C26</f>
        <v>125956</v>
      </c>
      <c r="D105" s="109">
        <f>'3A1_3A2_3C6 INFO BASE'!D26</f>
        <v>33250</v>
      </c>
      <c r="E105" s="109">
        <f>'3A1_3A2_3C6 INFO BASE'!E26</f>
        <v>6810</v>
      </c>
      <c r="F105" s="109">
        <f>'3A1_3A2_3C6 INFO BASE'!F26</f>
        <v>682688</v>
      </c>
      <c r="G105" s="109">
        <f>'3A1_3A2_3C6 INFO BASE'!G26</f>
        <v>51355</v>
      </c>
      <c r="H105" s="109">
        <f>'3A1_3A2_3C6 INFO BASE'!H26</f>
        <v>118002</v>
      </c>
      <c r="L105" s="1"/>
      <c r="M105" s="1"/>
      <c r="N105" s="1"/>
      <c r="O105" s="1"/>
      <c r="P105" s="1"/>
      <c r="Q105" s="1"/>
      <c r="R105" s="1"/>
      <c r="S105" s="1"/>
      <c r="T105" s="1"/>
      <c r="U105" s="1"/>
      <c r="V105" s="1"/>
      <c r="W105" s="1"/>
      <c r="X105" s="1"/>
      <c r="Y105" s="1"/>
      <c r="Z105" s="1"/>
      <c r="AA105" s="1"/>
      <c r="AB105" s="1"/>
      <c r="AC105" s="1"/>
    </row>
    <row r="106" spans="1:29" ht="15">
      <c r="A106" s="108" t="s">
        <v>103</v>
      </c>
      <c r="B106" s="109">
        <f>'3A1_3A2_3C6 INFO BASE'!B27</f>
        <v>6049852</v>
      </c>
      <c r="C106" s="109">
        <f>'3A1_3A2_3C6 INFO BASE'!C27</f>
        <v>82</v>
      </c>
      <c r="D106" s="109">
        <f>'3A1_3A2_3C6 INFO BASE'!D27</f>
        <v>0</v>
      </c>
      <c r="E106" s="109">
        <f>'3A1_3A2_3C6 INFO BASE'!E27</f>
        <v>382545</v>
      </c>
      <c r="F106" s="109">
        <f>'3A1_3A2_3C6 INFO BASE'!F27</f>
        <v>302540</v>
      </c>
      <c r="G106" s="109">
        <f>'3A1_3A2_3C6 INFO BASE'!G27</f>
        <v>159009</v>
      </c>
      <c r="H106" s="109">
        <f>'3A1_3A2_3C6 INFO BASE'!H27</f>
        <v>290882</v>
      </c>
      <c r="L106" s="1"/>
      <c r="M106" s="1"/>
      <c r="N106" s="1"/>
      <c r="O106" s="1"/>
      <c r="P106" s="1"/>
      <c r="Q106" s="1"/>
      <c r="R106" s="1"/>
      <c r="S106" s="1"/>
      <c r="T106" s="1"/>
      <c r="U106" s="1"/>
      <c r="V106" s="1"/>
      <c r="W106" s="1"/>
      <c r="X106" s="1"/>
      <c r="Y106" s="1"/>
      <c r="Z106" s="1"/>
      <c r="AA106" s="1"/>
      <c r="AB106" s="1"/>
      <c r="AC106" s="1"/>
    </row>
    <row r="107" spans="1:29" ht="15">
      <c r="A107" s="108" t="s">
        <v>104</v>
      </c>
      <c r="B107" s="109">
        <f>'3A1_3A2_3C6 INFO BASE'!B28</f>
        <v>1726550</v>
      </c>
      <c r="C107" s="109">
        <f>'3A1_3A2_3C6 INFO BASE'!C28</f>
        <v>2032490</v>
      </c>
      <c r="D107" s="109">
        <f>'3A1_3A2_3C6 INFO BASE'!D28</f>
        <v>394780</v>
      </c>
      <c r="E107" s="109">
        <f>'3A1_3A2_3C6 INFO BASE'!E28</f>
        <v>0</v>
      </c>
      <c r="F107" s="109">
        <f>'3A1_3A2_3C6 INFO BASE'!F28</f>
        <v>2919060</v>
      </c>
      <c r="G107" s="109">
        <f>'3A1_3A2_3C6 INFO BASE'!G28</f>
        <v>112310</v>
      </c>
      <c r="H107" s="109">
        <f>'3A1_3A2_3C6 INFO BASE'!H28</f>
        <v>726080</v>
      </c>
      <c r="L107" s="1"/>
      <c r="M107" s="1"/>
      <c r="N107" s="1"/>
      <c r="O107" s="1"/>
      <c r="P107" s="1"/>
      <c r="Q107" s="1"/>
      <c r="R107" s="1"/>
      <c r="S107" s="1"/>
      <c r="T107" s="1"/>
      <c r="U107" s="1"/>
      <c r="V107" s="1"/>
      <c r="W107" s="1"/>
      <c r="X107" s="1"/>
      <c r="Y107" s="1"/>
      <c r="Z107" s="1"/>
      <c r="AA107" s="1"/>
      <c r="AB107" s="1"/>
      <c r="AC107" s="1"/>
    </row>
    <row r="108" spans="1:29" ht="15">
      <c r="A108" s="112" t="s">
        <v>105</v>
      </c>
      <c r="B108" s="109">
        <f>'3A1_3A2_3C6 INFO BASE'!B29</f>
        <v>4366029</v>
      </c>
      <c r="C108" s="109">
        <f>'3A1_3A2_3C6 INFO BASE'!C29</f>
        <v>0</v>
      </c>
      <c r="D108" s="109">
        <f>'3A1_3A2_3C6 INFO BASE'!D29</f>
        <v>0</v>
      </c>
      <c r="E108" s="109">
        <f>'3A1_3A2_3C6 INFO BASE'!E29</f>
        <v>0</v>
      </c>
      <c r="F108" s="109">
        <f>'3A1_3A2_3C6 INFO BASE'!F29</f>
        <v>5422</v>
      </c>
      <c r="G108" s="109">
        <f>'3A1_3A2_3C6 INFO BASE'!G29</f>
        <v>141355</v>
      </c>
      <c r="H108" s="109">
        <f>'3A1_3A2_3C6 INFO BASE'!H29</f>
        <v>193965</v>
      </c>
      <c r="L108" s="1"/>
      <c r="M108" s="1"/>
      <c r="N108" s="1"/>
      <c r="O108" s="1"/>
      <c r="P108" s="1"/>
      <c r="Q108" s="1"/>
      <c r="R108" s="1"/>
      <c r="S108" s="1"/>
      <c r="T108" s="1"/>
      <c r="U108" s="1"/>
      <c r="V108" s="1"/>
      <c r="W108" s="1"/>
      <c r="X108" s="1"/>
      <c r="Y108" s="1"/>
      <c r="Z108" s="1"/>
      <c r="AA108" s="1"/>
      <c r="AB108" s="1"/>
      <c r="AC108" s="1"/>
    </row>
    <row r="109" spans="1:29" ht="15">
      <c r="A109" s="108" t="s">
        <v>106</v>
      </c>
      <c r="B109" s="109">
        <f>'3A1_3A2_3C6 INFO BASE'!B30</f>
        <v>1150833</v>
      </c>
      <c r="C109" s="109">
        <f>'3A1_3A2_3C6 INFO BASE'!C30</f>
        <v>78238</v>
      </c>
      <c r="D109" s="109">
        <f>'3A1_3A2_3C6 INFO BASE'!D30</f>
        <v>29742</v>
      </c>
      <c r="E109" s="109">
        <f>'3A1_3A2_3C6 INFO BASE'!E30</f>
        <v>18227</v>
      </c>
      <c r="F109" s="109">
        <f>'3A1_3A2_3C6 INFO BASE'!F30</f>
        <v>37901</v>
      </c>
      <c r="G109" s="109">
        <f>'3A1_3A2_3C6 INFO BASE'!G30</f>
        <v>34312</v>
      </c>
      <c r="H109" s="109">
        <f>'3A1_3A2_3C6 INFO BASE'!H30</f>
        <v>20570</v>
      </c>
      <c r="L109" s="1"/>
      <c r="M109" s="1"/>
      <c r="N109" s="1"/>
      <c r="O109" s="1"/>
      <c r="P109" s="1"/>
      <c r="Q109" s="1"/>
      <c r="R109" s="1"/>
      <c r="S109" s="1"/>
      <c r="T109" s="1"/>
      <c r="U109" s="1"/>
      <c r="V109" s="1"/>
      <c r="W109" s="1"/>
      <c r="X109" s="1"/>
      <c r="Y109" s="1"/>
      <c r="Z109" s="1"/>
      <c r="AA109" s="1"/>
      <c r="AB109" s="1"/>
      <c r="AC109" s="1"/>
    </row>
    <row r="110" spans="1:29" ht="15">
      <c r="A110" s="108" t="s">
        <v>107</v>
      </c>
      <c r="B110" s="109">
        <f>'3A1_3A2_3C6 INFO BASE'!B31</f>
        <v>159830</v>
      </c>
      <c r="C110" s="109">
        <f>'3A1_3A2_3C6 INFO BASE'!C31</f>
        <v>0</v>
      </c>
      <c r="D110" s="109">
        <f>'3A1_3A2_3C6 INFO BASE'!D31</f>
        <v>0</v>
      </c>
      <c r="E110" s="109">
        <f>'3A1_3A2_3C6 INFO BASE'!E31</f>
        <v>60648</v>
      </c>
      <c r="F110" s="109">
        <f>'3A1_3A2_3C6 INFO BASE'!F31</f>
        <v>6290</v>
      </c>
      <c r="G110" s="109">
        <f>'3A1_3A2_3C6 INFO BASE'!G31</f>
        <v>29748</v>
      </c>
      <c r="H110" s="109">
        <f>'3A1_3A2_3C6 INFO BASE'!H31</f>
        <v>22427</v>
      </c>
      <c r="L110" s="1"/>
      <c r="M110" s="1"/>
      <c r="N110" s="1"/>
      <c r="O110" s="1"/>
      <c r="P110" s="1"/>
      <c r="Q110" s="1"/>
      <c r="R110" s="1"/>
      <c r="S110" s="1"/>
      <c r="T110" s="1"/>
      <c r="U110" s="1"/>
      <c r="V110" s="1"/>
      <c r="W110" s="1"/>
      <c r="X110" s="1"/>
      <c r="Y110" s="1"/>
      <c r="Z110" s="1"/>
      <c r="AA110" s="1"/>
      <c r="AB110" s="1"/>
      <c r="AC110" s="1"/>
    </row>
    <row r="111" spans="1:29" ht="15">
      <c r="A111" s="108" t="s">
        <v>108</v>
      </c>
      <c r="B111" s="109">
        <f>'3A1_3A2_3C6 INFO BASE'!B32</f>
        <v>5944698</v>
      </c>
      <c r="C111" s="109">
        <f>'3A1_3A2_3C6 INFO BASE'!C32</f>
        <v>0</v>
      </c>
      <c r="D111" s="109">
        <f>'3A1_3A2_3C6 INFO BASE'!D32</f>
        <v>0</v>
      </c>
      <c r="E111" s="109">
        <f>'3A1_3A2_3C6 INFO BASE'!E32</f>
        <v>0</v>
      </c>
      <c r="F111" s="109">
        <f>'3A1_3A2_3C6 INFO BASE'!F32</f>
        <v>9646</v>
      </c>
      <c r="G111" s="109">
        <f>'3A1_3A2_3C6 INFO BASE'!G32</f>
        <v>47265</v>
      </c>
      <c r="H111" s="109">
        <f>'3A1_3A2_3C6 INFO BASE'!H32</f>
        <v>46396</v>
      </c>
      <c r="L111" s="1"/>
      <c r="M111" s="1"/>
      <c r="N111" s="1"/>
      <c r="O111" s="1"/>
      <c r="P111" s="1"/>
      <c r="Q111" s="1"/>
      <c r="R111" s="1"/>
      <c r="S111" s="1"/>
      <c r="T111" s="1"/>
      <c r="U111" s="1"/>
      <c r="V111" s="1"/>
      <c r="W111" s="1"/>
      <c r="X111" s="1"/>
      <c r="Y111" s="1"/>
      <c r="Z111" s="1"/>
      <c r="AA111" s="1"/>
      <c r="AB111" s="1"/>
      <c r="AC111" s="1"/>
    </row>
    <row r="112" spans="12:29" ht="15">
      <c r="L112" s="1"/>
      <c r="M112" s="1"/>
      <c r="N112" s="1"/>
      <c r="O112" s="1"/>
      <c r="P112" s="1"/>
      <c r="Q112" s="1"/>
      <c r="R112" s="1"/>
      <c r="S112" s="1"/>
      <c r="T112" s="1"/>
      <c r="U112" s="1"/>
      <c r="V112" s="1"/>
      <c r="W112" s="1"/>
      <c r="X112" s="1"/>
      <c r="Y112" s="1"/>
      <c r="Z112" s="1"/>
      <c r="AA112" s="1"/>
      <c r="AB112" s="1"/>
      <c r="AC112" s="1"/>
    </row>
    <row r="113" spans="1:29" ht="15">
      <c r="A113" s="102" t="s">
        <v>79</v>
      </c>
      <c r="B113" s="1162">
        <v>5</v>
      </c>
      <c r="C113" s="1162"/>
      <c r="D113" s="1162"/>
      <c r="E113" s="1162"/>
      <c r="F113" s="1162"/>
      <c r="G113" s="1162"/>
      <c r="H113" s="1162"/>
      <c r="J113" s="6"/>
      <c r="K113" s="507" t="s">
        <v>989</v>
      </c>
      <c r="L113" s="6"/>
      <c r="M113" s="6"/>
      <c r="N113" s="6"/>
      <c r="O113" s="6"/>
      <c r="P113" s="1"/>
      <c r="Q113" s="1"/>
      <c r="R113" s="1"/>
      <c r="S113" s="1"/>
      <c r="T113" s="1"/>
      <c r="U113" s="1"/>
      <c r="V113" s="1"/>
      <c r="W113" s="1"/>
      <c r="X113" s="1"/>
      <c r="Y113" s="1"/>
      <c r="Z113" s="1"/>
      <c r="AA113" s="1"/>
      <c r="AB113" s="1"/>
      <c r="AC113" s="1"/>
    </row>
    <row r="114" spans="1:29" ht="15">
      <c r="A114" s="104" t="s">
        <v>80</v>
      </c>
      <c r="B114" s="1162" t="s">
        <v>905</v>
      </c>
      <c r="C114" s="1162"/>
      <c r="D114" s="1162"/>
      <c r="E114" s="1162"/>
      <c r="F114" s="1162"/>
      <c r="G114" s="1162"/>
      <c r="H114" s="1162"/>
      <c r="J114" s="6"/>
      <c r="K114" s="6"/>
      <c r="L114" s="6"/>
      <c r="M114" s="6"/>
      <c r="N114" s="6"/>
      <c r="O114" s="6"/>
      <c r="P114" s="1"/>
      <c r="Q114" s="1"/>
      <c r="R114" s="1"/>
      <c r="S114" s="1"/>
      <c r="T114" s="1"/>
      <c r="U114" s="1"/>
      <c r="V114" s="1"/>
      <c r="W114" s="1"/>
      <c r="X114" s="1"/>
      <c r="Y114" s="1"/>
      <c r="Z114" s="1"/>
      <c r="AA114" s="1"/>
      <c r="AB114" s="1"/>
      <c r="AC114" s="1"/>
    </row>
    <row r="115" spans="1:29" ht="30" customHeight="1">
      <c r="A115" s="104" t="s">
        <v>81</v>
      </c>
      <c r="B115" s="1161" t="s">
        <v>146</v>
      </c>
      <c r="C115" s="1162"/>
      <c r="D115" s="1162"/>
      <c r="E115" s="1162"/>
      <c r="F115" s="1162"/>
      <c r="G115" s="1162"/>
      <c r="H115" s="1162"/>
      <c r="J115" s="6"/>
      <c r="K115" s="6"/>
      <c r="L115" s="6"/>
      <c r="M115" s="6"/>
      <c r="N115" s="6"/>
      <c r="O115" s="6"/>
      <c r="P115" s="1"/>
      <c r="Q115" s="1"/>
      <c r="R115" s="1"/>
      <c r="S115" s="1"/>
      <c r="T115" s="1"/>
      <c r="U115" s="1"/>
      <c r="V115" s="1"/>
      <c r="W115" s="1"/>
      <c r="X115" s="1"/>
      <c r="Y115" s="1"/>
      <c r="Z115" s="1"/>
      <c r="AA115" s="1"/>
      <c r="AB115" s="1"/>
      <c r="AC115" s="1"/>
    </row>
    <row r="116" spans="1:29" ht="15">
      <c r="A116" s="104" t="s">
        <v>82</v>
      </c>
      <c r="B116" s="1162"/>
      <c r="C116" s="1162"/>
      <c r="D116" s="1162"/>
      <c r="E116" s="1162"/>
      <c r="F116" s="1162"/>
      <c r="G116" s="1162"/>
      <c r="H116" s="1162"/>
      <c r="J116" s="6"/>
      <c r="K116" s="6"/>
      <c r="L116" s="6"/>
      <c r="M116" s="6"/>
      <c r="N116" s="6"/>
      <c r="O116" s="6"/>
      <c r="P116" s="1"/>
      <c r="Q116" s="1"/>
      <c r="R116" s="1"/>
      <c r="S116" s="1"/>
      <c r="T116" s="1"/>
      <c r="U116" s="1"/>
      <c r="V116" s="1"/>
      <c r="W116" s="1"/>
      <c r="X116" s="1"/>
      <c r="Y116" s="1"/>
      <c r="Z116" s="1"/>
      <c r="AA116" s="1"/>
      <c r="AB116" s="1"/>
      <c r="AC116" s="1"/>
    </row>
    <row r="117" spans="1:29" ht="15">
      <c r="A117" s="104" t="s">
        <v>83</v>
      </c>
      <c r="B117" s="1162"/>
      <c r="C117" s="1162"/>
      <c r="D117" s="1162"/>
      <c r="E117" s="1162"/>
      <c r="F117" s="1162"/>
      <c r="G117" s="1162"/>
      <c r="H117" s="1162"/>
      <c r="L117" s="1"/>
      <c r="M117" s="1"/>
      <c r="N117" s="1"/>
      <c r="O117" s="1"/>
      <c r="P117" s="1"/>
      <c r="Q117" s="1"/>
      <c r="R117" s="1"/>
      <c r="S117" s="1"/>
      <c r="T117" s="1"/>
      <c r="U117" s="1"/>
      <c r="V117" s="1"/>
      <c r="W117" s="1"/>
      <c r="X117" s="1"/>
      <c r="Y117" s="1"/>
      <c r="Z117" s="1"/>
      <c r="AA117" s="1"/>
      <c r="AB117" s="1"/>
      <c r="AC117" s="1"/>
    </row>
    <row r="118" spans="1:29" ht="15">
      <c r="A118" s="104" t="s">
        <v>84</v>
      </c>
      <c r="B118" s="1162" t="s">
        <v>147</v>
      </c>
      <c r="C118" s="1162"/>
      <c r="D118" s="1162"/>
      <c r="E118" s="1162"/>
      <c r="F118" s="1162"/>
      <c r="G118" s="1162"/>
      <c r="H118" s="1162"/>
      <c r="L118" s="1"/>
      <c r="M118" s="1"/>
      <c r="N118" s="1"/>
      <c r="O118" s="1"/>
      <c r="P118" s="1"/>
      <c r="Q118" s="1"/>
      <c r="R118" s="1"/>
      <c r="S118" s="1"/>
      <c r="T118" s="1"/>
      <c r="U118" s="1"/>
      <c r="V118" s="1"/>
      <c r="W118" s="1"/>
      <c r="X118" s="1"/>
      <c r="Y118" s="1"/>
      <c r="Z118" s="1"/>
      <c r="AA118" s="1"/>
      <c r="AB118" s="1"/>
      <c r="AC118" s="1"/>
    </row>
    <row r="119" spans="1:29" ht="15">
      <c r="A119" s="105" t="s">
        <v>41</v>
      </c>
      <c r="B119" s="105" t="s">
        <v>72</v>
      </c>
      <c r="C119" s="105" t="s">
        <v>73</v>
      </c>
      <c r="D119" s="105" t="s">
        <v>74</v>
      </c>
      <c r="E119" s="113"/>
      <c r="F119" s="113"/>
      <c r="G119" s="114"/>
      <c r="H119" s="114"/>
      <c r="L119" s="1"/>
      <c r="M119" s="1"/>
      <c r="N119" s="1"/>
      <c r="O119" s="1"/>
      <c r="P119" s="1"/>
      <c r="Q119" s="1"/>
      <c r="R119" s="1"/>
      <c r="S119" s="1"/>
      <c r="T119" s="1"/>
      <c r="U119" s="1"/>
      <c r="V119" s="1"/>
      <c r="W119" s="1"/>
      <c r="X119" s="1"/>
      <c r="Y119" s="1"/>
      <c r="Z119" s="1"/>
      <c r="AA119" s="1"/>
      <c r="AB119" s="1"/>
      <c r="AC119" s="1"/>
    </row>
    <row r="120" spans="1:29" ht="15">
      <c r="A120" s="105" t="s">
        <v>76</v>
      </c>
      <c r="B120" s="107">
        <f>SUM(B121:B144)</f>
        <v>526290.5573110435</v>
      </c>
      <c r="C120" s="107">
        <f>SUM(C121:C144)</f>
        <v>590007.7086570447</v>
      </c>
      <c r="D120" s="107">
        <f>SUM(D121:D144)</f>
        <v>14537707.082720434</v>
      </c>
      <c r="E120" s="113"/>
      <c r="F120" s="113"/>
      <c r="G120" s="115"/>
      <c r="H120" s="116"/>
      <c r="L120" s="1"/>
      <c r="M120" s="1"/>
      <c r="N120" s="1"/>
      <c r="O120" s="1"/>
      <c r="P120" s="1"/>
      <c r="Q120" s="1"/>
      <c r="R120" s="1"/>
      <c r="S120" s="1"/>
      <c r="T120" s="1"/>
      <c r="U120" s="1"/>
      <c r="V120" s="1"/>
      <c r="W120" s="1"/>
      <c r="X120" s="1"/>
      <c r="Y120" s="1"/>
      <c r="Z120" s="1"/>
      <c r="AA120" s="1"/>
      <c r="AB120" s="1"/>
      <c r="AC120" s="1"/>
    </row>
    <row r="121" spans="1:29" ht="15">
      <c r="A121" s="108" t="s">
        <v>85</v>
      </c>
      <c r="B121" s="117">
        <f>'3A1_3A2_3C6 INFO BASE'!B42</f>
        <v>27291.8051828901</v>
      </c>
      <c r="C121" s="117">
        <f>'3A1_3A2_3C6 INFO BASE'!C42</f>
        <v>12505.2608769127</v>
      </c>
      <c r="D121" s="117">
        <f>'3A1_3A2_3C6 INFO BASE'!D42</f>
        <v>359134.696555643</v>
      </c>
      <c r="E121" s="113"/>
      <c r="F121" s="113"/>
      <c r="G121" s="115"/>
      <c r="H121" s="113"/>
      <c r="L121" s="1"/>
      <c r="M121" s="1"/>
      <c r="N121" s="1"/>
      <c r="O121" s="1"/>
      <c r="P121" s="1"/>
      <c r="Q121" s="1"/>
      <c r="R121" s="1"/>
      <c r="S121" s="1"/>
      <c r="T121" s="1"/>
      <c r="U121" s="1"/>
      <c r="V121" s="1"/>
      <c r="W121" s="1"/>
      <c r="X121" s="1"/>
      <c r="Y121" s="1"/>
      <c r="Z121" s="1"/>
      <c r="AA121" s="1"/>
      <c r="AB121" s="1"/>
      <c r="AC121" s="1"/>
    </row>
    <row r="122" spans="1:29" ht="15">
      <c r="A122" s="108" t="s">
        <v>86</v>
      </c>
      <c r="B122" s="117">
        <f>'3A1_3A2_3C6 INFO BASE'!B43</f>
        <v>39392.5068150095</v>
      </c>
      <c r="C122" s="117">
        <f>'3A1_3A2_3C6 INFO BASE'!C43</f>
        <v>80381.1944326083</v>
      </c>
      <c r="D122" s="117">
        <f>'3A1_3A2_3C6 INFO BASE'!D43</f>
        <v>1923372.49528808</v>
      </c>
      <c r="E122" s="113"/>
      <c r="F122" s="113"/>
      <c r="G122" s="115"/>
      <c r="H122" s="113"/>
      <c r="L122" s="1"/>
      <c r="M122" s="1"/>
      <c r="N122" s="1"/>
      <c r="O122" s="1"/>
      <c r="P122" s="1"/>
      <c r="Q122" s="1"/>
      <c r="R122" s="1"/>
      <c r="S122" s="1"/>
      <c r="T122" s="1"/>
      <c r="U122" s="1"/>
      <c r="V122" s="1"/>
      <c r="W122" s="1"/>
      <c r="X122" s="1"/>
      <c r="Y122" s="1"/>
      <c r="Z122" s="1"/>
      <c r="AA122" s="1"/>
      <c r="AB122" s="1"/>
      <c r="AC122" s="1"/>
    </row>
    <row r="123" spans="1:29" ht="15">
      <c r="A123" s="108" t="s">
        <v>87</v>
      </c>
      <c r="B123" s="117">
        <f>'3A1_3A2_3C6 INFO BASE'!B44</f>
        <v>82161.5741304738</v>
      </c>
      <c r="C123" s="117">
        <f>'3A1_3A2_3C6 INFO BASE'!C44</f>
        <v>10629.8721710901</v>
      </c>
      <c r="D123" s="117">
        <f>'3A1_3A2_3C6 INFO BASE'!D44</f>
        <v>1204315.15878705</v>
      </c>
      <c r="E123" s="113"/>
      <c r="F123" s="113"/>
      <c r="G123" s="113"/>
      <c r="H123" s="114"/>
      <c r="L123" s="1"/>
      <c r="M123" s="1"/>
      <c r="N123" s="1"/>
      <c r="O123" s="1"/>
      <c r="P123" s="1"/>
      <c r="Q123" s="1"/>
      <c r="R123" s="1"/>
      <c r="S123" s="1"/>
      <c r="T123" s="1"/>
      <c r="U123" s="1"/>
      <c r="V123" s="1"/>
      <c r="W123" s="1"/>
      <c r="X123" s="1"/>
      <c r="Y123" s="1"/>
      <c r="Z123" s="1"/>
      <c r="AA123" s="1"/>
      <c r="AB123" s="1"/>
      <c r="AC123" s="1"/>
    </row>
    <row r="124" spans="1:29" ht="15">
      <c r="A124" s="108" t="s">
        <v>88</v>
      </c>
      <c r="B124" s="117">
        <f>'3A1_3A2_3C6 INFO BASE'!B45</f>
        <v>7725.21118704614</v>
      </c>
      <c r="C124" s="117">
        <f>'3A1_3A2_3C6 INFO BASE'!C45</f>
        <v>17834.9052283941</v>
      </c>
      <c r="D124" s="117">
        <f>'3A1_3A2_3C6 INFO BASE'!D45</f>
        <v>495062.474751151</v>
      </c>
      <c r="E124" s="113"/>
      <c r="F124" s="113"/>
      <c r="G124" s="113"/>
      <c r="H124" s="114"/>
      <c r="L124" s="1"/>
      <c r="M124" s="1"/>
      <c r="N124" s="1"/>
      <c r="O124" s="1"/>
      <c r="P124" s="1"/>
      <c r="Q124" s="1"/>
      <c r="R124" s="1"/>
      <c r="S124" s="1"/>
      <c r="T124" s="1"/>
      <c r="U124" s="1"/>
      <c r="V124" s="1"/>
      <c r="W124" s="1"/>
      <c r="X124" s="1"/>
      <c r="Y124" s="1"/>
      <c r="Z124" s="1"/>
      <c r="AA124" s="1"/>
      <c r="AB124" s="1"/>
      <c r="AC124" s="1"/>
    </row>
    <row r="125" spans="1:29" ht="15">
      <c r="A125" s="108" t="s">
        <v>89</v>
      </c>
      <c r="B125" s="117">
        <f>'3A1_3A2_3C6 INFO BASE'!B46</f>
        <v>33843.8962767069</v>
      </c>
      <c r="C125" s="117">
        <f>'3A1_3A2_3C6 INFO BASE'!C46</f>
        <v>36128.5077219631</v>
      </c>
      <c r="D125" s="117">
        <f>'3A1_3A2_3C6 INFO BASE'!D46</f>
        <v>603395.413257091</v>
      </c>
      <c r="E125" s="113"/>
      <c r="F125" s="113"/>
      <c r="G125" s="113"/>
      <c r="H125" s="114"/>
      <c r="L125" s="1"/>
      <c r="M125" s="1"/>
      <c r="N125" s="1"/>
      <c r="O125" s="1"/>
      <c r="P125" s="1"/>
      <c r="Q125" s="1"/>
      <c r="R125" s="1"/>
      <c r="S125" s="1"/>
      <c r="T125" s="1"/>
      <c r="U125" s="1"/>
      <c r="V125" s="1"/>
      <c r="W125" s="1"/>
      <c r="X125" s="1"/>
      <c r="Y125" s="1"/>
      <c r="Z125" s="1"/>
      <c r="AA125" s="1"/>
      <c r="AB125" s="1"/>
      <c r="AC125" s="1"/>
    </row>
    <row r="126" spans="1:29" ht="15">
      <c r="A126" s="108" t="s">
        <v>90</v>
      </c>
      <c r="B126" s="117">
        <f>'3A1_3A2_3C6 INFO BASE'!B47</f>
        <v>49645.8663327273</v>
      </c>
      <c r="C126" s="117">
        <f>'3A1_3A2_3C6 INFO BASE'!C47</f>
        <v>81874.132611628</v>
      </c>
      <c r="D126" s="117">
        <f>'3A1_3A2_3C6 INFO BASE'!D47</f>
        <v>2820931.80536114</v>
      </c>
      <c r="E126" s="113"/>
      <c r="F126" s="113"/>
      <c r="G126" s="113"/>
      <c r="H126" s="114"/>
      <c r="L126" s="1"/>
      <c r="M126" s="1"/>
      <c r="N126" s="1"/>
      <c r="O126" s="1"/>
      <c r="P126" s="1"/>
      <c r="Q126" s="1"/>
      <c r="R126" s="1"/>
      <c r="S126" s="1"/>
      <c r="T126" s="1"/>
      <c r="U126" s="1"/>
      <c r="V126" s="1"/>
      <c r="W126" s="1"/>
      <c r="X126" s="1"/>
      <c r="Y126" s="1"/>
      <c r="Z126" s="1"/>
      <c r="AA126" s="1"/>
      <c r="AB126" s="1"/>
      <c r="AC126" s="1"/>
    </row>
    <row r="127" spans="1:29" ht="15">
      <c r="A127" s="108" t="s">
        <v>91</v>
      </c>
      <c r="B127" s="117">
        <f>'3A1_3A2_3C6 INFO BASE'!B48</f>
        <v>64631.1749964218</v>
      </c>
      <c r="C127" s="117">
        <f>'3A1_3A2_3C6 INFO BASE'!C48</f>
        <v>40806.3524343615</v>
      </c>
      <c r="D127" s="117">
        <f>'3A1_3A2_3C6 INFO BASE'!D48</f>
        <v>1998294.24572334</v>
      </c>
      <c r="E127" s="113"/>
      <c r="F127" s="113"/>
      <c r="G127" s="113"/>
      <c r="H127" s="114"/>
      <c r="L127" s="1"/>
      <c r="M127" s="1"/>
      <c r="N127" s="1"/>
      <c r="O127" s="1"/>
      <c r="P127" s="1"/>
      <c r="Q127" s="1"/>
      <c r="R127" s="1"/>
      <c r="S127" s="1"/>
      <c r="T127" s="1"/>
      <c r="U127" s="1"/>
      <c r="V127" s="1"/>
      <c r="W127" s="1"/>
      <c r="X127" s="1"/>
      <c r="Y127" s="1"/>
      <c r="Z127" s="1"/>
      <c r="AA127" s="1"/>
      <c r="AB127" s="1"/>
      <c r="AC127" s="1"/>
    </row>
    <row r="128" spans="1:29" ht="15">
      <c r="A128" s="108" t="s">
        <v>92</v>
      </c>
      <c r="B128" s="117">
        <f>'3A1_3A2_3C6 INFO BASE'!B49</f>
        <v>21285.4872187218</v>
      </c>
      <c r="C128" s="117">
        <f>'3A1_3A2_3C6 INFO BASE'!C49</f>
        <v>19801.9489079818</v>
      </c>
      <c r="D128" s="117">
        <f>'3A1_3A2_3C6 INFO BASE'!D49</f>
        <v>369628.402261882</v>
      </c>
      <c r="E128" s="113"/>
      <c r="F128" s="113"/>
      <c r="G128" s="113"/>
      <c r="H128" s="114"/>
      <c r="L128" s="1"/>
      <c r="M128" s="1"/>
      <c r="N128" s="1"/>
      <c r="O128" s="1"/>
      <c r="P128" s="1"/>
      <c r="Q128" s="1"/>
      <c r="R128" s="1"/>
      <c r="S128" s="1"/>
      <c r="T128" s="1"/>
      <c r="U128" s="1"/>
      <c r="V128" s="1"/>
      <c r="W128" s="1"/>
      <c r="X128" s="1"/>
      <c r="Y128" s="1"/>
      <c r="Z128" s="1"/>
      <c r="AA128" s="1"/>
      <c r="AB128" s="1"/>
      <c r="AC128" s="1"/>
    </row>
    <row r="129" spans="1:29" ht="15">
      <c r="A129" s="108" t="s">
        <v>93</v>
      </c>
      <c r="B129" s="117">
        <f>'3A1_3A2_3C6 INFO BASE'!B50</f>
        <v>39975.2989071898</v>
      </c>
      <c r="C129" s="117">
        <f>'3A1_3A2_3C6 INFO BASE'!C50</f>
        <v>35256.3125261291</v>
      </c>
      <c r="D129" s="117">
        <f>'3A1_3A2_3C6 INFO BASE'!D50</f>
        <v>715436.256422555</v>
      </c>
      <c r="E129" s="113"/>
      <c r="F129" s="113"/>
      <c r="G129" s="113"/>
      <c r="H129" s="114"/>
      <c r="L129" s="1"/>
      <c r="M129" s="1"/>
      <c r="N129" s="1"/>
      <c r="O129" s="1"/>
      <c r="P129" s="1"/>
      <c r="Q129" s="1"/>
      <c r="R129" s="1"/>
      <c r="S129" s="1"/>
      <c r="T129" s="1"/>
      <c r="U129" s="1"/>
      <c r="V129" s="1"/>
      <c r="W129" s="1"/>
      <c r="X129" s="1"/>
      <c r="Y129" s="1"/>
      <c r="Z129" s="1"/>
      <c r="AA129" s="1"/>
      <c r="AB129" s="1"/>
      <c r="AC129" s="1"/>
    </row>
    <row r="130" spans="1:29" ht="15">
      <c r="A130" s="108" t="s">
        <v>94</v>
      </c>
      <c r="B130" s="117">
        <f>'3A1_3A2_3C6 INFO BASE'!B51</f>
        <v>2797.64452073827</v>
      </c>
      <c r="C130" s="117">
        <f>'3A1_3A2_3C6 INFO BASE'!C51</f>
        <v>3424.04913614219</v>
      </c>
      <c r="D130" s="117">
        <f>'3A1_3A2_3C6 INFO BASE'!D51</f>
        <v>58955.0633909412</v>
      </c>
      <c r="E130" s="113"/>
      <c r="F130" s="113"/>
      <c r="G130" s="113"/>
      <c r="H130" s="114"/>
      <c r="L130" s="1"/>
      <c r="M130" s="1"/>
      <c r="N130" s="1"/>
      <c r="O130" s="1"/>
      <c r="P130" s="1"/>
      <c r="Q130" s="1"/>
      <c r="R130" s="1"/>
      <c r="S130" s="1"/>
      <c r="T130" s="1"/>
      <c r="U130" s="1"/>
      <c r="V130" s="1"/>
      <c r="W130" s="1"/>
      <c r="X130" s="1"/>
      <c r="Y130" s="1"/>
      <c r="Z130" s="1"/>
      <c r="AA130" s="1"/>
      <c r="AB130" s="1"/>
      <c r="AC130" s="1"/>
    </row>
    <row r="131" spans="1:29" ht="15">
      <c r="A131" s="108" t="s">
        <v>95</v>
      </c>
      <c r="B131" s="117">
        <f>'3A1_3A2_3C6 INFO BASE'!B52</f>
        <v>10521.2279782036</v>
      </c>
      <c r="C131" s="117">
        <f>'3A1_3A2_3C6 INFO BASE'!C52</f>
        <v>29382.7778525028</v>
      </c>
      <c r="D131" s="117">
        <f>'3A1_3A2_3C6 INFO BASE'!D52</f>
        <v>1028145.44024706</v>
      </c>
      <c r="E131" s="113"/>
      <c r="F131" s="113"/>
      <c r="G131" s="113"/>
      <c r="H131" s="114"/>
      <c r="L131" s="1"/>
      <c r="M131" s="1"/>
      <c r="N131" s="1"/>
      <c r="O131" s="1"/>
      <c r="P131" s="1"/>
      <c r="Q131" s="1"/>
      <c r="R131" s="1"/>
      <c r="S131" s="1"/>
      <c r="T131" s="1"/>
      <c r="U131" s="1"/>
      <c r="V131" s="1"/>
      <c r="W131" s="1"/>
      <c r="X131" s="1"/>
      <c r="Y131" s="1"/>
      <c r="Z131" s="1"/>
      <c r="AA131" s="1"/>
      <c r="AB131" s="1"/>
      <c r="AC131" s="1"/>
    </row>
    <row r="132" spans="1:29" ht="15">
      <c r="A132" s="108" t="s">
        <v>96</v>
      </c>
      <c r="B132" s="117">
        <f>'3A1_3A2_3C6 INFO BASE'!B53</f>
        <v>40434.5145349209</v>
      </c>
      <c r="C132" s="117">
        <f>'3A1_3A2_3C6 INFO BASE'!C53</f>
        <v>52367.0920036767</v>
      </c>
      <c r="D132" s="117">
        <f>'3A1_3A2_3C6 INFO BASE'!D53</f>
        <v>784358.511886237</v>
      </c>
      <c r="E132" s="113"/>
      <c r="F132" s="113"/>
      <c r="G132" s="113"/>
      <c r="H132" s="114"/>
      <c r="L132" s="1"/>
      <c r="M132" s="1"/>
      <c r="N132" s="1"/>
      <c r="O132" s="1"/>
      <c r="P132" s="1"/>
      <c r="Q132" s="1"/>
      <c r="R132" s="1"/>
      <c r="S132" s="1"/>
      <c r="T132" s="1"/>
      <c r="U132" s="1"/>
      <c r="V132" s="1"/>
      <c r="W132" s="1"/>
      <c r="X132" s="1"/>
      <c r="Y132" s="1"/>
      <c r="Z132" s="1"/>
      <c r="AA132" s="1"/>
      <c r="AB132" s="1"/>
      <c r="AC132" s="1"/>
    </row>
    <row r="133" spans="1:29" ht="15">
      <c r="A133" s="108" t="s">
        <v>97</v>
      </c>
      <c r="B133" s="117">
        <f>'3A1_3A2_3C6 INFO BASE'!B54</f>
        <v>6894.06955165671</v>
      </c>
      <c r="C133" s="117">
        <f>'3A1_3A2_3C6 INFO BASE'!C54</f>
        <v>12246.0466482676</v>
      </c>
      <c r="D133" s="117">
        <f>'3A1_3A2_3C6 INFO BASE'!D54</f>
        <v>274260.027288669</v>
      </c>
      <c r="E133" s="113"/>
      <c r="F133" s="113"/>
      <c r="G133" s="113"/>
      <c r="H133" s="114"/>
      <c r="L133" s="1"/>
      <c r="M133" s="1"/>
      <c r="N133" s="1"/>
      <c r="O133" s="1"/>
      <c r="P133" s="1"/>
      <c r="Q133" s="1"/>
      <c r="R133" s="1"/>
      <c r="S133" s="1"/>
      <c r="T133" s="1"/>
      <c r="U133" s="1"/>
      <c r="V133" s="1"/>
      <c r="W133" s="1"/>
      <c r="X133" s="1"/>
      <c r="Y133" s="1"/>
      <c r="Z133" s="1"/>
      <c r="AA133" s="1"/>
      <c r="AB133" s="1"/>
      <c r="AC133" s="1"/>
    </row>
    <row r="134" spans="1:29" ht="15">
      <c r="A134" s="108" t="s">
        <v>98</v>
      </c>
      <c r="B134" s="117">
        <f>'3A1_3A2_3C6 INFO BASE'!B55</f>
        <v>12397.3182038256</v>
      </c>
      <c r="C134" s="117">
        <f>'3A1_3A2_3C6 INFO BASE'!C55</f>
        <v>24667.3729118253</v>
      </c>
      <c r="D134" s="117">
        <f>'3A1_3A2_3C6 INFO BASE'!D55</f>
        <v>881708.409205168</v>
      </c>
      <c r="E134" s="113"/>
      <c r="F134" s="113"/>
      <c r="G134" s="113"/>
      <c r="H134" s="114"/>
      <c r="L134" s="1"/>
      <c r="M134" s="1"/>
      <c r="N134" s="1"/>
      <c r="O134" s="1"/>
      <c r="P134" s="1"/>
      <c r="Q134" s="1"/>
      <c r="R134" s="1"/>
      <c r="S134" s="1"/>
      <c r="T134" s="1"/>
      <c r="U134" s="1"/>
      <c r="V134" s="1"/>
      <c r="W134" s="1"/>
      <c r="X134" s="1"/>
      <c r="Y134" s="1"/>
      <c r="Z134" s="1"/>
      <c r="AA134" s="1"/>
      <c r="AB134" s="1"/>
      <c r="AC134" s="1"/>
    </row>
    <row r="135" spans="1:29" ht="15">
      <c r="A135" s="112" t="s">
        <v>99</v>
      </c>
      <c r="B135" s="117">
        <f>'3A1_3A2_3C6 INFO BASE'!B56</f>
        <v>3809.6415524792</v>
      </c>
      <c r="C135" s="117">
        <f>'3A1_3A2_3C6 INFO BASE'!C56</f>
        <v>473.114039625132</v>
      </c>
      <c r="D135" s="117">
        <f>'3A1_3A2_3C6 INFO BASE'!D56</f>
        <v>17602.942073804</v>
      </c>
      <c r="E135" s="113"/>
      <c r="F135" s="113"/>
      <c r="G135" s="113"/>
      <c r="H135" s="114"/>
      <c r="L135" s="1"/>
      <c r="M135" s="1"/>
      <c r="N135" s="1"/>
      <c r="O135" s="1"/>
      <c r="P135" s="1"/>
      <c r="Q135" s="1"/>
      <c r="R135" s="1"/>
      <c r="S135" s="1"/>
      <c r="T135" s="1"/>
      <c r="U135" s="1"/>
      <c r="V135" s="1"/>
      <c r="W135" s="1"/>
      <c r="X135" s="1"/>
      <c r="Y135" s="1"/>
      <c r="Z135" s="1"/>
      <c r="AA135" s="1"/>
      <c r="AB135" s="1"/>
      <c r="AC135" s="1"/>
    </row>
    <row r="136" spans="1:29" ht="15">
      <c r="A136" s="108" t="s">
        <v>100</v>
      </c>
      <c r="B136" s="117">
        <f>'3A1_3A2_3C6 INFO BASE'!B57</f>
        <v>476.537404431081</v>
      </c>
      <c r="C136" s="117">
        <f>'3A1_3A2_3C6 INFO BASE'!C57</f>
        <v>22.5937956477626</v>
      </c>
      <c r="D136" s="117">
        <f>'3A1_3A2_3C6 INFO BASE'!D57</f>
        <v>2734.82396094338</v>
      </c>
      <c r="E136" s="113"/>
      <c r="F136" s="113"/>
      <c r="G136" s="113"/>
      <c r="H136" s="114"/>
      <c r="L136" s="1"/>
      <c r="M136" s="1"/>
      <c r="N136" s="1"/>
      <c r="O136" s="1"/>
      <c r="P136" s="1"/>
      <c r="Q136" s="1"/>
      <c r="R136" s="1"/>
      <c r="S136" s="1"/>
      <c r="T136" s="1"/>
      <c r="U136" s="1"/>
      <c r="V136" s="1"/>
      <c r="W136" s="1"/>
      <c r="X136" s="1"/>
      <c r="Y136" s="1"/>
      <c r="Z136" s="1"/>
      <c r="AA136" s="1"/>
      <c r="AB136" s="1"/>
      <c r="AC136" s="1"/>
    </row>
    <row r="137" spans="1:29" ht="15">
      <c r="A137" s="108" t="s">
        <v>101</v>
      </c>
      <c r="B137" s="117">
        <f>'3A1_3A2_3C6 INFO BASE'!B58</f>
        <v>665.276403728355</v>
      </c>
      <c r="C137" s="117">
        <f>'3A1_3A2_3C6 INFO BASE'!C58</f>
        <v>5796.44169775901</v>
      </c>
      <c r="D137" s="117">
        <f>'3A1_3A2_3C6 INFO BASE'!D58</f>
        <v>159933.428748195</v>
      </c>
      <c r="E137" s="113"/>
      <c r="F137" s="113"/>
      <c r="G137" s="113"/>
      <c r="H137" s="114"/>
      <c r="L137" s="1"/>
      <c r="M137" s="1"/>
      <c r="N137" s="1"/>
      <c r="O137" s="1"/>
      <c r="P137" s="1"/>
      <c r="Q137" s="1"/>
      <c r="R137" s="1"/>
      <c r="S137" s="1"/>
      <c r="T137" s="1"/>
      <c r="U137" s="1"/>
      <c r="V137" s="1"/>
      <c r="W137" s="1"/>
      <c r="X137" s="1"/>
      <c r="Y137" s="1"/>
      <c r="Z137" s="1"/>
      <c r="AA137" s="1"/>
      <c r="AB137" s="1"/>
      <c r="AC137" s="1"/>
    </row>
    <row r="138" spans="1:29" ht="15">
      <c r="A138" s="108" t="s">
        <v>102</v>
      </c>
      <c r="B138" s="117">
        <f>'3A1_3A2_3C6 INFO BASE'!B59</f>
        <v>10030.314105245</v>
      </c>
      <c r="C138" s="117">
        <f>'3A1_3A2_3C6 INFO BASE'!C59</f>
        <v>8977.69665350197</v>
      </c>
      <c r="D138" s="117">
        <f>'3A1_3A2_3C6 INFO BASE'!D59</f>
        <v>96243.5501649099</v>
      </c>
      <c r="E138" s="113"/>
      <c r="F138" s="113"/>
      <c r="G138" s="113"/>
      <c r="H138" s="114"/>
      <c r="L138" s="1"/>
      <c r="M138" s="1"/>
      <c r="N138" s="1"/>
      <c r="O138" s="1"/>
      <c r="P138" s="1"/>
      <c r="Q138" s="1"/>
      <c r="R138" s="1"/>
      <c r="S138" s="1"/>
      <c r="T138" s="1"/>
      <c r="U138" s="1"/>
      <c r="V138" s="1"/>
      <c r="W138" s="1"/>
      <c r="X138" s="1"/>
      <c r="Y138" s="1"/>
      <c r="Z138" s="1"/>
      <c r="AA138" s="1"/>
      <c r="AB138" s="1"/>
      <c r="AC138" s="1"/>
    </row>
    <row r="139" spans="1:29" ht="15">
      <c r="A139" s="108" t="s">
        <v>103</v>
      </c>
      <c r="B139" s="117">
        <f>'3A1_3A2_3C6 INFO BASE'!B60</f>
        <v>32523.6619960125</v>
      </c>
      <c r="C139" s="117">
        <f>'3A1_3A2_3C6 INFO BASE'!C60</f>
        <v>43551.5887523214</v>
      </c>
      <c r="D139" s="117">
        <f>'3A1_3A2_3C6 INFO BASE'!D60</f>
        <v>114556.823192564</v>
      </c>
      <c r="E139" s="113"/>
      <c r="F139" s="113"/>
      <c r="G139" s="113"/>
      <c r="H139" s="114"/>
      <c r="L139" s="1"/>
      <c r="M139" s="1"/>
      <c r="N139" s="1"/>
      <c r="O139" s="1"/>
      <c r="P139" s="1"/>
      <c r="Q139" s="1"/>
      <c r="R139" s="1"/>
      <c r="S139" s="1"/>
      <c r="T139" s="1"/>
      <c r="U139" s="1"/>
      <c r="V139" s="1"/>
      <c r="W139" s="1"/>
      <c r="X139" s="1"/>
      <c r="Y139" s="1"/>
      <c r="Z139" s="1"/>
      <c r="AA139" s="1"/>
      <c r="AB139" s="1"/>
      <c r="AC139" s="1"/>
    </row>
    <row r="140" spans="1:29" ht="15">
      <c r="A140" s="108" t="s">
        <v>104</v>
      </c>
      <c r="B140" s="117">
        <f>'3A1_3A2_3C6 INFO BASE'!B61</f>
        <v>9935.45312678</v>
      </c>
      <c r="C140" s="117">
        <f>'3A1_3A2_3C6 INFO BASE'!C61</f>
        <v>58066.4047730159</v>
      </c>
      <c r="D140" s="117">
        <f>'3A1_3A2_3C6 INFO BASE'!D61</f>
        <v>116704.462134583</v>
      </c>
      <c r="E140" s="113"/>
      <c r="F140" s="113"/>
      <c r="G140" s="113"/>
      <c r="H140" s="114"/>
      <c r="L140" s="1"/>
      <c r="M140" s="1"/>
      <c r="N140" s="1"/>
      <c r="O140" s="1"/>
      <c r="P140" s="1"/>
      <c r="Q140" s="1"/>
      <c r="R140" s="1"/>
      <c r="S140" s="1"/>
      <c r="T140" s="1"/>
      <c r="U140" s="1"/>
      <c r="V140" s="1"/>
      <c r="W140" s="1"/>
      <c r="X140" s="1"/>
      <c r="Y140" s="1"/>
      <c r="Z140" s="1"/>
      <c r="AA140" s="1"/>
      <c r="AB140" s="1"/>
      <c r="AC140" s="1"/>
    </row>
    <row r="141" spans="1:29" ht="15">
      <c r="A141" s="112" t="s">
        <v>105</v>
      </c>
      <c r="B141" s="117">
        <f>'3A1_3A2_3C6 INFO BASE'!B62</f>
        <v>24626.0414073493</v>
      </c>
      <c r="C141" s="117">
        <f>'3A1_3A2_3C6 INFO BASE'!C62</f>
        <v>11662.7836692357</v>
      </c>
      <c r="D141" s="117">
        <f>'3A1_3A2_3C6 INFO BASE'!D62</f>
        <v>377864.997146712</v>
      </c>
      <c r="E141" s="113"/>
      <c r="F141" s="113"/>
      <c r="G141" s="113"/>
      <c r="H141" s="114"/>
      <c r="L141" s="1"/>
      <c r="M141" s="1"/>
      <c r="N141" s="1"/>
      <c r="O141" s="1"/>
      <c r="P141" s="1"/>
      <c r="Q141" s="1"/>
      <c r="R141" s="1"/>
      <c r="S141" s="1"/>
      <c r="T141" s="1"/>
      <c r="U141" s="1"/>
      <c r="V141" s="1"/>
      <c r="W141" s="1"/>
      <c r="X141" s="1"/>
      <c r="Y141" s="1"/>
      <c r="Z141" s="1"/>
      <c r="AA141" s="1"/>
      <c r="AB141" s="1"/>
      <c r="AC141" s="1"/>
    </row>
    <row r="142" spans="1:29" ht="15">
      <c r="A142" s="108" t="s">
        <v>106</v>
      </c>
      <c r="B142" s="117">
        <f>'3A1_3A2_3C6 INFO BASE'!B63</f>
        <v>682.893921675903</v>
      </c>
      <c r="C142" s="117">
        <f>'3A1_3A2_3C6 INFO BASE'!C63</f>
        <v>1448.6128993615</v>
      </c>
      <c r="D142" s="117">
        <f>'3A1_3A2_3C6 INFO BASE'!D63</f>
        <v>119692.175761668</v>
      </c>
      <c r="E142" s="113"/>
      <c r="F142" s="113"/>
      <c r="G142" s="113"/>
      <c r="H142" s="114"/>
      <c r="L142" s="1"/>
      <c r="M142" s="1"/>
      <c r="N142" s="1"/>
      <c r="O142" s="1"/>
      <c r="P142" s="1"/>
      <c r="Q142" s="1"/>
      <c r="R142" s="1"/>
      <c r="S142" s="1"/>
      <c r="T142" s="1"/>
      <c r="U142" s="1"/>
      <c r="V142" s="1"/>
      <c r="W142" s="1"/>
      <c r="X142" s="1"/>
      <c r="Y142" s="1"/>
      <c r="Z142" s="1"/>
      <c r="AA142" s="1"/>
      <c r="AB142" s="1"/>
      <c r="AC142" s="1"/>
    </row>
    <row r="143" spans="1:29" ht="15">
      <c r="A143" s="108" t="s">
        <v>107</v>
      </c>
      <c r="B143" s="117">
        <f>'3A1_3A2_3C6 INFO BASE'!B64</f>
        <v>2337.35463511981</v>
      </c>
      <c r="C143" s="117">
        <f>'3A1_3A2_3C6 INFO BASE'!C64</f>
        <v>2515.27705299681</v>
      </c>
      <c r="D143" s="117">
        <f>'3A1_3A2_3C6 INFO BASE'!D64</f>
        <v>2519.86827253556</v>
      </c>
      <c r="E143" s="113"/>
      <c r="F143" s="113"/>
      <c r="G143" s="113"/>
      <c r="H143" s="114"/>
      <c r="L143" s="1"/>
      <c r="M143" s="1"/>
      <c r="N143" s="1"/>
      <c r="O143" s="1"/>
      <c r="P143" s="1"/>
      <c r="Q143" s="1"/>
      <c r="R143" s="1"/>
      <c r="S143" s="1"/>
      <c r="T143" s="1"/>
      <c r="U143" s="1"/>
      <c r="V143" s="1"/>
      <c r="W143" s="1"/>
      <c r="X143" s="1"/>
      <c r="Y143" s="1"/>
      <c r="Z143" s="1"/>
      <c r="AA143" s="1"/>
      <c r="AB143" s="1"/>
      <c r="AC143" s="1"/>
    </row>
    <row r="144" spans="1:29" ht="15">
      <c r="A144" s="108" t="s">
        <v>108</v>
      </c>
      <c r="B144" s="117">
        <f>'3A1_3A2_3C6 INFO BASE'!B65</f>
        <v>2205.78692169011</v>
      </c>
      <c r="C144" s="117">
        <f>'3A1_3A2_3C6 INFO BASE'!C65</f>
        <v>187.369860096304</v>
      </c>
      <c r="D144" s="117">
        <f>'3A1_3A2_3C6 INFO BASE'!D65</f>
        <v>12855.6108385092</v>
      </c>
      <c r="E144" s="113"/>
      <c r="F144" s="113"/>
      <c r="G144" s="113"/>
      <c r="H144" s="114"/>
      <c r="L144" s="1"/>
      <c r="M144" s="1"/>
      <c r="N144" s="1"/>
      <c r="O144" s="1"/>
      <c r="P144" s="1"/>
      <c r="Q144" s="1"/>
      <c r="R144" s="1"/>
      <c r="S144" s="1"/>
      <c r="T144" s="1"/>
      <c r="U144" s="1"/>
      <c r="V144" s="1"/>
      <c r="W144" s="1"/>
      <c r="X144" s="1"/>
      <c r="Y144" s="1"/>
      <c r="Z144" s="1"/>
      <c r="AA144" s="1"/>
      <c r="AB144" s="1"/>
      <c r="AC144" s="1"/>
    </row>
    <row r="145" spans="12:29" ht="15">
      <c r="L145" s="1"/>
      <c r="M145" s="1"/>
      <c r="N145" s="1"/>
      <c r="O145" s="1"/>
      <c r="P145" s="1"/>
      <c r="Q145" s="1"/>
      <c r="R145" s="1"/>
      <c r="S145" s="1"/>
      <c r="T145" s="1"/>
      <c r="U145" s="1"/>
      <c r="V145" s="1"/>
      <c r="W145" s="1"/>
      <c r="X145" s="1"/>
      <c r="Y145" s="1"/>
      <c r="Z145" s="1"/>
      <c r="AA145" s="1"/>
      <c r="AB145" s="1"/>
      <c r="AC145" s="1"/>
    </row>
    <row r="146" spans="1:29" ht="15">
      <c r="A146" s="102" t="s">
        <v>79</v>
      </c>
      <c r="B146" s="1162">
        <v>6</v>
      </c>
      <c r="C146" s="1162"/>
      <c r="D146" s="1162"/>
      <c r="E146" s="1162"/>
      <c r="F146" s="1162"/>
      <c r="G146" s="1162"/>
      <c r="H146" s="1162"/>
      <c r="J146" s="6"/>
      <c r="K146" s="507" t="s">
        <v>989</v>
      </c>
      <c r="L146" s="6"/>
      <c r="M146" s="6"/>
      <c r="N146" s="6"/>
      <c r="O146" s="6"/>
      <c r="P146" s="1"/>
      <c r="Q146" s="1"/>
      <c r="R146" s="1"/>
      <c r="S146" s="1"/>
      <c r="T146" s="1"/>
      <c r="U146" s="1"/>
      <c r="V146" s="1"/>
      <c r="W146" s="1"/>
      <c r="X146" s="1"/>
      <c r="Y146" s="1"/>
      <c r="Z146" s="1"/>
      <c r="AA146" s="1"/>
      <c r="AB146" s="1"/>
      <c r="AC146" s="1"/>
    </row>
    <row r="147" spans="1:29" ht="15">
      <c r="A147" s="104" t="s">
        <v>80</v>
      </c>
      <c r="B147" s="1169" t="s">
        <v>491</v>
      </c>
      <c r="C147" s="1170"/>
      <c r="D147" s="1170"/>
      <c r="E147" s="1170"/>
      <c r="F147" s="1170"/>
      <c r="G147" s="1170"/>
      <c r="H147" s="1171"/>
      <c r="J147" s="6"/>
      <c r="K147" s="6"/>
      <c r="L147" s="6"/>
      <c r="M147" s="6"/>
      <c r="N147" s="6"/>
      <c r="O147" s="6"/>
      <c r="P147" s="1"/>
      <c r="Q147" s="1"/>
      <c r="R147" s="1"/>
      <c r="S147" s="1"/>
      <c r="T147" s="1"/>
      <c r="U147" s="1"/>
      <c r="V147" s="1"/>
      <c r="W147" s="1"/>
      <c r="X147" s="1"/>
      <c r="Y147" s="1"/>
      <c r="Z147" s="1"/>
      <c r="AA147" s="1"/>
      <c r="AB147" s="1"/>
      <c r="AC147" s="1"/>
    </row>
    <row r="148" spans="1:29" ht="15">
      <c r="A148" s="104" t="s">
        <v>81</v>
      </c>
      <c r="B148" s="1161" t="s">
        <v>145</v>
      </c>
      <c r="C148" s="1161"/>
      <c r="D148" s="1161"/>
      <c r="E148" s="1161"/>
      <c r="F148" s="1161"/>
      <c r="G148" s="1161"/>
      <c r="H148" s="1161"/>
      <c r="J148" s="6"/>
      <c r="K148" s="6"/>
      <c r="L148" s="6"/>
      <c r="M148" s="6"/>
      <c r="N148" s="6"/>
      <c r="O148" s="6"/>
      <c r="P148" s="1"/>
      <c r="Q148" s="1"/>
      <c r="R148" s="1"/>
      <c r="S148" s="1"/>
      <c r="T148" s="1"/>
      <c r="U148" s="1"/>
      <c r="V148" s="1"/>
      <c r="W148" s="1"/>
      <c r="X148" s="1"/>
      <c r="Y148" s="1"/>
      <c r="Z148" s="1"/>
      <c r="AA148" s="1"/>
      <c r="AB148" s="1"/>
      <c r="AC148" s="1"/>
    </row>
    <row r="149" spans="1:29" ht="15">
      <c r="A149" s="104" t="s">
        <v>82</v>
      </c>
      <c r="B149" s="1172" t="s">
        <v>144</v>
      </c>
      <c r="C149" s="1162"/>
      <c r="D149" s="1162"/>
      <c r="E149" s="1162"/>
      <c r="F149" s="1162"/>
      <c r="G149" s="1162"/>
      <c r="H149" s="1162"/>
      <c r="J149" s="6"/>
      <c r="K149" s="6"/>
      <c r="L149" s="6"/>
      <c r="M149" s="6"/>
      <c r="N149" s="6"/>
      <c r="O149" s="6"/>
      <c r="P149" s="1"/>
      <c r="Q149" s="1"/>
      <c r="R149" s="1"/>
      <c r="S149" s="1"/>
      <c r="T149" s="1"/>
      <c r="U149" s="1"/>
      <c r="V149" s="1"/>
      <c r="W149" s="1"/>
      <c r="X149" s="1"/>
      <c r="Y149" s="1"/>
      <c r="Z149" s="1"/>
      <c r="AA149" s="1"/>
      <c r="AB149" s="1"/>
      <c r="AC149" s="1"/>
    </row>
    <row r="150" spans="1:29" ht="15">
      <c r="A150" s="104" t="s">
        <v>83</v>
      </c>
      <c r="B150" s="1168">
        <v>44002</v>
      </c>
      <c r="C150" s="1162"/>
      <c r="D150" s="1162"/>
      <c r="E150" s="1162"/>
      <c r="F150" s="1162"/>
      <c r="G150" s="1162"/>
      <c r="H150" s="1162"/>
      <c r="L150" s="1"/>
      <c r="M150" s="1"/>
      <c r="N150" s="1"/>
      <c r="O150" s="1"/>
      <c r="P150" s="1"/>
      <c r="Q150" s="1"/>
      <c r="R150" s="1"/>
      <c r="S150" s="1"/>
      <c r="T150" s="1"/>
      <c r="U150" s="1"/>
      <c r="V150" s="1"/>
      <c r="W150" s="1"/>
      <c r="X150" s="1"/>
      <c r="Y150" s="1"/>
      <c r="Z150" s="1"/>
      <c r="AA150" s="1"/>
      <c r="AB150" s="1"/>
      <c r="AC150" s="1"/>
    </row>
    <row r="151" spans="1:29" ht="28.5" customHeight="1">
      <c r="A151" s="104" t="s">
        <v>84</v>
      </c>
      <c r="B151" s="1161" t="s">
        <v>1048</v>
      </c>
      <c r="C151" s="1161"/>
      <c r="D151" s="1161"/>
      <c r="E151" s="1161"/>
      <c r="F151" s="1161"/>
      <c r="G151" s="1161"/>
      <c r="H151" s="1161"/>
      <c r="L151" s="1"/>
      <c r="M151" s="1"/>
      <c r="N151" s="1"/>
      <c r="O151" s="1"/>
      <c r="P151" s="1"/>
      <c r="Q151" s="1"/>
      <c r="R151" s="1"/>
      <c r="S151" s="1"/>
      <c r="T151" s="1"/>
      <c r="U151" s="1"/>
      <c r="V151" s="1"/>
      <c r="W151" s="1"/>
      <c r="X151" s="1"/>
      <c r="Y151" s="1"/>
      <c r="Z151" s="1"/>
      <c r="AA151" s="1"/>
      <c r="AB151" s="1"/>
      <c r="AC151" s="1"/>
    </row>
    <row r="152" spans="1:29" ht="15">
      <c r="A152" s="105" t="s">
        <v>41</v>
      </c>
      <c r="B152" s="105" t="s">
        <v>75</v>
      </c>
      <c r="C152" s="113"/>
      <c r="D152" s="113"/>
      <c r="E152" s="113"/>
      <c r="F152" s="113"/>
      <c r="G152" s="113"/>
      <c r="H152" s="113"/>
      <c r="L152" s="1"/>
      <c r="M152" s="1"/>
      <c r="N152" s="1"/>
      <c r="O152" s="1"/>
      <c r="P152" s="1"/>
      <c r="Q152" s="1"/>
      <c r="R152" s="1"/>
      <c r="S152" s="1"/>
      <c r="T152" s="1"/>
      <c r="U152" s="1"/>
      <c r="V152" s="1"/>
      <c r="W152" s="1"/>
      <c r="X152" s="1"/>
      <c r="Y152" s="1"/>
      <c r="Z152" s="1"/>
      <c r="AA152" s="1"/>
      <c r="AB152" s="1"/>
      <c r="AC152" s="1"/>
    </row>
    <row r="153" spans="1:29" ht="15">
      <c r="A153" s="105" t="s">
        <v>76</v>
      </c>
      <c r="B153" s="482">
        <f>SUM(B154:B177)</f>
        <v>895718</v>
      </c>
      <c r="C153" s="113"/>
      <c r="D153" s="113"/>
      <c r="E153" s="113"/>
      <c r="F153" s="113"/>
      <c r="G153" s="113"/>
      <c r="H153" s="113"/>
      <c r="L153" s="1"/>
      <c r="M153" s="1"/>
      <c r="N153" s="1"/>
      <c r="O153" s="1"/>
      <c r="P153" s="1"/>
      <c r="Q153" s="1"/>
      <c r="R153" s="1"/>
      <c r="S153" s="1"/>
      <c r="T153" s="1"/>
      <c r="U153" s="1"/>
      <c r="V153" s="1"/>
      <c r="W153" s="1"/>
      <c r="X153" s="1"/>
      <c r="Y153" s="1"/>
      <c r="Z153" s="1"/>
      <c r="AA153" s="1"/>
      <c r="AB153" s="1"/>
      <c r="AC153" s="1"/>
    </row>
    <row r="154" spans="1:29" ht="15">
      <c r="A154" s="108" t="s">
        <v>85</v>
      </c>
      <c r="B154" s="109">
        <f>'3A1_3A2_3C6 INFO BASE'!B75</f>
        <v>71212</v>
      </c>
      <c r="F154" s="113"/>
      <c r="G154" s="113"/>
      <c r="H154" s="113"/>
      <c r="L154" s="1"/>
      <c r="M154" s="1"/>
      <c r="N154" s="1"/>
      <c r="O154" s="1"/>
      <c r="P154" s="1"/>
      <c r="Q154" s="1"/>
      <c r="R154" s="1"/>
      <c r="S154" s="1"/>
      <c r="T154" s="1"/>
      <c r="U154" s="1"/>
      <c r="V154" s="1"/>
      <c r="W154" s="1"/>
      <c r="X154" s="1"/>
      <c r="Y154" s="1"/>
      <c r="Z154" s="1"/>
      <c r="AA154" s="1"/>
      <c r="AB154" s="1"/>
      <c r="AC154" s="1"/>
    </row>
    <row r="155" spans="1:29" ht="15">
      <c r="A155" s="108" t="s">
        <v>86</v>
      </c>
      <c r="B155" s="109">
        <f>'3A1_3A2_3C6 INFO BASE'!B76</f>
        <v>13073</v>
      </c>
      <c r="C155" s="113"/>
      <c r="D155" s="119"/>
      <c r="F155" s="113"/>
      <c r="G155" s="113"/>
      <c r="H155" s="113"/>
      <c r="L155" s="1"/>
      <c r="M155" s="1"/>
      <c r="N155" s="1"/>
      <c r="O155" s="1"/>
      <c r="P155" s="1"/>
      <c r="Q155" s="1"/>
      <c r="R155" s="1"/>
      <c r="S155" s="1"/>
      <c r="T155" s="1"/>
      <c r="U155" s="1"/>
      <c r="V155" s="1"/>
      <c r="W155" s="1"/>
      <c r="X155" s="1"/>
      <c r="Y155" s="1"/>
      <c r="Z155" s="1"/>
      <c r="AA155" s="1"/>
      <c r="AB155" s="1"/>
      <c r="AC155" s="1"/>
    </row>
    <row r="156" spans="1:29" ht="15">
      <c r="A156" s="108" t="s">
        <v>87</v>
      </c>
      <c r="B156" s="109">
        <f>'3A1_3A2_3C6 INFO BASE'!B77</f>
        <v>32542</v>
      </c>
      <c r="C156" s="113"/>
      <c r="D156" s="119"/>
      <c r="F156" s="113"/>
      <c r="G156" s="113"/>
      <c r="H156" s="113"/>
      <c r="L156" s="1"/>
      <c r="M156" s="1"/>
      <c r="N156" s="1"/>
      <c r="O156" s="1"/>
      <c r="P156" s="1"/>
      <c r="Q156" s="1"/>
      <c r="R156" s="1"/>
      <c r="S156" s="1"/>
      <c r="T156" s="1"/>
      <c r="U156" s="1"/>
      <c r="V156" s="1"/>
      <c r="W156" s="1"/>
      <c r="X156" s="1"/>
      <c r="Y156" s="1"/>
      <c r="Z156" s="1"/>
      <c r="AA156" s="1"/>
      <c r="AB156" s="1"/>
      <c r="AC156" s="1"/>
    </row>
    <row r="157" spans="1:29" ht="15">
      <c r="A157" s="108" t="s">
        <v>88</v>
      </c>
      <c r="B157" s="109">
        <f>'3A1_3A2_3C6 INFO BASE'!B78</f>
        <v>74287</v>
      </c>
      <c r="C157" s="113"/>
      <c r="D157" s="119"/>
      <c r="F157" s="113"/>
      <c r="G157" s="113"/>
      <c r="H157" s="113"/>
      <c r="L157" s="1"/>
      <c r="M157" s="1"/>
      <c r="N157" s="1"/>
      <c r="O157" s="1"/>
      <c r="P157" s="1"/>
      <c r="Q157" s="1"/>
      <c r="R157" s="1"/>
      <c r="S157" s="1"/>
      <c r="T157" s="1"/>
      <c r="U157" s="1"/>
      <c r="V157" s="1"/>
      <c r="W157" s="1"/>
      <c r="X157" s="1"/>
      <c r="Y157" s="1"/>
      <c r="Z157" s="1"/>
      <c r="AA157" s="1"/>
      <c r="AB157" s="1"/>
      <c r="AC157" s="1"/>
    </row>
    <row r="158" spans="1:29" ht="15">
      <c r="A158" s="108" t="s">
        <v>89</v>
      </c>
      <c r="B158" s="109">
        <f>'3A1_3A2_3C6 INFO BASE'!B79</f>
        <v>30053</v>
      </c>
      <c r="C158" s="113"/>
      <c r="D158" s="119"/>
      <c r="F158" s="113"/>
      <c r="G158" s="113"/>
      <c r="H158" s="113"/>
      <c r="L158" s="1"/>
      <c r="M158" s="1"/>
      <c r="N158" s="1"/>
      <c r="O158" s="1"/>
      <c r="P158" s="1"/>
      <c r="Q158" s="1"/>
      <c r="R158" s="1"/>
      <c r="S158" s="1"/>
      <c r="T158" s="1"/>
      <c r="U158" s="1"/>
      <c r="V158" s="1"/>
      <c r="W158" s="1"/>
      <c r="X158" s="1"/>
      <c r="Y158" s="1"/>
      <c r="Z158" s="1"/>
      <c r="AA158" s="1"/>
      <c r="AB158" s="1"/>
      <c r="AC158" s="1"/>
    </row>
    <row r="159" spans="1:29" ht="15">
      <c r="A159" s="108" t="s">
        <v>90</v>
      </c>
      <c r="B159" s="109">
        <f>'3A1_3A2_3C6 INFO BASE'!B80</f>
        <v>159826</v>
      </c>
      <c r="C159" s="113"/>
      <c r="D159" s="119"/>
      <c r="F159" s="113"/>
      <c r="G159" s="113"/>
      <c r="H159" s="113"/>
      <c r="L159" s="1"/>
      <c r="M159" s="1"/>
      <c r="N159" s="1"/>
      <c r="O159" s="1"/>
      <c r="P159" s="1"/>
      <c r="Q159" s="1"/>
      <c r="R159" s="1"/>
      <c r="S159" s="1"/>
      <c r="T159" s="1"/>
      <c r="U159" s="1"/>
      <c r="V159" s="1"/>
      <c r="W159" s="1"/>
      <c r="X159" s="1"/>
      <c r="Y159" s="1"/>
      <c r="Z159" s="1"/>
      <c r="AA159" s="1"/>
      <c r="AB159" s="1"/>
      <c r="AC159" s="1"/>
    </row>
    <row r="160" spans="1:29" ht="15">
      <c r="A160" s="108" t="s">
        <v>91</v>
      </c>
      <c r="B160" s="109">
        <f>'3A1_3A2_3C6 INFO BASE'!B81</f>
        <v>80923</v>
      </c>
      <c r="C160" s="113"/>
      <c r="D160" s="119"/>
      <c r="F160" s="113"/>
      <c r="G160" s="113"/>
      <c r="H160" s="113"/>
      <c r="L160" s="1"/>
      <c r="M160" s="1"/>
      <c r="N160" s="1"/>
      <c r="O160" s="1"/>
      <c r="P160" s="1"/>
      <c r="Q160" s="1"/>
      <c r="R160" s="1"/>
      <c r="S160" s="1"/>
      <c r="T160" s="1"/>
      <c r="U160" s="1"/>
      <c r="V160" s="1"/>
      <c r="W160" s="1"/>
      <c r="X160" s="1"/>
      <c r="Y160" s="1"/>
      <c r="Z160" s="1"/>
      <c r="AA160" s="1"/>
      <c r="AB160" s="1"/>
      <c r="AC160" s="1"/>
    </row>
    <row r="161" spans="1:29" ht="15">
      <c r="A161" s="108" t="s">
        <v>92</v>
      </c>
      <c r="B161" s="109">
        <f>'3A1_3A2_3C6 INFO BASE'!B82</f>
        <v>16134</v>
      </c>
      <c r="C161" s="113"/>
      <c r="D161" s="119"/>
      <c r="F161" s="113"/>
      <c r="G161" s="113"/>
      <c r="H161" s="113"/>
      <c r="L161" s="1"/>
      <c r="M161" s="1"/>
      <c r="N161" s="1"/>
      <c r="O161" s="1"/>
      <c r="P161" s="1"/>
      <c r="Q161" s="1"/>
      <c r="R161" s="1"/>
      <c r="S161" s="1"/>
      <c r="T161" s="1"/>
      <c r="U161" s="1"/>
      <c r="V161" s="1"/>
      <c r="W161" s="1"/>
      <c r="X161" s="1"/>
      <c r="Y161" s="1"/>
      <c r="Z161" s="1"/>
      <c r="AA161" s="1"/>
      <c r="AB161" s="1"/>
      <c r="AC161" s="1"/>
    </row>
    <row r="162" spans="1:29" ht="15">
      <c r="A162" s="108" t="s">
        <v>93</v>
      </c>
      <c r="B162" s="109">
        <f>'3A1_3A2_3C6 INFO BASE'!B83</f>
        <v>31905</v>
      </c>
      <c r="C162" s="113"/>
      <c r="D162" s="119"/>
      <c r="F162" s="113"/>
      <c r="G162" s="113"/>
      <c r="H162" s="113"/>
      <c r="L162" s="1"/>
      <c r="M162" s="1"/>
      <c r="N162" s="1"/>
      <c r="O162" s="1"/>
      <c r="P162" s="1"/>
      <c r="Q162" s="1"/>
      <c r="R162" s="1"/>
      <c r="S162" s="1"/>
      <c r="T162" s="1"/>
      <c r="U162" s="1"/>
      <c r="V162" s="1"/>
      <c r="W162" s="1"/>
      <c r="X162" s="1"/>
      <c r="Y162" s="1"/>
      <c r="Z162" s="1"/>
      <c r="AA162" s="1"/>
      <c r="AB162" s="1"/>
      <c r="AC162" s="1"/>
    </row>
    <row r="163" spans="1:29" ht="15">
      <c r="A163" s="108" t="s">
        <v>94</v>
      </c>
      <c r="B163" s="109">
        <f>'3A1_3A2_3C6 INFO BASE'!B84</f>
        <v>10349</v>
      </c>
      <c r="C163" s="113"/>
      <c r="D163" s="119"/>
      <c r="F163" s="113"/>
      <c r="G163" s="113"/>
      <c r="H163" s="113"/>
      <c r="L163" s="1"/>
      <c r="M163" s="1"/>
      <c r="N163" s="1"/>
      <c r="O163" s="1"/>
      <c r="P163" s="1"/>
      <c r="Q163" s="1"/>
      <c r="R163" s="1"/>
      <c r="S163" s="1"/>
      <c r="T163" s="1"/>
      <c r="U163" s="1"/>
      <c r="V163" s="1"/>
      <c r="W163" s="1"/>
      <c r="X163" s="1"/>
      <c r="Y163" s="1"/>
      <c r="Z163" s="1"/>
      <c r="AA163" s="1"/>
      <c r="AB163" s="1"/>
      <c r="AC163" s="1"/>
    </row>
    <row r="164" spans="1:29" ht="15">
      <c r="A164" s="108" t="s">
        <v>95</v>
      </c>
      <c r="B164" s="109">
        <f>'3A1_3A2_3C6 INFO BASE'!B85</f>
        <v>36691</v>
      </c>
      <c r="C164" s="113"/>
      <c r="D164" s="119"/>
      <c r="F164" s="113"/>
      <c r="G164" s="113"/>
      <c r="H164" s="113"/>
      <c r="L164" s="1"/>
      <c r="M164" s="1"/>
      <c r="N164" s="1"/>
      <c r="O164" s="1"/>
      <c r="P164" s="1"/>
      <c r="Q164" s="1"/>
      <c r="R164" s="1"/>
      <c r="S164" s="1"/>
      <c r="T164" s="1"/>
      <c r="U164" s="1"/>
      <c r="V164" s="1"/>
      <c r="W164" s="1"/>
      <c r="X164" s="1"/>
      <c r="Y164" s="1"/>
      <c r="Z164" s="1"/>
      <c r="AA164" s="1"/>
      <c r="AB164" s="1"/>
      <c r="AC164" s="1"/>
    </row>
    <row r="165" spans="1:29" ht="15">
      <c r="A165" s="108" t="s">
        <v>96</v>
      </c>
      <c r="B165" s="109">
        <f>'3A1_3A2_3C6 INFO BASE'!B86</f>
        <v>43042</v>
      </c>
      <c r="C165" s="113"/>
      <c r="D165" s="119"/>
      <c r="F165" s="113"/>
      <c r="G165" s="113"/>
      <c r="H165" s="113"/>
      <c r="L165" s="1"/>
      <c r="M165" s="1"/>
      <c r="N165" s="1"/>
      <c r="O165" s="1"/>
      <c r="P165" s="1"/>
      <c r="Q165" s="1"/>
      <c r="R165" s="1"/>
      <c r="S165" s="1"/>
      <c r="T165" s="1"/>
      <c r="U165" s="1"/>
      <c r="V165" s="1"/>
      <c r="W165" s="1"/>
      <c r="X165" s="1"/>
      <c r="Y165" s="1"/>
      <c r="Z165" s="1"/>
      <c r="AA165" s="1"/>
      <c r="AB165" s="1"/>
      <c r="AC165" s="1"/>
    </row>
    <row r="166" spans="1:29" ht="15">
      <c r="A166" s="108" t="s">
        <v>97</v>
      </c>
      <c r="B166" s="109">
        <f>'3A1_3A2_3C6 INFO BASE'!B87</f>
        <v>20306</v>
      </c>
      <c r="C166" s="113"/>
      <c r="D166" s="119"/>
      <c r="F166" s="113"/>
      <c r="G166" s="113"/>
      <c r="H166" s="113"/>
      <c r="L166" s="1"/>
      <c r="M166" s="1"/>
      <c r="N166" s="1"/>
      <c r="O166" s="1"/>
      <c r="P166" s="1"/>
      <c r="Q166" s="1"/>
      <c r="R166" s="1"/>
      <c r="S166" s="1"/>
      <c r="T166" s="1"/>
      <c r="U166" s="1"/>
      <c r="V166" s="1"/>
      <c r="W166" s="1"/>
      <c r="X166" s="1"/>
      <c r="Y166" s="1"/>
      <c r="Z166" s="1"/>
      <c r="AA166" s="1"/>
      <c r="AB166" s="1"/>
      <c r="AC166" s="1"/>
    </row>
    <row r="167" spans="1:29" ht="15">
      <c r="A167" s="108" t="s">
        <v>98</v>
      </c>
      <c r="B167" s="109">
        <f>'3A1_3A2_3C6 INFO BASE'!B88</f>
        <v>77763</v>
      </c>
      <c r="C167" s="113"/>
      <c r="D167" s="119"/>
      <c r="F167" s="113"/>
      <c r="G167" s="113"/>
      <c r="H167" s="113"/>
      <c r="L167" s="1"/>
      <c r="M167" s="1"/>
      <c r="N167" s="1"/>
      <c r="O167" s="1"/>
      <c r="P167" s="1"/>
      <c r="Q167" s="1"/>
      <c r="R167" s="1"/>
      <c r="S167" s="1"/>
      <c r="T167" s="1"/>
      <c r="U167" s="1"/>
      <c r="V167" s="1"/>
      <c r="W167" s="1"/>
      <c r="X167" s="1"/>
      <c r="Y167" s="1"/>
      <c r="Z167" s="1"/>
      <c r="AA167" s="1"/>
      <c r="AB167" s="1"/>
      <c r="AC167" s="1"/>
    </row>
    <row r="168" spans="1:29" ht="15">
      <c r="A168" s="112" t="s">
        <v>99</v>
      </c>
      <c r="B168" s="109">
        <f>'3A1_3A2_3C6 INFO BASE'!B89</f>
        <v>1254</v>
      </c>
      <c r="C168" s="113"/>
      <c r="D168" s="119"/>
      <c r="F168" s="113"/>
      <c r="G168" s="113"/>
      <c r="H168" s="113"/>
      <c r="L168" s="1"/>
      <c r="M168" s="1"/>
      <c r="N168" s="1"/>
      <c r="O168" s="1"/>
      <c r="P168" s="1"/>
      <c r="Q168" s="1"/>
      <c r="R168" s="1"/>
      <c r="S168" s="1"/>
      <c r="T168" s="1"/>
      <c r="U168" s="1"/>
      <c r="V168" s="1"/>
      <c r="W168" s="1"/>
      <c r="X168" s="1"/>
      <c r="Y168" s="1"/>
      <c r="Z168" s="1"/>
      <c r="AA168" s="1"/>
      <c r="AB168" s="1"/>
      <c r="AC168" s="1"/>
    </row>
    <row r="169" spans="1:29" ht="15">
      <c r="A169" s="108" t="s">
        <v>100</v>
      </c>
      <c r="B169" s="109">
        <f>'3A1_3A2_3C6 INFO BASE'!B90</f>
        <v>1610</v>
      </c>
      <c r="C169" s="113"/>
      <c r="D169" s="119"/>
      <c r="F169" s="113"/>
      <c r="G169" s="113"/>
      <c r="H169" s="113"/>
      <c r="L169" s="1"/>
      <c r="M169" s="1"/>
      <c r="N169" s="1"/>
      <c r="O169" s="1"/>
      <c r="P169" s="1"/>
      <c r="Q169" s="1"/>
      <c r="R169" s="1"/>
      <c r="S169" s="1"/>
      <c r="T169" s="1"/>
      <c r="U169" s="1"/>
      <c r="V169" s="1"/>
      <c r="W169" s="1"/>
      <c r="X169" s="1"/>
      <c r="Y169" s="1"/>
      <c r="Z169" s="1"/>
      <c r="AA169" s="1"/>
      <c r="AB169" s="1"/>
      <c r="AC169" s="1"/>
    </row>
    <row r="170" spans="1:29" ht="15">
      <c r="A170" s="108" t="s">
        <v>101</v>
      </c>
      <c r="B170" s="109">
        <f>'3A1_3A2_3C6 INFO BASE'!B91</f>
        <v>5302</v>
      </c>
      <c r="C170" s="113"/>
      <c r="D170" s="119"/>
      <c r="F170" s="113"/>
      <c r="G170" s="113"/>
      <c r="H170" s="113"/>
      <c r="L170" s="1"/>
      <c r="M170" s="1"/>
      <c r="N170" s="1"/>
      <c r="O170" s="1"/>
      <c r="P170" s="1"/>
      <c r="Q170" s="1"/>
      <c r="R170" s="1"/>
      <c r="S170" s="1"/>
      <c r="T170" s="1"/>
      <c r="U170" s="1"/>
      <c r="V170" s="1"/>
      <c r="W170" s="1"/>
      <c r="X170" s="1"/>
      <c r="Y170" s="1"/>
      <c r="Z170" s="1"/>
      <c r="AA170" s="1"/>
      <c r="AB170" s="1"/>
      <c r="AC170" s="1"/>
    </row>
    <row r="171" spans="1:29" ht="15">
      <c r="A171" s="108" t="s">
        <v>102</v>
      </c>
      <c r="B171" s="109">
        <f>'3A1_3A2_3C6 INFO BASE'!B92</f>
        <v>26348</v>
      </c>
      <c r="C171" s="113"/>
      <c r="D171" s="119"/>
      <c r="F171" s="113"/>
      <c r="G171" s="113"/>
      <c r="H171" s="113"/>
      <c r="L171" s="1"/>
      <c r="M171" s="1"/>
      <c r="N171" s="1"/>
      <c r="O171" s="1"/>
      <c r="P171" s="1"/>
      <c r="Q171" s="1"/>
      <c r="R171" s="1"/>
      <c r="S171" s="1"/>
      <c r="T171" s="1"/>
      <c r="U171" s="1"/>
      <c r="V171" s="1"/>
      <c r="W171" s="1"/>
      <c r="X171" s="1"/>
      <c r="Y171" s="1"/>
      <c r="Z171" s="1"/>
      <c r="AA171" s="1"/>
      <c r="AB171" s="1"/>
      <c r="AC171" s="1"/>
    </row>
    <row r="172" spans="1:29" ht="15">
      <c r="A172" s="108" t="s">
        <v>103</v>
      </c>
      <c r="B172" s="109">
        <f>'3A1_3A2_3C6 INFO BASE'!B93</f>
        <v>30915</v>
      </c>
      <c r="C172" s="113"/>
      <c r="D172" s="119"/>
      <c r="F172" s="113"/>
      <c r="G172" s="113"/>
      <c r="H172" s="113"/>
      <c r="L172" s="1"/>
      <c r="M172" s="1"/>
      <c r="N172" s="1"/>
      <c r="O172" s="1"/>
      <c r="P172" s="1"/>
      <c r="Q172" s="1"/>
      <c r="R172" s="1"/>
      <c r="S172" s="1"/>
      <c r="T172" s="1"/>
      <c r="U172" s="1"/>
      <c r="V172" s="1"/>
      <c r="W172" s="1"/>
      <c r="X172" s="1"/>
      <c r="Y172" s="1"/>
      <c r="Z172" s="1"/>
      <c r="AA172" s="1"/>
      <c r="AB172" s="1"/>
      <c r="AC172" s="1"/>
    </row>
    <row r="173" spans="1:29" ht="15">
      <c r="A173" s="108" t="s">
        <v>104</v>
      </c>
      <c r="B173" s="109">
        <f>'3A1_3A2_3C6 INFO BASE'!B94</f>
        <v>102805</v>
      </c>
      <c r="C173" s="113"/>
      <c r="D173" s="119"/>
      <c r="F173" s="113"/>
      <c r="G173" s="113"/>
      <c r="H173" s="113"/>
      <c r="L173" s="1"/>
      <c r="M173" s="1"/>
      <c r="N173" s="1"/>
      <c r="O173" s="1"/>
      <c r="P173" s="1"/>
      <c r="Q173" s="1"/>
      <c r="R173" s="1"/>
      <c r="S173" s="1"/>
      <c r="T173" s="1"/>
      <c r="U173" s="1"/>
      <c r="V173" s="1"/>
      <c r="W173" s="1"/>
      <c r="X173" s="1"/>
      <c r="Y173" s="1"/>
      <c r="Z173" s="1"/>
      <c r="AA173" s="1"/>
      <c r="AB173" s="1"/>
      <c r="AC173" s="1"/>
    </row>
    <row r="174" spans="1:29" ht="15">
      <c r="A174" s="112" t="s">
        <v>105</v>
      </c>
      <c r="B174" s="109">
        <f>'3A1_3A2_3C6 INFO BASE'!B95</f>
        <v>18813</v>
      </c>
      <c r="C174" s="113"/>
      <c r="D174" s="119"/>
      <c r="F174" s="113"/>
      <c r="G174" s="113"/>
      <c r="H174" s="113"/>
      <c r="L174" s="1"/>
      <c r="M174" s="1"/>
      <c r="N174" s="1"/>
      <c r="O174" s="1"/>
      <c r="P174" s="1"/>
      <c r="Q174" s="1"/>
      <c r="R174" s="1"/>
      <c r="S174" s="1"/>
      <c r="T174" s="1"/>
      <c r="U174" s="1"/>
      <c r="V174" s="1"/>
      <c r="W174" s="1"/>
      <c r="X174" s="1"/>
      <c r="Y174" s="1"/>
      <c r="Z174" s="1"/>
      <c r="AA174" s="1"/>
      <c r="AB174" s="1"/>
      <c r="AC174" s="1"/>
    </row>
    <row r="175" spans="1:29" ht="15">
      <c r="A175" s="108" t="s">
        <v>106</v>
      </c>
      <c r="B175" s="109">
        <f>'3A1_3A2_3C6 INFO BASE'!B96</f>
        <v>5702</v>
      </c>
      <c r="C175" s="113"/>
      <c r="D175" s="119"/>
      <c r="F175" s="113"/>
      <c r="G175" s="113"/>
      <c r="H175" s="113"/>
      <c r="L175" s="1"/>
      <c r="M175" s="1"/>
      <c r="N175" s="1"/>
      <c r="O175" s="1"/>
      <c r="P175" s="1"/>
      <c r="Q175" s="1"/>
      <c r="R175" s="1"/>
      <c r="S175" s="1"/>
      <c r="T175" s="1"/>
      <c r="U175" s="1"/>
      <c r="V175" s="1"/>
      <c r="W175" s="1"/>
      <c r="X175" s="1"/>
      <c r="Y175" s="1"/>
      <c r="Z175" s="1"/>
      <c r="AA175" s="1"/>
      <c r="AB175" s="1"/>
      <c r="AC175" s="1"/>
    </row>
    <row r="176" spans="1:29" ht="15">
      <c r="A176" s="108" t="s">
        <v>107</v>
      </c>
      <c r="B176" s="109">
        <f>'3A1_3A2_3C6 INFO BASE'!B97</f>
        <v>422</v>
      </c>
      <c r="C176" s="113"/>
      <c r="D176" s="119"/>
      <c r="F176" s="113"/>
      <c r="G176" s="113"/>
      <c r="H176" s="113"/>
      <c r="L176" s="1"/>
      <c r="M176" s="1"/>
      <c r="N176" s="1"/>
      <c r="O176" s="1"/>
      <c r="P176" s="1"/>
      <c r="Q176" s="1"/>
      <c r="R176" s="1"/>
      <c r="S176" s="1"/>
      <c r="T176" s="1"/>
      <c r="U176" s="1"/>
      <c r="V176" s="1"/>
      <c r="W176" s="1"/>
      <c r="X176" s="1"/>
      <c r="Y176" s="1"/>
      <c r="Z176" s="1"/>
      <c r="AA176" s="1"/>
      <c r="AB176" s="1"/>
      <c r="AC176" s="1"/>
    </row>
    <row r="177" spans="1:29" ht="15">
      <c r="A177" s="108" t="s">
        <v>108</v>
      </c>
      <c r="B177" s="109">
        <f>'3A1_3A2_3C6 INFO BASE'!B98</f>
        <v>4441</v>
      </c>
      <c r="C177" s="113"/>
      <c r="D177" s="119"/>
      <c r="F177" s="113"/>
      <c r="G177" s="113"/>
      <c r="H177" s="113"/>
      <c r="L177" s="1"/>
      <c r="M177" s="1"/>
      <c r="N177" s="1"/>
      <c r="O177" s="1"/>
      <c r="P177" s="1"/>
      <c r="Q177" s="1"/>
      <c r="R177" s="1"/>
      <c r="S177" s="1"/>
      <c r="T177" s="1"/>
      <c r="U177" s="1"/>
      <c r="V177" s="1"/>
      <c r="W177" s="1"/>
      <c r="X177" s="1"/>
      <c r="Y177" s="1"/>
      <c r="Z177" s="1"/>
      <c r="AA177" s="1"/>
      <c r="AB177" s="1"/>
      <c r="AC177" s="1"/>
    </row>
    <row r="178" spans="12:29" ht="15">
      <c r="L178" s="1"/>
      <c r="M178" s="1"/>
      <c r="N178" s="1"/>
      <c r="O178" s="1"/>
      <c r="P178" s="1"/>
      <c r="Q178" s="1"/>
      <c r="R178" s="1"/>
      <c r="S178" s="1"/>
      <c r="T178" s="1"/>
      <c r="U178" s="1"/>
      <c r="V178" s="1"/>
      <c r="W178" s="1"/>
      <c r="X178" s="1"/>
      <c r="Y178" s="1"/>
      <c r="Z178" s="1"/>
      <c r="AA178" s="1"/>
      <c r="AB178" s="1"/>
      <c r="AC178" s="1"/>
    </row>
    <row r="179" spans="1:29" ht="15">
      <c r="A179" s="102" t="s">
        <v>79</v>
      </c>
      <c r="B179" s="1162">
        <v>7</v>
      </c>
      <c r="C179" s="1162"/>
      <c r="D179" s="1162"/>
      <c r="E179" s="1162"/>
      <c r="F179" s="1162"/>
      <c r="G179" s="1162"/>
      <c r="H179" s="1162"/>
      <c r="J179" s="6"/>
      <c r="K179" s="507" t="s">
        <v>989</v>
      </c>
      <c r="L179" s="6"/>
      <c r="M179" s="6"/>
      <c r="N179" s="6"/>
      <c r="O179" s="6"/>
      <c r="P179" s="1"/>
      <c r="Q179" s="1"/>
      <c r="R179" s="1"/>
      <c r="S179" s="1"/>
      <c r="T179" s="1"/>
      <c r="U179" s="1"/>
      <c r="V179" s="1"/>
      <c r="W179" s="1"/>
      <c r="X179" s="1"/>
      <c r="Y179" s="1"/>
      <c r="Z179" s="1"/>
      <c r="AA179" s="1"/>
      <c r="AB179" s="1"/>
      <c r="AC179" s="1"/>
    </row>
    <row r="180" spans="1:29" ht="12.75">
      <c r="A180" s="104" t="s">
        <v>80</v>
      </c>
      <c r="B180" s="1169" t="s">
        <v>1013</v>
      </c>
      <c r="C180" s="1170"/>
      <c r="D180" s="1170"/>
      <c r="E180" s="1170"/>
      <c r="F180" s="1170"/>
      <c r="G180" s="1170"/>
      <c r="H180" s="1171"/>
      <c r="J180" s="6"/>
      <c r="K180" s="6"/>
      <c r="L180" s="6"/>
      <c r="M180" s="6"/>
      <c r="N180" s="6"/>
      <c r="O180" s="6"/>
      <c r="P180" s="1"/>
      <c r="Q180" s="1"/>
      <c r="R180" s="1"/>
      <c r="S180" s="1"/>
      <c r="T180" s="1"/>
      <c r="U180" s="1"/>
      <c r="V180" s="1"/>
      <c r="W180" s="1"/>
      <c r="X180" s="1"/>
      <c r="Y180" s="1"/>
      <c r="Z180" s="1"/>
      <c r="AA180" s="1"/>
      <c r="AB180" s="1"/>
      <c r="AC180" s="1"/>
    </row>
    <row r="181" spans="1:29" ht="43.5" customHeight="1">
      <c r="A181" s="104" t="s">
        <v>81</v>
      </c>
      <c r="B181" s="1161" t="s">
        <v>1015</v>
      </c>
      <c r="C181" s="1161"/>
      <c r="D181" s="1161"/>
      <c r="E181" s="1161"/>
      <c r="F181" s="1161"/>
      <c r="G181" s="1161"/>
      <c r="H181" s="1161"/>
      <c r="J181" s="6"/>
      <c r="K181" s="6"/>
      <c r="L181" s="6"/>
      <c r="M181" s="6"/>
      <c r="N181" s="6"/>
      <c r="O181" s="6"/>
      <c r="P181" s="1"/>
      <c r="Q181" s="1"/>
      <c r="R181" s="1"/>
      <c r="S181" s="1"/>
      <c r="T181" s="1"/>
      <c r="U181" s="1"/>
      <c r="V181" s="1"/>
      <c r="W181" s="1"/>
      <c r="X181" s="1"/>
      <c r="Y181" s="1"/>
      <c r="Z181" s="1"/>
      <c r="AA181" s="1"/>
      <c r="AB181" s="1"/>
      <c r="AC181" s="1"/>
    </row>
    <row r="182" spans="1:29" ht="15">
      <c r="A182" s="104" t="s">
        <v>82</v>
      </c>
      <c r="B182" s="1172"/>
      <c r="C182" s="1162"/>
      <c r="D182" s="1162"/>
      <c r="E182" s="1162"/>
      <c r="F182" s="1162"/>
      <c r="G182" s="1162"/>
      <c r="H182" s="1162"/>
      <c r="J182" s="6"/>
      <c r="K182" s="6"/>
      <c r="L182" s="6"/>
      <c r="M182" s="6"/>
      <c r="N182" s="6"/>
      <c r="O182" s="6"/>
      <c r="P182" s="1"/>
      <c r="Q182" s="1"/>
      <c r="R182" s="1"/>
      <c r="S182" s="1"/>
      <c r="T182" s="1"/>
      <c r="U182" s="1"/>
      <c r="V182" s="1"/>
      <c r="W182" s="1"/>
      <c r="X182" s="1"/>
      <c r="Y182" s="1"/>
      <c r="Z182" s="1"/>
      <c r="AA182" s="1"/>
      <c r="AB182" s="1"/>
      <c r="AC182" s="1"/>
    </row>
    <row r="183" spans="1:29" ht="15">
      <c r="A183" s="104" t="s">
        <v>83</v>
      </c>
      <c r="B183" s="1168"/>
      <c r="C183" s="1162"/>
      <c r="D183" s="1162"/>
      <c r="E183" s="1162"/>
      <c r="F183" s="1162"/>
      <c r="G183" s="1162"/>
      <c r="H183" s="1162"/>
      <c r="L183" s="1"/>
      <c r="M183" s="1"/>
      <c r="N183" s="1"/>
      <c r="O183" s="1"/>
      <c r="P183" s="1"/>
      <c r="Q183" s="1"/>
      <c r="R183" s="1"/>
      <c r="S183" s="1"/>
      <c r="T183" s="1"/>
      <c r="U183" s="1"/>
      <c r="V183" s="1"/>
      <c r="W183" s="1"/>
      <c r="X183" s="1"/>
      <c r="Y183" s="1"/>
      <c r="Z183" s="1"/>
      <c r="AA183" s="1"/>
      <c r="AB183" s="1"/>
      <c r="AC183" s="1"/>
    </row>
    <row r="184" spans="1:29" ht="15">
      <c r="A184" s="104" t="s">
        <v>84</v>
      </c>
      <c r="B184" s="1162"/>
      <c r="C184" s="1162"/>
      <c r="D184" s="1162"/>
      <c r="E184" s="1162"/>
      <c r="F184" s="1162"/>
      <c r="G184" s="1162"/>
      <c r="H184" s="1162"/>
      <c r="L184" s="1"/>
      <c r="M184" s="1"/>
      <c r="N184" s="1"/>
      <c r="O184" s="1"/>
      <c r="P184" s="1"/>
      <c r="Q184" s="1"/>
      <c r="R184" s="1"/>
      <c r="S184" s="1"/>
      <c r="T184" s="1"/>
      <c r="U184" s="1"/>
      <c r="V184" s="1"/>
      <c r="W184" s="1"/>
      <c r="X184" s="1"/>
      <c r="Y184" s="1"/>
      <c r="Z184" s="1"/>
      <c r="AA184" s="1"/>
      <c r="AB184" s="1"/>
      <c r="AC184" s="1"/>
    </row>
    <row r="185" spans="1:29" ht="15">
      <c r="A185" s="105" t="s">
        <v>395</v>
      </c>
      <c r="B185" s="529" t="s">
        <v>1014</v>
      </c>
      <c r="L185" s="1"/>
      <c r="M185" s="1"/>
      <c r="N185" s="1"/>
      <c r="O185" s="1"/>
      <c r="P185" s="1"/>
      <c r="Q185" s="1"/>
      <c r="R185" s="1"/>
      <c r="S185" s="1"/>
      <c r="T185" s="1"/>
      <c r="U185" s="1"/>
      <c r="V185" s="1"/>
      <c r="W185" s="1"/>
      <c r="X185" s="1"/>
      <c r="Y185" s="1"/>
      <c r="Z185" s="1"/>
      <c r="AA185" s="1"/>
      <c r="AB185" s="1"/>
      <c r="AC185" s="1"/>
    </row>
    <row r="186" spans="1:29" ht="51.75">
      <c r="A186" s="216" t="s">
        <v>400</v>
      </c>
      <c r="B186" s="217">
        <v>0</v>
      </c>
      <c r="L186" s="1"/>
      <c r="M186" s="1"/>
      <c r="N186" s="1"/>
      <c r="O186" s="1"/>
      <c r="P186" s="1"/>
      <c r="Q186" s="1"/>
      <c r="R186" s="1"/>
      <c r="S186" s="1"/>
      <c r="T186" s="1"/>
      <c r="U186" s="1"/>
      <c r="V186" s="1"/>
      <c r="W186" s="1"/>
      <c r="X186" s="1"/>
      <c r="Y186" s="1"/>
      <c r="Z186" s="1"/>
      <c r="AA186" s="1"/>
      <c r="AB186" s="1"/>
      <c r="AC186" s="1"/>
    </row>
    <row r="187" spans="1:29" ht="26.25">
      <c r="A187" s="216" t="s">
        <v>403</v>
      </c>
      <c r="B187" s="217">
        <v>-34.461720445778724</v>
      </c>
      <c r="L187" s="1"/>
      <c r="M187" s="1"/>
      <c r="N187" s="1"/>
      <c r="O187" s="1"/>
      <c r="P187" s="1"/>
      <c r="Q187" s="1"/>
      <c r="R187" s="1"/>
      <c r="S187" s="1"/>
      <c r="T187" s="1"/>
      <c r="U187" s="1"/>
      <c r="V187" s="1"/>
      <c r="W187" s="1"/>
      <c r="X187" s="1"/>
      <c r="Y187" s="1"/>
      <c r="Z187" s="1"/>
      <c r="AA187" s="1"/>
      <c r="AB187" s="1"/>
      <c r="AC187" s="1"/>
    </row>
    <row r="188" spans="1:29" ht="51.75">
      <c r="A188" s="216" t="s">
        <v>401</v>
      </c>
      <c r="B188" s="217">
        <v>0</v>
      </c>
      <c r="L188" s="1"/>
      <c r="M188" s="1"/>
      <c r="N188" s="1"/>
      <c r="O188" s="1"/>
      <c r="P188" s="1"/>
      <c r="Q188" s="1"/>
      <c r="R188" s="1"/>
      <c r="S188" s="1"/>
      <c r="T188" s="1"/>
      <c r="U188" s="1"/>
      <c r="V188" s="1"/>
      <c r="W188" s="1"/>
      <c r="X188" s="1"/>
      <c r="Y188" s="1"/>
      <c r="Z188" s="1"/>
      <c r="AA188" s="1"/>
      <c r="AB188" s="1"/>
      <c r="AC188" s="1"/>
    </row>
    <row r="189" spans="1:29" ht="39">
      <c r="A189" s="216" t="s">
        <v>404</v>
      </c>
      <c r="B189" s="217">
        <v>1456.686693602079</v>
      </c>
      <c r="L189" s="1"/>
      <c r="M189" s="1"/>
      <c r="N189" s="1"/>
      <c r="O189" s="1"/>
      <c r="P189" s="1"/>
      <c r="Q189" s="1"/>
      <c r="R189" s="1"/>
      <c r="S189" s="1"/>
      <c r="T189" s="1"/>
      <c r="U189" s="1"/>
      <c r="V189" s="1"/>
      <c r="W189" s="1"/>
      <c r="X189" s="1"/>
      <c r="Y189" s="1"/>
      <c r="Z189" s="1"/>
      <c r="AA189" s="1"/>
      <c r="AB189" s="1"/>
      <c r="AC189" s="1"/>
    </row>
    <row r="190" spans="1:29" ht="39">
      <c r="A190" s="216" t="s">
        <v>402</v>
      </c>
      <c r="B190" s="217">
        <v>0</v>
      </c>
      <c r="L190" s="1"/>
      <c r="M190" s="1"/>
      <c r="N190" s="1"/>
      <c r="O190" s="1"/>
      <c r="P190" s="1"/>
      <c r="Q190" s="1"/>
      <c r="R190" s="1"/>
      <c r="S190" s="1"/>
      <c r="T190" s="1"/>
      <c r="U190" s="1"/>
      <c r="V190" s="1"/>
      <c r="W190" s="1"/>
      <c r="X190" s="1"/>
      <c r="Y190" s="1"/>
      <c r="Z190" s="1"/>
      <c r="AA190" s="1"/>
      <c r="AB190" s="1"/>
      <c r="AC190" s="1"/>
    </row>
    <row r="191" spans="1:29" ht="39">
      <c r="A191" s="216" t="s">
        <v>405</v>
      </c>
      <c r="B191" s="217">
        <v>1034.8657259345423</v>
      </c>
      <c r="L191" s="1"/>
      <c r="M191" s="1"/>
      <c r="N191" s="1"/>
      <c r="O191" s="1"/>
      <c r="P191" s="1"/>
      <c r="Q191" s="1"/>
      <c r="R191" s="1"/>
      <c r="S191" s="1"/>
      <c r="T191" s="1"/>
      <c r="U191" s="1"/>
      <c r="V191" s="1"/>
      <c r="W191" s="1"/>
      <c r="X191" s="1"/>
      <c r="Y191" s="1"/>
      <c r="Z191" s="1"/>
      <c r="AA191" s="1"/>
      <c r="AB191" s="1"/>
      <c r="AC191" s="1"/>
    </row>
    <row r="192" spans="1:29" ht="15">
      <c r="A192" s="216" t="s">
        <v>398</v>
      </c>
      <c r="B192" s="217">
        <v>-34.889194292994276</v>
      </c>
      <c r="L192" s="1"/>
      <c r="M192" s="1"/>
      <c r="N192" s="1"/>
      <c r="O192" s="1"/>
      <c r="P192" s="1"/>
      <c r="Q192" s="1"/>
      <c r="R192" s="1"/>
      <c r="S192" s="1"/>
      <c r="T192" s="1"/>
      <c r="U192" s="1"/>
      <c r="V192" s="1"/>
      <c r="W192" s="1"/>
      <c r="X192" s="1"/>
      <c r="Y192" s="1"/>
      <c r="Z192" s="1"/>
      <c r="AA192" s="1"/>
      <c r="AB192" s="1"/>
      <c r="AC192" s="1"/>
    </row>
    <row r="193" spans="1:29" ht="15">
      <c r="A193" s="216" t="s">
        <v>399</v>
      </c>
      <c r="B193" s="217">
        <v>-87.34459291861907</v>
      </c>
      <c r="L193" s="1"/>
      <c r="M193" s="1"/>
      <c r="N193" s="1"/>
      <c r="O193" s="1"/>
      <c r="P193" s="1"/>
      <c r="Q193" s="1"/>
      <c r="R193" s="1"/>
      <c r="S193" s="1"/>
      <c r="T193" s="1"/>
      <c r="U193" s="1"/>
      <c r="V193" s="1"/>
      <c r="W193" s="1"/>
      <c r="X193" s="1"/>
      <c r="Y193" s="1"/>
      <c r="Z193" s="1"/>
      <c r="AA193" s="1"/>
      <c r="AB193" s="1"/>
      <c r="AC193" s="1"/>
    </row>
    <row r="194" spans="12:29" ht="15">
      <c r="L194" s="1"/>
      <c r="M194" s="1"/>
      <c r="N194" s="1"/>
      <c r="O194" s="1"/>
      <c r="P194" s="1"/>
      <c r="Q194" s="1"/>
      <c r="R194" s="1"/>
      <c r="S194" s="1"/>
      <c r="T194" s="1"/>
      <c r="U194" s="1"/>
      <c r="V194" s="1"/>
      <c r="W194" s="1"/>
      <c r="X194" s="1"/>
      <c r="Y194" s="1"/>
      <c r="Z194" s="1"/>
      <c r="AA194" s="1"/>
      <c r="AB194" s="1"/>
      <c r="AC194" s="1"/>
    </row>
    <row r="195" spans="12:29" ht="15">
      <c r="L195" s="1"/>
      <c r="M195" s="1"/>
      <c r="N195" s="1"/>
      <c r="O195" s="1"/>
      <c r="P195" s="1"/>
      <c r="Q195" s="1"/>
      <c r="R195" s="1"/>
      <c r="S195" s="1"/>
      <c r="T195" s="1"/>
      <c r="U195" s="1"/>
      <c r="V195" s="1"/>
      <c r="W195" s="1"/>
      <c r="X195" s="1"/>
      <c r="Y195" s="1"/>
      <c r="Z195" s="1"/>
      <c r="AA195" s="1"/>
      <c r="AB195" s="1"/>
      <c r="AC195" s="1"/>
    </row>
    <row r="196" spans="12:29" ht="15">
      <c r="L196" s="1"/>
      <c r="M196" s="1"/>
      <c r="N196" s="1"/>
      <c r="O196" s="1"/>
      <c r="P196" s="1"/>
      <c r="Q196" s="1"/>
      <c r="R196" s="1"/>
      <c r="S196" s="1"/>
      <c r="T196" s="1"/>
      <c r="U196" s="1"/>
      <c r="V196" s="1"/>
      <c r="W196" s="1"/>
      <c r="X196" s="1"/>
      <c r="Y196" s="1"/>
      <c r="Z196" s="1"/>
      <c r="AA196" s="1"/>
      <c r="AB196" s="1"/>
      <c r="AC196" s="1"/>
    </row>
    <row r="197" spans="12:29" ht="15">
      <c r="L197" s="1"/>
      <c r="M197" s="1"/>
      <c r="N197" s="1"/>
      <c r="O197" s="1"/>
      <c r="P197" s="1"/>
      <c r="Q197" s="1"/>
      <c r="R197" s="1"/>
      <c r="S197" s="1"/>
      <c r="T197" s="1"/>
      <c r="U197" s="1"/>
      <c r="V197" s="1"/>
      <c r="W197" s="1"/>
      <c r="X197" s="1"/>
      <c r="Y197" s="1"/>
      <c r="Z197" s="1"/>
      <c r="AA197" s="1"/>
      <c r="AB197" s="1"/>
      <c r="AC197" s="1"/>
    </row>
    <row r="198" spans="12:29" ht="15">
      <c r="L198" s="1"/>
      <c r="M198" s="1"/>
      <c r="N198" s="1"/>
      <c r="O198" s="1"/>
      <c r="P198" s="1"/>
      <c r="Q198" s="1"/>
      <c r="R198" s="1"/>
      <c r="S198" s="1"/>
      <c r="T198" s="1"/>
      <c r="U198" s="1"/>
      <c r="V198" s="1"/>
      <c r="W198" s="1"/>
      <c r="X198" s="1"/>
      <c r="Y198" s="1"/>
      <c r="Z198" s="1"/>
      <c r="AA198" s="1"/>
      <c r="AB198" s="1"/>
      <c r="AC198" s="1"/>
    </row>
    <row r="199" spans="12:29" ht="15">
      <c r="L199" s="1"/>
      <c r="M199" s="1"/>
      <c r="N199" s="1"/>
      <c r="O199" s="1"/>
      <c r="P199" s="1"/>
      <c r="Q199" s="1"/>
      <c r="R199" s="1"/>
      <c r="S199" s="1"/>
      <c r="T199" s="1"/>
      <c r="U199" s="1"/>
      <c r="V199" s="1"/>
      <c r="W199" s="1"/>
      <c r="X199" s="1"/>
      <c r="Y199" s="1"/>
      <c r="Z199" s="1"/>
      <c r="AA199" s="1"/>
      <c r="AB199" s="1"/>
      <c r="AC199" s="1"/>
    </row>
    <row r="200" spans="12:29" ht="15">
      <c r="L200" s="1"/>
      <c r="M200" s="1"/>
      <c r="N200" s="1"/>
      <c r="O200" s="1"/>
      <c r="P200" s="1"/>
      <c r="Q200" s="1"/>
      <c r="R200" s="1"/>
      <c r="S200" s="1"/>
      <c r="T200" s="1"/>
      <c r="U200" s="1"/>
      <c r="V200" s="1"/>
      <c r="W200" s="1"/>
      <c r="X200" s="1"/>
      <c r="Y200" s="1"/>
      <c r="Z200" s="1"/>
      <c r="AA200" s="1"/>
      <c r="AB200" s="1"/>
      <c r="AC200" s="1"/>
    </row>
    <row r="201" spans="12:29" ht="15">
      <c r="L201" s="1"/>
      <c r="M201" s="1"/>
      <c r="N201" s="1"/>
      <c r="O201" s="1"/>
      <c r="P201" s="1"/>
      <c r="Q201" s="1"/>
      <c r="R201" s="1"/>
      <c r="S201" s="1"/>
      <c r="T201" s="1"/>
      <c r="U201" s="1"/>
      <c r="V201" s="1"/>
      <c r="W201" s="1"/>
      <c r="X201" s="1"/>
      <c r="Y201" s="1"/>
      <c r="Z201" s="1"/>
      <c r="AA201" s="1"/>
      <c r="AB201" s="1"/>
      <c r="AC201" s="1"/>
    </row>
    <row r="202" spans="12:29" ht="15">
      <c r="L202" s="1"/>
      <c r="M202" s="1"/>
      <c r="N202" s="1"/>
      <c r="O202" s="1"/>
      <c r="P202" s="1"/>
      <c r="Q202" s="1"/>
      <c r="R202" s="1"/>
      <c r="S202" s="1"/>
      <c r="T202" s="1"/>
      <c r="U202" s="1"/>
      <c r="V202" s="1"/>
      <c r="W202" s="1"/>
      <c r="X202" s="1"/>
      <c r="Y202" s="1"/>
      <c r="Z202" s="1"/>
      <c r="AA202" s="1"/>
      <c r="AB202" s="1"/>
      <c r="AC202" s="1"/>
    </row>
    <row r="203" spans="12:29" ht="15">
      <c r="L203" s="1"/>
      <c r="M203" s="1"/>
      <c r="N203" s="1"/>
      <c r="O203" s="1"/>
      <c r="P203" s="1"/>
      <c r="Q203" s="1"/>
      <c r="R203" s="1"/>
      <c r="S203" s="1"/>
      <c r="T203" s="1"/>
      <c r="U203" s="1"/>
      <c r="V203" s="1"/>
      <c r="W203" s="1"/>
      <c r="X203" s="1"/>
      <c r="Y203" s="1"/>
      <c r="Z203" s="1"/>
      <c r="AA203" s="1"/>
      <c r="AB203" s="1"/>
      <c r="AC203" s="1"/>
    </row>
    <row r="204" spans="12:29" ht="15">
      <c r="L204" s="1"/>
      <c r="M204" s="1"/>
      <c r="N204" s="1"/>
      <c r="O204" s="1"/>
      <c r="P204" s="1"/>
      <c r="Q204" s="1"/>
      <c r="R204" s="1"/>
      <c r="S204" s="1"/>
      <c r="T204" s="1"/>
      <c r="U204" s="1"/>
      <c r="V204" s="1"/>
      <c r="W204" s="1"/>
      <c r="X204" s="1"/>
      <c r="Y204" s="1"/>
      <c r="Z204" s="1"/>
      <c r="AA204" s="1"/>
      <c r="AB204" s="1"/>
      <c r="AC204" s="1"/>
    </row>
    <row r="205" spans="12:29" ht="15">
      <c r="L205" s="1"/>
      <c r="M205" s="1"/>
      <c r="N205" s="1"/>
      <c r="O205" s="1"/>
      <c r="P205" s="1"/>
      <c r="Q205" s="1"/>
      <c r="R205" s="1"/>
      <c r="S205" s="1"/>
      <c r="T205" s="1"/>
      <c r="U205" s="1"/>
      <c r="V205" s="1"/>
      <c r="W205" s="1"/>
      <c r="X205" s="1"/>
      <c r="Y205" s="1"/>
      <c r="Z205" s="1"/>
      <c r="AA205" s="1"/>
      <c r="AB205" s="1"/>
      <c r="AC205" s="1"/>
    </row>
    <row r="206" spans="12:29" ht="15">
      <c r="L206" s="1"/>
      <c r="M206" s="1"/>
      <c r="N206" s="1"/>
      <c r="O206" s="1"/>
      <c r="P206" s="1"/>
      <c r="Q206" s="1"/>
      <c r="R206" s="1"/>
      <c r="S206" s="1"/>
      <c r="T206" s="1"/>
      <c r="U206" s="1"/>
      <c r="V206" s="1"/>
      <c r="W206" s="1"/>
      <c r="X206" s="1"/>
      <c r="Y206" s="1"/>
      <c r="Z206" s="1"/>
      <c r="AA206" s="1"/>
      <c r="AB206" s="1"/>
      <c r="AC206" s="1"/>
    </row>
    <row r="207" spans="12:29" ht="15">
      <c r="L207" s="1"/>
      <c r="M207" s="1"/>
      <c r="N207" s="1"/>
      <c r="O207" s="1"/>
      <c r="P207" s="1"/>
      <c r="Q207" s="1"/>
      <c r="R207" s="1"/>
      <c r="S207" s="1"/>
      <c r="T207" s="1"/>
      <c r="U207" s="1"/>
      <c r="V207" s="1"/>
      <c r="W207" s="1"/>
      <c r="X207" s="1"/>
      <c r="Y207" s="1"/>
      <c r="Z207" s="1"/>
      <c r="AA207" s="1"/>
      <c r="AB207" s="1"/>
      <c r="AC207" s="1"/>
    </row>
    <row r="208" spans="12:29" ht="15">
      <c r="L208" s="1"/>
      <c r="M208" s="1"/>
      <c r="N208" s="1"/>
      <c r="O208" s="1"/>
      <c r="P208" s="1"/>
      <c r="Q208" s="1"/>
      <c r="R208" s="1"/>
      <c r="S208" s="1"/>
      <c r="T208" s="1"/>
      <c r="U208" s="1"/>
      <c r="V208" s="1"/>
      <c r="W208" s="1"/>
      <c r="X208" s="1"/>
      <c r="Y208" s="1"/>
      <c r="Z208" s="1"/>
      <c r="AA208" s="1"/>
      <c r="AB208" s="1"/>
      <c r="AC208" s="1"/>
    </row>
    <row r="209" spans="12:29" ht="15">
      <c r="L209" s="1"/>
      <c r="M209" s="1"/>
      <c r="N209" s="1"/>
      <c r="O209" s="1"/>
      <c r="P209" s="1"/>
      <c r="Q209" s="1"/>
      <c r="R209" s="1"/>
      <c r="S209" s="1"/>
      <c r="T209" s="1"/>
      <c r="U209" s="1"/>
      <c r="V209" s="1"/>
      <c r="W209" s="1"/>
      <c r="X209" s="1"/>
      <c r="Y209" s="1"/>
      <c r="Z209" s="1"/>
      <c r="AA209" s="1"/>
      <c r="AB209" s="1"/>
      <c r="AC209" s="1"/>
    </row>
    <row r="210" spans="12:29" ht="15">
      <c r="L210" s="1"/>
      <c r="M210" s="1"/>
      <c r="N210" s="1"/>
      <c r="O210" s="1"/>
      <c r="P210" s="1"/>
      <c r="Q210" s="1"/>
      <c r="R210" s="1"/>
      <c r="S210" s="1"/>
      <c r="T210" s="1"/>
      <c r="U210" s="1"/>
      <c r="V210" s="1"/>
      <c r="W210" s="1"/>
      <c r="X210" s="1"/>
      <c r="Y210" s="1"/>
      <c r="Z210" s="1"/>
      <c r="AA210" s="1"/>
      <c r="AB210" s="1"/>
      <c r="AC210" s="1"/>
    </row>
    <row r="211" spans="12:29" ht="15">
      <c r="L211" s="1"/>
      <c r="M211" s="1"/>
      <c r="N211" s="1"/>
      <c r="O211" s="1"/>
      <c r="P211" s="1"/>
      <c r="Q211" s="1"/>
      <c r="R211" s="1"/>
      <c r="S211" s="1"/>
      <c r="T211" s="1"/>
      <c r="U211" s="1"/>
      <c r="V211" s="1"/>
      <c r="W211" s="1"/>
      <c r="X211" s="1"/>
      <c r="Y211" s="1"/>
      <c r="Z211" s="1"/>
      <c r="AA211" s="1"/>
      <c r="AB211" s="1"/>
      <c r="AC211" s="1"/>
    </row>
    <row r="212" spans="12:29" ht="15">
      <c r="L212" s="1"/>
      <c r="M212" s="1"/>
      <c r="N212" s="1"/>
      <c r="O212" s="1"/>
      <c r="P212" s="1"/>
      <c r="Q212" s="1"/>
      <c r="R212" s="1"/>
      <c r="S212" s="1"/>
      <c r="T212" s="1"/>
      <c r="U212" s="1"/>
      <c r="V212" s="1"/>
      <c r="W212" s="1"/>
      <c r="X212" s="1"/>
      <c r="Y212" s="1"/>
      <c r="Z212" s="1"/>
      <c r="AA212" s="1"/>
      <c r="AB212" s="1"/>
      <c r="AC212" s="1"/>
    </row>
    <row r="213" spans="12:29" ht="15">
      <c r="L213" s="1"/>
      <c r="M213" s="1"/>
      <c r="N213" s="1"/>
      <c r="O213" s="1"/>
      <c r="P213" s="1"/>
      <c r="Q213" s="1"/>
      <c r="R213" s="1"/>
      <c r="S213" s="1"/>
      <c r="T213" s="1"/>
      <c r="U213" s="1"/>
      <c r="V213" s="1"/>
      <c r="W213" s="1"/>
      <c r="X213" s="1"/>
      <c r="Y213" s="1"/>
      <c r="Z213" s="1"/>
      <c r="AA213" s="1"/>
      <c r="AB213" s="1"/>
      <c r="AC213" s="1"/>
    </row>
    <row r="214" spans="12:29" ht="15">
      <c r="L214" s="1"/>
      <c r="M214" s="1"/>
      <c r="N214" s="1"/>
      <c r="O214" s="1"/>
      <c r="P214" s="1"/>
      <c r="Q214" s="1"/>
      <c r="R214" s="1"/>
      <c r="S214" s="1"/>
      <c r="T214" s="1"/>
      <c r="U214" s="1"/>
      <c r="V214" s="1"/>
      <c r="W214" s="1"/>
      <c r="X214" s="1"/>
      <c r="Y214" s="1"/>
      <c r="Z214" s="1"/>
      <c r="AA214" s="1"/>
      <c r="AB214" s="1"/>
      <c r="AC214" s="1"/>
    </row>
    <row r="215" spans="12:29" ht="15">
      <c r="L215" s="1"/>
      <c r="M215" s="1"/>
      <c r="N215" s="1"/>
      <c r="O215" s="1"/>
      <c r="P215" s="1"/>
      <c r="Q215" s="1"/>
      <c r="R215" s="1"/>
      <c r="S215" s="1"/>
      <c r="T215" s="1"/>
      <c r="U215" s="1"/>
      <c r="V215" s="1"/>
      <c r="W215" s="1"/>
      <c r="X215" s="1"/>
      <c r="Y215" s="1"/>
      <c r="Z215" s="1"/>
      <c r="AA215" s="1"/>
      <c r="AB215" s="1"/>
      <c r="AC215" s="1"/>
    </row>
    <row r="216" spans="12:29" ht="15">
      <c r="L216" s="1"/>
      <c r="M216" s="1"/>
      <c r="N216" s="1"/>
      <c r="O216" s="1"/>
      <c r="P216" s="1"/>
      <c r="Q216" s="1"/>
      <c r="R216" s="1"/>
      <c r="S216" s="1"/>
      <c r="T216" s="1"/>
      <c r="U216" s="1"/>
      <c r="V216" s="1"/>
      <c r="W216" s="1"/>
      <c r="X216" s="1"/>
      <c r="Y216" s="1"/>
      <c r="Z216" s="1"/>
      <c r="AA216" s="1"/>
      <c r="AB216" s="1"/>
      <c r="AC216" s="1"/>
    </row>
    <row r="217" spans="12:29" ht="15">
      <c r="L217" s="1"/>
      <c r="M217" s="1"/>
      <c r="N217" s="1"/>
      <c r="O217" s="1"/>
      <c r="P217" s="1"/>
      <c r="Q217" s="1"/>
      <c r="R217" s="1"/>
      <c r="S217" s="1"/>
      <c r="T217" s="1"/>
      <c r="U217" s="1"/>
      <c r="V217" s="1"/>
      <c r="W217" s="1"/>
      <c r="X217" s="1"/>
      <c r="Y217" s="1"/>
      <c r="Z217" s="1"/>
      <c r="AA217" s="1"/>
      <c r="AB217" s="1"/>
      <c r="AC217" s="1"/>
    </row>
    <row r="218" spans="12:29" ht="15">
      <c r="L218" s="1"/>
      <c r="M218" s="1"/>
      <c r="N218" s="1"/>
      <c r="O218" s="1"/>
      <c r="P218" s="1"/>
      <c r="Q218" s="1"/>
      <c r="R218" s="1"/>
      <c r="S218" s="1"/>
      <c r="T218" s="1"/>
      <c r="U218" s="1"/>
      <c r="V218" s="1"/>
      <c r="W218" s="1"/>
      <c r="X218" s="1"/>
      <c r="Y218" s="1"/>
      <c r="Z218" s="1"/>
      <c r="AA218" s="1"/>
      <c r="AB218" s="1"/>
      <c r="AC218" s="1"/>
    </row>
    <row r="219" spans="12:29" ht="15">
      <c r="L219" s="1"/>
      <c r="M219" s="1"/>
      <c r="N219" s="1"/>
      <c r="O219" s="1"/>
      <c r="P219" s="1"/>
      <c r="Q219" s="1"/>
      <c r="R219" s="1"/>
      <c r="S219" s="1"/>
      <c r="T219" s="1"/>
      <c r="U219" s="1"/>
      <c r="V219" s="1"/>
      <c r="W219" s="1"/>
      <c r="X219" s="1"/>
      <c r="Y219" s="1"/>
      <c r="Z219" s="1"/>
      <c r="AA219" s="1"/>
      <c r="AB219" s="1"/>
      <c r="AC219" s="1"/>
    </row>
    <row r="220" spans="12:29" ht="15">
      <c r="L220" s="1"/>
      <c r="M220" s="1"/>
      <c r="N220" s="1"/>
      <c r="O220" s="1"/>
      <c r="P220" s="1"/>
      <c r="Q220" s="1"/>
      <c r="R220" s="1"/>
      <c r="S220" s="1"/>
      <c r="T220" s="1"/>
      <c r="U220" s="1"/>
      <c r="V220" s="1"/>
      <c r="W220" s="1"/>
      <c r="X220" s="1"/>
      <c r="Y220" s="1"/>
      <c r="Z220" s="1"/>
      <c r="AA220" s="1"/>
      <c r="AB220" s="1"/>
      <c r="AC220" s="1"/>
    </row>
    <row r="221" spans="12:29" ht="15">
      <c r="L221" s="1"/>
      <c r="M221" s="1"/>
      <c r="N221" s="1"/>
      <c r="O221" s="1"/>
      <c r="P221" s="1"/>
      <c r="Q221" s="1"/>
      <c r="R221" s="1"/>
      <c r="S221" s="1"/>
      <c r="T221" s="1"/>
      <c r="U221" s="1"/>
      <c r="V221" s="1"/>
      <c r="W221" s="1"/>
      <c r="X221" s="1"/>
      <c r="Y221" s="1"/>
      <c r="Z221" s="1"/>
      <c r="AA221" s="1"/>
      <c r="AB221" s="1"/>
      <c r="AC221" s="1"/>
    </row>
    <row r="222" spans="12:29" ht="15">
      <c r="L222" s="1"/>
      <c r="M222" s="1"/>
      <c r="N222" s="1"/>
      <c r="O222" s="1"/>
      <c r="P222" s="1"/>
      <c r="Q222" s="1"/>
      <c r="R222" s="1"/>
      <c r="S222" s="1"/>
      <c r="T222" s="1"/>
      <c r="U222" s="1"/>
      <c r="V222" s="1"/>
      <c r="W222" s="1"/>
      <c r="X222" s="1"/>
      <c r="Y222" s="1"/>
      <c r="Z222" s="1"/>
      <c r="AA222" s="1"/>
      <c r="AB222" s="1"/>
      <c r="AC222" s="1"/>
    </row>
    <row r="223" spans="12:29" ht="15">
      <c r="L223" s="1"/>
      <c r="M223" s="1"/>
      <c r="N223" s="1"/>
      <c r="O223" s="1"/>
      <c r="P223" s="1"/>
      <c r="Q223" s="1"/>
      <c r="R223" s="1"/>
      <c r="S223" s="1"/>
      <c r="T223" s="1"/>
      <c r="U223" s="1"/>
      <c r="V223" s="1"/>
      <c r="W223" s="1"/>
      <c r="X223" s="1"/>
      <c r="Y223" s="1"/>
      <c r="Z223" s="1"/>
      <c r="AA223" s="1"/>
      <c r="AB223" s="1"/>
      <c r="AC223" s="1"/>
    </row>
    <row r="224" spans="12:29" ht="15">
      <c r="L224" s="1"/>
      <c r="M224" s="1"/>
      <c r="N224" s="1"/>
      <c r="O224" s="1"/>
      <c r="P224" s="1"/>
      <c r="Q224" s="1"/>
      <c r="R224" s="1"/>
      <c r="S224" s="1"/>
      <c r="T224" s="1"/>
      <c r="U224" s="1"/>
      <c r="V224" s="1"/>
      <c r="W224" s="1"/>
      <c r="X224" s="1"/>
      <c r="Y224" s="1"/>
      <c r="Z224" s="1"/>
      <c r="AA224" s="1"/>
      <c r="AB224" s="1"/>
      <c r="AC224" s="1"/>
    </row>
    <row r="225" spans="12:29" ht="15">
      <c r="L225" s="1"/>
      <c r="M225" s="1"/>
      <c r="N225" s="1"/>
      <c r="O225" s="1"/>
      <c r="P225" s="1"/>
      <c r="Q225" s="1"/>
      <c r="R225" s="1"/>
      <c r="S225" s="1"/>
      <c r="T225" s="1"/>
      <c r="U225" s="1"/>
      <c r="V225" s="1"/>
      <c r="W225" s="1"/>
      <c r="X225" s="1"/>
      <c r="Y225" s="1"/>
      <c r="Z225" s="1"/>
      <c r="AA225" s="1"/>
      <c r="AB225" s="1"/>
      <c r="AC225" s="1"/>
    </row>
    <row r="226" spans="12:29" ht="15">
      <c r="L226" s="1"/>
      <c r="M226" s="1"/>
      <c r="N226" s="1"/>
      <c r="O226" s="1"/>
      <c r="P226" s="1"/>
      <c r="Q226" s="1"/>
      <c r="R226" s="1"/>
      <c r="S226" s="1"/>
      <c r="T226" s="1"/>
      <c r="U226" s="1"/>
      <c r="V226" s="1"/>
      <c r="W226" s="1"/>
      <c r="X226" s="1"/>
      <c r="Y226" s="1"/>
      <c r="Z226" s="1"/>
      <c r="AA226" s="1"/>
      <c r="AB226" s="1"/>
      <c r="AC226" s="1"/>
    </row>
    <row r="227" spans="12:29" ht="15">
      <c r="L227" s="1"/>
      <c r="M227" s="1"/>
      <c r="N227" s="1"/>
      <c r="O227" s="1"/>
      <c r="P227" s="1"/>
      <c r="Q227" s="1"/>
      <c r="R227" s="1"/>
      <c r="S227" s="1"/>
      <c r="T227" s="1"/>
      <c r="U227" s="1"/>
      <c r="V227" s="1"/>
      <c r="W227" s="1"/>
      <c r="X227" s="1"/>
      <c r="Y227" s="1"/>
      <c r="Z227" s="1"/>
      <c r="AA227" s="1"/>
      <c r="AB227" s="1"/>
      <c r="AC227" s="1"/>
    </row>
    <row r="228" spans="12:29" ht="15">
      <c r="L228" s="1"/>
      <c r="M228" s="1"/>
      <c r="N228" s="1"/>
      <c r="O228" s="1"/>
      <c r="P228" s="1"/>
      <c r="Q228" s="1"/>
      <c r="R228" s="1"/>
      <c r="S228" s="1"/>
      <c r="T228" s="1"/>
      <c r="U228" s="1"/>
      <c r="V228" s="1"/>
      <c r="W228" s="1"/>
      <c r="X228" s="1"/>
      <c r="Y228" s="1"/>
      <c r="Z228" s="1"/>
      <c r="AA228" s="1"/>
      <c r="AB228" s="1"/>
      <c r="AC228" s="1"/>
    </row>
    <row r="229" spans="12:29" ht="15">
      <c r="L229" s="1"/>
      <c r="M229" s="1"/>
      <c r="N229" s="1"/>
      <c r="O229" s="1"/>
      <c r="P229" s="1"/>
      <c r="Q229" s="1"/>
      <c r="R229" s="1"/>
      <c r="S229" s="1"/>
      <c r="T229" s="1"/>
      <c r="U229" s="1"/>
      <c r="V229" s="1"/>
      <c r="W229" s="1"/>
      <c r="X229" s="1"/>
      <c r="Y229" s="1"/>
      <c r="Z229" s="1"/>
      <c r="AA229" s="1"/>
      <c r="AB229" s="1"/>
      <c r="AC229" s="1"/>
    </row>
    <row r="230" spans="12:29" ht="15">
      <c r="L230" s="1"/>
      <c r="M230" s="1"/>
      <c r="N230" s="1"/>
      <c r="O230" s="1"/>
      <c r="P230" s="1"/>
      <c r="Q230" s="1"/>
      <c r="R230" s="1"/>
      <c r="S230" s="1"/>
      <c r="T230" s="1"/>
      <c r="U230" s="1"/>
      <c r="V230" s="1"/>
      <c r="W230" s="1"/>
      <c r="X230" s="1"/>
      <c r="Y230" s="1"/>
      <c r="Z230" s="1"/>
      <c r="AA230" s="1"/>
      <c r="AB230" s="1"/>
      <c r="AC230" s="1"/>
    </row>
    <row r="231" spans="12:29" ht="15">
      <c r="L231" s="1"/>
      <c r="M231" s="1"/>
      <c r="N231" s="1"/>
      <c r="O231" s="1"/>
      <c r="P231" s="1"/>
      <c r="Q231" s="1"/>
      <c r="R231" s="1"/>
      <c r="S231" s="1"/>
      <c r="T231" s="1"/>
      <c r="U231" s="1"/>
      <c r="V231" s="1"/>
      <c r="W231" s="1"/>
      <c r="X231" s="1"/>
      <c r="Y231" s="1"/>
      <c r="Z231" s="1"/>
      <c r="AA231" s="1"/>
      <c r="AB231" s="1"/>
      <c r="AC231" s="1"/>
    </row>
    <row r="232" spans="12:29" ht="15">
      <c r="L232" s="1"/>
      <c r="M232" s="1"/>
      <c r="N232" s="1"/>
      <c r="O232" s="1"/>
      <c r="P232" s="1"/>
      <c r="Q232" s="1"/>
      <c r="R232" s="1"/>
      <c r="S232" s="1"/>
      <c r="T232" s="1"/>
      <c r="U232" s="1"/>
      <c r="V232" s="1"/>
      <c r="W232" s="1"/>
      <c r="X232" s="1"/>
      <c r="Y232" s="1"/>
      <c r="Z232" s="1"/>
      <c r="AA232" s="1"/>
      <c r="AB232" s="1"/>
      <c r="AC232" s="1"/>
    </row>
    <row r="233" spans="12:29" ht="15">
      <c r="L233" s="1"/>
      <c r="M233" s="1"/>
      <c r="N233" s="1"/>
      <c r="O233" s="1"/>
      <c r="P233" s="1"/>
      <c r="Q233" s="1"/>
      <c r="R233" s="1"/>
      <c r="S233" s="1"/>
      <c r="T233" s="1"/>
      <c r="U233" s="1"/>
      <c r="V233" s="1"/>
      <c r="W233" s="1"/>
      <c r="X233" s="1"/>
      <c r="Y233" s="1"/>
      <c r="Z233" s="1"/>
      <c r="AA233" s="1"/>
      <c r="AB233" s="1"/>
      <c r="AC233" s="1"/>
    </row>
    <row r="234" spans="12:29" ht="15">
      <c r="L234" s="1"/>
      <c r="M234" s="1"/>
      <c r="N234" s="1"/>
      <c r="O234" s="1"/>
      <c r="P234" s="1"/>
      <c r="Q234" s="1"/>
      <c r="R234" s="1"/>
      <c r="S234" s="1"/>
      <c r="T234" s="1"/>
      <c r="U234" s="1"/>
      <c r="V234" s="1"/>
      <c r="W234" s="1"/>
      <c r="X234" s="1"/>
      <c r="Y234" s="1"/>
      <c r="Z234" s="1"/>
      <c r="AA234" s="1"/>
      <c r="AB234" s="1"/>
      <c r="AC234" s="1"/>
    </row>
    <row r="235" spans="12:29" ht="15">
      <c r="L235" s="1"/>
      <c r="M235" s="1"/>
      <c r="N235" s="1"/>
      <c r="O235" s="1"/>
      <c r="P235" s="1"/>
      <c r="Q235" s="1"/>
      <c r="R235" s="1"/>
      <c r="S235" s="1"/>
      <c r="T235" s="1"/>
      <c r="U235" s="1"/>
      <c r="V235" s="1"/>
      <c r="W235" s="1"/>
      <c r="X235" s="1"/>
      <c r="Y235" s="1"/>
      <c r="Z235" s="1"/>
      <c r="AA235" s="1"/>
      <c r="AB235" s="1"/>
      <c r="AC235" s="1"/>
    </row>
    <row r="236" spans="12:29" ht="15">
      <c r="L236" s="1"/>
      <c r="M236" s="1"/>
      <c r="N236" s="1"/>
      <c r="O236" s="1"/>
      <c r="P236" s="1"/>
      <c r="Q236" s="1"/>
      <c r="R236" s="1"/>
      <c r="S236" s="1"/>
      <c r="T236" s="1"/>
      <c r="U236" s="1"/>
      <c r="V236" s="1"/>
      <c r="W236" s="1"/>
      <c r="X236" s="1"/>
      <c r="Y236" s="1"/>
      <c r="Z236" s="1"/>
      <c r="AA236" s="1"/>
      <c r="AB236" s="1"/>
      <c r="AC236" s="1"/>
    </row>
    <row r="237" spans="12:29" ht="15">
      <c r="L237" s="1"/>
      <c r="M237" s="1"/>
      <c r="N237" s="1"/>
      <c r="O237" s="1"/>
      <c r="P237" s="1"/>
      <c r="Q237" s="1"/>
      <c r="R237" s="1"/>
      <c r="S237" s="1"/>
      <c r="T237" s="1"/>
      <c r="U237" s="1"/>
      <c r="V237" s="1"/>
      <c r="W237" s="1"/>
      <c r="X237" s="1"/>
      <c r="Y237" s="1"/>
      <c r="Z237" s="1"/>
      <c r="AA237" s="1"/>
      <c r="AB237" s="1"/>
      <c r="AC237" s="1"/>
    </row>
    <row r="238" spans="12:29" ht="15">
      <c r="L238" s="1"/>
      <c r="M238" s="1"/>
      <c r="N238" s="1"/>
      <c r="O238" s="1"/>
      <c r="P238" s="1"/>
      <c r="Q238" s="1"/>
      <c r="R238" s="1"/>
      <c r="S238" s="1"/>
      <c r="T238" s="1"/>
      <c r="U238" s="1"/>
      <c r="V238" s="1"/>
      <c r="W238" s="1"/>
      <c r="X238" s="1"/>
      <c r="Y238" s="1"/>
      <c r="Z238" s="1"/>
      <c r="AA238" s="1"/>
      <c r="AB238" s="1"/>
      <c r="AC238" s="1"/>
    </row>
    <row r="239" spans="12:29" ht="15">
      <c r="L239" s="1"/>
      <c r="M239" s="1"/>
      <c r="N239" s="1"/>
      <c r="O239" s="1"/>
      <c r="P239" s="1"/>
      <c r="Q239" s="1"/>
      <c r="R239" s="1"/>
      <c r="S239" s="1"/>
      <c r="T239" s="1"/>
      <c r="U239" s="1"/>
      <c r="V239" s="1"/>
      <c r="W239" s="1"/>
      <c r="X239" s="1"/>
      <c r="Y239" s="1"/>
      <c r="Z239" s="1"/>
      <c r="AA239" s="1"/>
      <c r="AB239" s="1"/>
      <c r="AC239" s="1"/>
    </row>
    <row r="240" spans="12:29" ht="15">
      <c r="L240" s="1"/>
      <c r="M240" s="1"/>
      <c r="N240" s="1"/>
      <c r="O240" s="1"/>
      <c r="P240" s="1"/>
      <c r="Q240" s="1"/>
      <c r="R240" s="1"/>
      <c r="S240" s="1"/>
      <c r="T240" s="1"/>
      <c r="U240" s="1"/>
      <c r="V240" s="1"/>
      <c r="W240" s="1"/>
      <c r="X240" s="1"/>
      <c r="Y240" s="1"/>
      <c r="Z240" s="1"/>
      <c r="AA240" s="1"/>
      <c r="AB240" s="1"/>
      <c r="AC240" s="1"/>
    </row>
    <row r="241" spans="12:29" ht="15">
      <c r="L241" s="1"/>
      <c r="M241" s="1"/>
      <c r="N241" s="1"/>
      <c r="O241" s="1"/>
      <c r="P241" s="1"/>
      <c r="Q241" s="1"/>
      <c r="R241" s="1"/>
      <c r="S241" s="1"/>
      <c r="T241" s="1"/>
      <c r="U241" s="1"/>
      <c r="V241" s="1"/>
      <c r="W241" s="1"/>
      <c r="X241" s="1"/>
      <c r="Y241" s="1"/>
      <c r="Z241" s="1"/>
      <c r="AA241" s="1"/>
      <c r="AB241" s="1"/>
      <c r="AC241" s="1"/>
    </row>
    <row r="242" spans="12:29" ht="15">
      <c r="L242" s="1"/>
      <c r="M242" s="1"/>
      <c r="N242" s="1"/>
      <c r="O242" s="1"/>
      <c r="P242" s="1"/>
      <c r="Q242" s="1"/>
      <c r="R242" s="1"/>
      <c r="S242" s="1"/>
      <c r="T242" s="1"/>
      <c r="U242" s="1"/>
      <c r="V242" s="1"/>
      <c r="W242" s="1"/>
      <c r="X242" s="1"/>
      <c r="Y242" s="1"/>
      <c r="Z242" s="1"/>
      <c r="AA242" s="1"/>
      <c r="AB242" s="1"/>
      <c r="AC242" s="1"/>
    </row>
    <row r="243" spans="12:29" ht="15">
      <c r="L243" s="1"/>
      <c r="M243" s="1"/>
      <c r="N243" s="1"/>
      <c r="O243" s="1"/>
      <c r="P243" s="1"/>
      <c r="Q243" s="1"/>
      <c r="R243" s="1"/>
      <c r="S243" s="1"/>
      <c r="T243" s="1"/>
      <c r="U243" s="1"/>
      <c r="V243" s="1"/>
      <c r="W243" s="1"/>
      <c r="X243" s="1"/>
      <c r="Y243" s="1"/>
      <c r="Z243" s="1"/>
      <c r="AA243" s="1"/>
      <c r="AB243" s="1"/>
      <c r="AC243" s="1"/>
    </row>
    <row r="244" spans="12:29" ht="15">
      <c r="L244" s="1"/>
      <c r="M244" s="1"/>
      <c r="N244" s="1"/>
      <c r="O244" s="1"/>
      <c r="P244" s="1"/>
      <c r="Q244" s="1"/>
      <c r="R244" s="1"/>
      <c r="S244" s="1"/>
      <c r="T244" s="1"/>
      <c r="U244" s="1"/>
      <c r="V244" s="1"/>
      <c r="W244" s="1"/>
      <c r="X244" s="1"/>
      <c r="Y244" s="1"/>
      <c r="Z244" s="1"/>
      <c r="AA244" s="1"/>
      <c r="AB244" s="1"/>
      <c r="AC244" s="1"/>
    </row>
    <row r="245" spans="12:29" ht="15">
      <c r="L245" s="1"/>
      <c r="M245" s="1"/>
      <c r="N245" s="1"/>
      <c r="O245" s="1"/>
      <c r="P245" s="1"/>
      <c r="Q245" s="1"/>
      <c r="R245" s="1"/>
      <c r="S245" s="1"/>
      <c r="T245" s="1"/>
      <c r="U245" s="1"/>
      <c r="V245" s="1"/>
      <c r="W245" s="1"/>
      <c r="X245" s="1"/>
      <c r="Y245" s="1"/>
      <c r="Z245" s="1"/>
      <c r="AA245" s="1"/>
      <c r="AB245" s="1"/>
      <c r="AC245" s="1"/>
    </row>
    <row r="246" spans="12:29" ht="15">
      <c r="L246" s="1"/>
      <c r="M246" s="1"/>
      <c r="N246" s="1"/>
      <c r="O246" s="1"/>
      <c r="P246" s="1"/>
      <c r="Q246" s="1"/>
      <c r="R246" s="1"/>
      <c r="S246" s="1"/>
      <c r="T246" s="1"/>
      <c r="U246" s="1"/>
      <c r="V246" s="1"/>
      <c r="W246" s="1"/>
      <c r="X246" s="1"/>
      <c r="Y246" s="1"/>
      <c r="Z246" s="1"/>
      <c r="AA246" s="1"/>
      <c r="AB246" s="1"/>
      <c r="AC246" s="1"/>
    </row>
    <row r="247" spans="12:29" ht="15">
      <c r="L247" s="1"/>
      <c r="M247" s="1"/>
      <c r="N247" s="1"/>
      <c r="O247" s="1"/>
      <c r="P247" s="1"/>
      <c r="Q247" s="1"/>
      <c r="R247" s="1"/>
      <c r="S247" s="1"/>
      <c r="T247" s="1"/>
      <c r="U247" s="1"/>
      <c r="V247" s="1"/>
      <c r="W247" s="1"/>
      <c r="X247" s="1"/>
      <c r="Y247" s="1"/>
      <c r="Z247" s="1"/>
      <c r="AA247" s="1"/>
      <c r="AB247" s="1"/>
      <c r="AC247" s="1"/>
    </row>
    <row r="248" spans="12:29" ht="15">
      <c r="L248" s="1"/>
      <c r="M248" s="1"/>
      <c r="N248" s="1"/>
      <c r="O248" s="1"/>
      <c r="P248" s="1"/>
      <c r="Q248" s="1"/>
      <c r="R248" s="1"/>
      <c r="S248" s="1"/>
      <c r="T248" s="1"/>
      <c r="U248" s="1"/>
      <c r="V248" s="1"/>
      <c r="W248" s="1"/>
      <c r="X248" s="1"/>
      <c r="Y248" s="1"/>
      <c r="Z248" s="1"/>
      <c r="AA248" s="1"/>
      <c r="AB248" s="1"/>
      <c r="AC248" s="1"/>
    </row>
    <row r="249" spans="12:29" ht="15">
      <c r="L249" s="1"/>
      <c r="M249" s="1"/>
      <c r="N249" s="1"/>
      <c r="O249" s="1"/>
      <c r="P249" s="1"/>
      <c r="Q249" s="1"/>
      <c r="R249" s="1"/>
      <c r="S249" s="1"/>
      <c r="T249" s="1"/>
      <c r="U249" s="1"/>
      <c r="V249" s="1"/>
      <c r="W249" s="1"/>
      <c r="X249" s="1"/>
      <c r="Y249" s="1"/>
      <c r="Z249" s="1"/>
      <c r="AA249" s="1"/>
      <c r="AB249" s="1"/>
      <c r="AC249" s="1"/>
    </row>
    <row r="250" spans="12:29" ht="15">
      <c r="L250" s="1"/>
      <c r="M250" s="1"/>
      <c r="N250" s="1"/>
      <c r="O250" s="1"/>
      <c r="P250" s="1"/>
      <c r="Q250" s="1"/>
      <c r="R250" s="1"/>
      <c r="S250" s="1"/>
      <c r="T250" s="1"/>
      <c r="U250" s="1"/>
      <c r="V250" s="1"/>
      <c r="W250" s="1"/>
      <c r="X250" s="1"/>
      <c r="Y250" s="1"/>
      <c r="Z250" s="1"/>
      <c r="AA250" s="1"/>
      <c r="AB250" s="1"/>
      <c r="AC250" s="1"/>
    </row>
    <row r="251" spans="12:29" ht="15">
      <c r="L251" s="1"/>
      <c r="M251" s="1"/>
      <c r="N251" s="1"/>
      <c r="O251" s="1"/>
      <c r="P251" s="1"/>
      <c r="Q251" s="1"/>
      <c r="R251" s="1"/>
      <c r="S251" s="1"/>
      <c r="T251" s="1"/>
      <c r="U251" s="1"/>
      <c r="V251" s="1"/>
      <c r="W251" s="1"/>
      <c r="X251" s="1"/>
      <c r="Y251" s="1"/>
      <c r="Z251" s="1"/>
      <c r="AA251" s="1"/>
      <c r="AB251" s="1"/>
      <c r="AC251" s="1"/>
    </row>
    <row r="252" spans="12:29" ht="15">
      <c r="L252" s="1"/>
      <c r="M252" s="1"/>
      <c r="N252" s="1"/>
      <c r="O252" s="1"/>
      <c r="P252" s="1"/>
      <c r="Q252" s="1"/>
      <c r="R252" s="1"/>
      <c r="S252" s="1"/>
      <c r="T252" s="1"/>
      <c r="U252" s="1"/>
      <c r="V252" s="1"/>
      <c r="W252" s="1"/>
      <c r="X252" s="1"/>
      <c r="Y252" s="1"/>
      <c r="Z252" s="1"/>
      <c r="AA252" s="1"/>
      <c r="AB252" s="1"/>
      <c r="AC252" s="1"/>
    </row>
    <row r="253" spans="12:29" ht="15">
      <c r="L253" s="1"/>
      <c r="M253" s="1"/>
      <c r="N253" s="1"/>
      <c r="O253" s="1"/>
      <c r="P253" s="1"/>
      <c r="Q253" s="1"/>
      <c r="R253" s="1"/>
      <c r="S253" s="1"/>
      <c r="T253" s="1"/>
      <c r="U253" s="1"/>
      <c r="V253" s="1"/>
      <c r="W253" s="1"/>
      <c r="X253" s="1"/>
      <c r="Y253" s="1"/>
      <c r="Z253" s="1"/>
      <c r="AA253" s="1"/>
      <c r="AB253" s="1"/>
      <c r="AC253" s="1"/>
    </row>
    <row r="254" spans="12:29" ht="15">
      <c r="L254" s="1"/>
      <c r="M254" s="1"/>
      <c r="N254" s="1"/>
      <c r="O254" s="1"/>
      <c r="P254" s="1"/>
      <c r="Q254" s="1"/>
      <c r="R254" s="1"/>
      <c r="S254" s="1"/>
      <c r="T254" s="1"/>
      <c r="U254" s="1"/>
      <c r="V254" s="1"/>
      <c r="W254" s="1"/>
      <c r="X254" s="1"/>
      <c r="Y254" s="1"/>
      <c r="Z254" s="1"/>
      <c r="AA254" s="1"/>
      <c r="AB254" s="1"/>
      <c r="AC254" s="1"/>
    </row>
    <row r="255" spans="12:29" ht="15">
      <c r="L255" s="1"/>
      <c r="M255" s="1"/>
      <c r="N255" s="1"/>
      <c r="O255" s="1"/>
      <c r="P255" s="1"/>
      <c r="Q255" s="1"/>
      <c r="R255" s="1"/>
      <c r="S255" s="1"/>
      <c r="T255" s="1"/>
      <c r="U255" s="1"/>
      <c r="V255" s="1"/>
      <c r="W255" s="1"/>
      <c r="X255" s="1"/>
      <c r="Y255" s="1"/>
      <c r="Z255" s="1"/>
      <c r="AA255" s="1"/>
      <c r="AB255" s="1"/>
      <c r="AC255" s="1"/>
    </row>
    <row r="256" spans="12:29" ht="15">
      <c r="L256" s="1"/>
      <c r="M256" s="1"/>
      <c r="N256" s="1"/>
      <c r="O256" s="1"/>
      <c r="P256" s="1"/>
      <c r="Q256" s="1"/>
      <c r="R256" s="1"/>
      <c r="S256" s="1"/>
      <c r="T256" s="1"/>
      <c r="U256" s="1"/>
      <c r="V256" s="1"/>
      <c r="W256" s="1"/>
      <c r="X256" s="1"/>
      <c r="Y256" s="1"/>
      <c r="Z256" s="1"/>
      <c r="AA256" s="1"/>
      <c r="AB256" s="1"/>
      <c r="AC256" s="1"/>
    </row>
    <row r="257" spans="12:29" ht="15">
      <c r="L257" s="1"/>
      <c r="M257" s="1"/>
      <c r="N257" s="1"/>
      <c r="O257" s="1"/>
      <c r="P257" s="1"/>
      <c r="Q257" s="1"/>
      <c r="R257" s="1"/>
      <c r="S257" s="1"/>
      <c r="T257" s="1"/>
      <c r="U257" s="1"/>
      <c r="V257" s="1"/>
      <c r="W257" s="1"/>
      <c r="X257" s="1"/>
      <c r="Y257" s="1"/>
      <c r="Z257" s="1"/>
      <c r="AA257" s="1"/>
      <c r="AB257" s="1"/>
      <c r="AC257" s="1"/>
    </row>
    <row r="258" spans="12:29" ht="15">
      <c r="L258" s="1"/>
      <c r="M258" s="1"/>
      <c r="N258" s="1"/>
      <c r="O258" s="1"/>
      <c r="P258" s="1"/>
      <c r="Q258" s="1"/>
      <c r="R258" s="1"/>
      <c r="S258" s="1"/>
      <c r="T258" s="1"/>
      <c r="U258" s="1"/>
      <c r="V258" s="1"/>
      <c r="W258" s="1"/>
      <c r="X258" s="1"/>
      <c r="Y258" s="1"/>
      <c r="Z258" s="1"/>
      <c r="AA258" s="1"/>
      <c r="AB258" s="1"/>
      <c r="AC258" s="1"/>
    </row>
    <row r="259" spans="12:29" ht="15">
      <c r="L259" s="1"/>
      <c r="M259" s="1"/>
      <c r="N259" s="1"/>
      <c r="O259" s="1"/>
      <c r="P259" s="1"/>
      <c r="Q259" s="1"/>
      <c r="R259" s="1"/>
      <c r="S259" s="1"/>
      <c r="T259" s="1"/>
      <c r="U259" s="1"/>
      <c r="V259" s="1"/>
      <c r="W259" s="1"/>
      <c r="X259" s="1"/>
      <c r="Y259" s="1"/>
      <c r="Z259" s="1"/>
      <c r="AA259" s="1"/>
      <c r="AB259" s="1"/>
      <c r="AC259" s="1"/>
    </row>
    <row r="260" spans="12:29" ht="15">
      <c r="L260" s="1"/>
      <c r="M260" s="1"/>
      <c r="N260" s="1"/>
      <c r="O260" s="1"/>
      <c r="P260" s="1"/>
      <c r="Q260" s="1"/>
      <c r="R260" s="1"/>
      <c r="S260" s="1"/>
      <c r="T260" s="1"/>
      <c r="U260" s="1"/>
      <c r="V260" s="1"/>
      <c r="W260" s="1"/>
      <c r="X260" s="1"/>
      <c r="Y260" s="1"/>
      <c r="Z260" s="1"/>
      <c r="AA260" s="1"/>
      <c r="AB260" s="1"/>
      <c r="AC260" s="1"/>
    </row>
    <row r="261" spans="12:29" ht="15">
      <c r="L261" s="1"/>
      <c r="M261" s="1"/>
      <c r="N261" s="1"/>
      <c r="O261" s="1"/>
      <c r="P261" s="1"/>
      <c r="Q261" s="1"/>
      <c r="R261" s="1"/>
      <c r="S261" s="1"/>
      <c r="T261" s="1"/>
      <c r="U261" s="1"/>
      <c r="V261" s="1"/>
      <c r="W261" s="1"/>
      <c r="X261" s="1"/>
      <c r="Y261" s="1"/>
      <c r="Z261" s="1"/>
      <c r="AA261" s="1"/>
      <c r="AB261" s="1"/>
      <c r="AC261" s="1"/>
    </row>
    <row r="262" spans="12:29" ht="15">
      <c r="L262" s="1"/>
      <c r="M262" s="1"/>
      <c r="N262" s="1"/>
      <c r="O262" s="1"/>
      <c r="P262" s="1"/>
      <c r="Q262" s="1"/>
      <c r="R262" s="1"/>
      <c r="S262" s="1"/>
      <c r="T262" s="1"/>
      <c r="U262" s="1"/>
      <c r="V262" s="1"/>
      <c r="W262" s="1"/>
      <c r="X262" s="1"/>
      <c r="Y262" s="1"/>
      <c r="Z262" s="1"/>
      <c r="AA262" s="1"/>
      <c r="AB262" s="1"/>
      <c r="AC262" s="1"/>
    </row>
    <row r="263" spans="12:29" ht="15">
      <c r="L263" s="1"/>
      <c r="M263" s="1"/>
      <c r="N263" s="1"/>
      <c r="O263" s="1"/>
      <c r="P263" s="1"/>
      <c r="Q263" s="1"/>
      <c r="R263" s="1"/>
      <c r="S263" s="1"/>
      <c r="T263" s="1"/>
      <c r="U263" s="1"/>
      <c r="V263" s="1"/>
      <c r="W263" s="1"/>
      <c r="X263" s="1"/>
      <c r="Y263" s="1"/>
      <c r="Z263" s="1"/>
      <c r="AA263" s="1"/>
      <c r="AB263" s="1"/>
      <c r="AC263" s="1"/>
    </row>
    <row r="264" spans="12:29" ht="15">
      <c r="L264" s="1"/>
      <c r="M264" s="1"/>
      <c r="N264" s="1"/>
      <c r="O264" s="1"/>
      <c r="P264" s="1"/>
      <c r="Q264" s="1"/>
      <c r="R264" s="1"/>
      <c r="S264" s="1"/>
      <c r="T264" s="1"/>
      <c r="U264" s="1"/>
      <c r="V264" s="1"/>
      <c r="W264" s="1"/>
      <c r="X264" s="1"/>
      <c r="Y264" s="1"/>
      <c r="Z264" s="1"/>
      <c r="AA264" s="1"/>
      <c r="AB264" s="1"/>
      <c r="AC264" s="1"/>
    </row>
    <row r="265" spans="12:29" ht="15">
      <c r="L265" s="1"/>
      <c r="M265" s="1"/>
      <c r="N265" s="1"/>
      <c r="O265" s="1"/>
      <c r="P265" s="1"/>
      <c r="Q265" s="1"/>
      <c r="R265" s="1"/>
      <c r="S265" s="1"/>
      <c r="T265" s="1"/>
      <c r="U265" s="1"/>
      <c r="V265" s="1"/>
      <c r="W265" s="1"/>
      <c r="X265" s="1"/>
      <c r="Y265" s="1"/>
      <c r="Z265" s="1"/>
      <c r="AA265" s="1"/>
      <c r="AB265" s="1"/>
      <c r="AC265" s="1"/>
    </row>
    <row r="266" spans="12:29" ht="15">
      <c r="L266" s="1"/>
      <c r="M266" s="1"/>
      <c r="N266" s="1"/>
      <c r="O266" s="1"/>
      <c r="P266" s="1"/>
      <c r="Q266" s="1"/>
      <c r="R266" s="1"/>
      <c r="S266" s="1"/>
      <c r="T266" s="1"/>
      <c r="U266" s="1"/>
      <c r="V266" s="1"/>
      <c r="W266" s="1"/>
      <c r="X266" s="1"/>
      <c r="Y266" s="1"/>
      <c r="Z266" s="1"/>
      <c r="AA266" s="1"/>
      <c r="AB266" s="1"/>
      <c r="AC266" s="1"/>
    </row>
    <row r="267" spans="12:29" ht="15">
      <c r="L267" s="1"/>
      <c r="M267" s="1"/>
      <c r="N267" s="1"/>
      <c r="O267" s="1"/>
      <c r="P267" s="1"/>
      <c r="Q267" s="1"/>
      <c r="R267" s="1"/>
      <c r="S267" s="1"/>
      <c r="T267" s="1"/>
      <c r="U267" s="1"/>
      <c r="V267" s="1"/>
      <c r="W267" s="1"/>
      <c r="X267" s="1"/>
      <c r="Y267" s="1"/>
      <c r="Z267" s="1"/>
      <c r="AA267" s="1"/>
      <c r="AB267" s="1"/>
      <c r="AC267" s="1"/>
    </row>
    <row r="268" spans="12:29" ht="15">
      <c r="L268" s="1"/>
      <c r="M268" s="1"/>
      <c r="N268" s="1"/>
      <c r="O268" s="1"/>
      <c r="P268" s="1"/>
      <c r="Q268" s="1"/>
      <c r="R268" s="1"/>
      <c r="S268" s="1"/>
      <c r="T268" s="1"/>
      <c r="U268" s="1"/>
      <c r="V268" s="1"/>
      <c r="W268" s="1"/>
      <c r="X268" s="1"/>
      <c r="Y268" s="1"/>
      <c r="Z268" s="1"/>
      <c r="AA268" s="1"/>
      <c r="AB268" s="1"/>
      <c r="AC268" s="1"/>
    </row>
    <row r="269" spans="12:29" ht="15">
      <c r="L269" s="1"/>
      <c r="M269" s="1"/>
      <c r="N269" s="1"/>
      <c r="O269" s="1"/>
      <c r="P269" s="1"/>
      <c r="Q269" s="1"/>
      <c r="R269" s="1"/>
      <c r="S269" s="1"/>
      <c r="T269" s="1"/>
      <c r="U269" s="1"/>
      <c r="V269" s="1"/>
      <c r="W269" s="1"/>
      <c r="X269" s="1"/>
      <c r="Y269" s="1"/>
      <c r="Z269" s="1"/>
      <c r="AA269" s="1"/>
      <c r="AB269" s="1"/>
      <c r="AC269" s="1"/>
    </row>
    <row r="270" spans="12:29" ht="15">
      <c r="L270" s="1"/>
      <c r="M270" s="1"/>
      <c r="N270" s="1"/>
      <c r="O270" s="1"/>
      <c r="P270" s="1"/>
      <c r="Q270" s="1"/>
      <c r="R270" s="1"/>
      <c r="S270" s="1"/>
      <c r="T270" s="1"/>
      <c r="U270" s="1"/>
      <c r="V270" s="1"/>
      <c r="W270" s="1"/>
      <c r="X270" s="1"/>
      <c r="Y270" s="1"/>
      <c r="Z270" s="1"/>
      <c r="AA270" s="1"/>
      <c r="AB270" s="1"/>
      <c r="AC270" s="1"/>
    </row>
    <row r="271" spans="12:29" ht="15">
      <c r="L271" s="1"/>
      <c r="M271" s="1"/>
      <c r="N271" s="1"/>
      <c r="O271" s="1"/>
      <c r="P271" s="1"/>
      <c r="Q271" s="1"/>
      <c r="R271" s="1"/>
      <c r="S271" s="1"/>
      <c r="T271" s="1"/>
      <c r="U271" s="1"/>
      <c r="V271" s="1"/>
      <c r="W271" s="1"/>
      <c r="X271" s="1"/>
      <c r="Y271" s="1"/>
      <c r="Z271" s="1"/>
      <c r="AA271" s="1"/>
      <c r="AB271" s="1"/>
      <c r="AC271" s="1"/>
    </row>
    <row r="272" spans="12:29" ht="15">
      <c r="L272" s="1"/>
      <c r="M272" s="1"/>
      <c r="N272" s="1"/>
      <c r="O272" s="1"/>
      <c r="P272" s="1"/>
      <c r="Q272" s="1"/>
      <c r="R272" s="1"/>
      <c r="S272" s="1"/>
      <c r="T272" s="1"/>
      <c r="U272" s="1"/>
      <c r="V272" s="1"/>
      <c r="W272" s="1"/>
      <c r="X272" s="1"/>
      <c r="Y272" s="1"/>
      <c r="Z272" s="1"/>
      <c r="AA272" s="1"/>
      <c r="AB272" s="1"/>
      <c r="AC272" s="1"/>
    </row>
    <row r="273" spans="12:29" ht="15">
      <c r="L273" s="1"/>
      <c r="M273" s="1"/>
      <c r="N273" s="1"/>
      <c r="O273" s="1"/>
      <c r="P273" s="1"/>
      <c r="Q273" s="1"/>
      <c r="R273" s="1"/>
      <c r="S273" s="1"/>
      <c r="T273" s="1"/>
      <c r="U273" s="1"/>
      <c r="V273" s="1"/>
      <c r="W273" s="1"/>
      <c r="X273" s="1"/>
      <c r="Y273" s="1"/>
      <c r="Z273" s="1"/>
      <c r="AA273" s="1"/>
      <c r="AB273" s="1"/>
      <c r="AC273" s="1"/>
    </row>
    <row r="274" spans="12:29" ht="15">
      <c r="L274" s="1"/>
      <c r="M274" s="1"/>
      <c r="N274" s="1"/>
      <c r="O274" s="1"/>
      <c r="P274" s="1"/>
      <c r="Q274" s="1"/>
      <c r="R274" s="1"/>
      <c r="S274" s="1"/>
      <c r="T274" s="1"/>
      <c r="U274" s="1"/>
      <c r="V274" s="1"/>
      <c r="W274" s="1"/>
      <c r="X274" s="1"/>
      <c r="Y274" s="1"/>
      <c r="Z274" s="1"/>
      <c r="AA274" s="1"/>
      <c r="AB274" s="1"/>
      <c r="AC274" s="1"/>
    </row>
    <row r="275" spans="12:29" ht="15">
      <c r="L275" s="1"/>
      <c r="M275" s="1"/>
      <c r="N275" s="1"/>
      <c r="O275" s="1"/>
      <c r="P275" s="1"/>
      <c r="Q275" s="1"/>
      <c r="R275" s="1"/>
      <c r="S275" s="1"/>
      <c r="T275" s="1"/>
      <c r="U275" s="1"/>
      <c r="V275" s="1"/>
      <c r="W275" s="1"/>
      <c r="X275" s="1"/>
      <c r="Y275" s="1"/>
      <c r="Z275" s="1"/>
      <c r="AA275" s="1"/>
      <c r="AB275" s="1"/>
      <c r="AC275" s="1"/>
    </row>
    <row r="276" spans="12:29" ht="15">
      <c r="L276" s="1"/>
      <c r="M276" s="1"/>
      <c r="N276" s="1"/>
      <c r="O276" s="1"/>
      <c r="P276" s="1"/>
      <c r="Q276" s="1"/>
      <c r="R276" s="1"/>
      <c r="S276" s="1"/>
      <c r="T276" s="1"/>
      <c r="U276" s="1"/>
      <c r="V276" s="1"/>
      <c r="W276" s="1"/>
      <c r="X276" s="1"/>
      <c r="Y276" s="1"/>
      <c r="Z276" s="1"/>
      <c r="AA276" s="1"/>
      <c r="AB276" s="1"/>
      <c r="AC276" s="1"/>
    </row>
    <row r="277" spans="12:29" ht="15">
      <c r="L277" s="1"/>
      <c r="M277" s="1"/>
      <c r="N277" s="1"/>
      <c r="O277" s="1"/>
      <c r="P277" s="1"/>
      <c r="Q277" s="1"/>
      <c r="R277" s="1"/>
      <c r="S277" s="1"/>
      <c r="T277" s="1"/>
      <c r="U277" s="1"/>
      <c r="V277" s="1"/>
      <c r="W277" s="1"/>
      <c r="X277" s="1"/>
      <c r="Y277" s="1"/>
      <c r="Z277" s="1"/>
      <c r="AA277" s="1"/>
      <c r="AB277" s="1"/>
      <c r="AC277" s="1"/>
    </row>
    <row r="278" spans="12:29" ht="15">
      <c r="L278" s="1"/>
      <c r="M278" s="1"/>
      <c r="N278" s="1"/>
      <c r="O278" s="1"/>
      <c r="P278" s="1"/>
      <c r="Q278" s="1"/>
      <c r="R278" s="1"/>
      <c r="S278" s="1"/>
      <c r="T278" s="1"/>
      <c r="U278" s="1"/>
      <c r="V278" s="1"/>
      <c r="W278" s="1"/>
      <c r="X278" s="1"/>
      <c r="Y278" s="1"/>
      <c r="Z278" s="1"/>
      <c r="AA278" s="1"/>
      <c r="AB278" s="1"/>
      <c r="AC278" s="1"/>
    </row>
    <row r="279" spans="12:29" ht="15">
      <c r="L279" s="1"/>
      <c r="M279" s="1"/>
      <c r="N279" s="1"/>
      <c r="O279" s="1"/>
      <c r="P279" s="1"/>
      <c r="Q279" s="1"/>
      <c r="R279" s="1"/>
      <c r="S279" s="1"/>
      <c r="T279" s="1"/>
      <c r="U279" s="1"/>
      <c r="V279" s="1"/>
      <c r="W279" s="1"/>
      <c r="X279" s="1"/>
      <c r="Y279" s="1"/>
      <c r="Z279" s="1"/>
      <c r="AA279" s="1"/>
      <c r="AB279" s="1"/>
      <c r="AC279" s="1"/>
    </row>
    <row r="280" spans="12:29" ht="15">
      <c r="L280" s="1"/>
      <c r="M280" s="1"/>
      <c r="N280" s="1"/>
      <c r="O280" s="1"/>
      <c r="P280" s="1"/>
      <c r="Q280" s="1"/>
      <c r="R280" s="1"/>
      <c r="S280" s="1"/>
      <c r="T280" s="1"/>
      <c r="U280" s="1"/>
      <c r="V280" s="1"/>
      <c r="W280" s="1"/>
      <c r="X280" s="1"/>
      <c r="Y280" s="1"/>
      <c r="Z280" s="1"/>
      <c r="AA280" s="1"/>
      <c r="AB280" s="1"/>
      <c r="AC280" s="1"/>
    </row>
    <row r="281" spans="12:29" ht="15">
      <c r="L281" s="1"/>
      <c r="M281" s="1"/>
      <c r="N281" s="1"/>
      <c r="O281" s="1"/>
      <c r="P281" s="1"/>
      <c r="Q281" s="1"/>
      <c r="R281" s="1"/>
      <c r="S281" s="1"/>
      <c r="T281" s="1"/>
      <c r="U281" s="1"/>
      <c r="V281" s="1"/>
      <c r="W281" s="1"/>
      <c r="X281" s="1"/>
      <c r="Y281" s="1"/>
      <c r="Z281" s="1"/>
      <c r="AA281" s="1"/>
      <c r="AB281" s="1"/>
      <c r="AC281" s="1"/>
    </row>
    <row r="282" spans="12:29" ht="15">
      <c r="L282" s="1"/>
      <c r="M282" s="1"/>
      <c r="N282" s="1"/>
      <c r="O282" s="1"/>
      <c r="P282" s="1"/>
      <c r="Q282" s="1"/>
      <c r="R282" s="1"/>
      <c r="S282" s="1"/>
      <c r="T282" s="1"/>
      <c r="U282" s="1"/>
      <c r="V282" s="1"/>
      <c r="W282" s="1"/>
      <c r="X282" s="1"/>
      <c r="Y282" s="1"/>
      <c r="Z282" s="1"/>
      <c r="AA282" s="1"/>
      <c r="AB282" s="1"/>
      <c r="AC282" s="1"/>
    </row>
    <row r="283" spans="12:29" ht="15">
      <c r="L283" s="1"/>
      <c r="M283" s="1"/>
      <c r="N283" s="1"/>
      <c r="O283" s="1"/>
      <c r="P283" s="1"/>
      <c r="Q283" s="1"/>
      <c r="R283" s="1"/>
      <c r="S283" s="1"/>
      <c r="T283" s="1"/>
      <c r="U283" s="1"/>
      <c r="V283" s="1"/>
      <c r="W283" s="1"/>
      <c r="X283" s="1"/>
      <c r="Y283" s="1"/>
      <c r="Z283" s="1"/>
      <c r="AA283" s="1"/>
      <c r="AB283" s="1"/>
      <c r="AC283" s="1"/>
    </row>
    <row r="284" spans="12:29" ht="15">
      <c r="L284" s="1"/>
      <c r="M284" s="1"/>
      <c r="N284" s="1"/>
      <c r="O284" s="1"/>
      <c r="P284" s="1"/>
      <c r="Q284" s="1"/>
      <c r="R284" s="1"/>
      <c r="S284" s="1"/>
      <c r="T284" s="1"/>
      <c r="U284" s="1"/>
      <c r="V284" s="1"/>
      <c r="W284" s="1"/>
      <c r="X284" s="1"/>
      <c r="Y284" s="1"/>
      <c r="Z284" s="1"/>
      <c r="AA284" s="1"/>
      <c r="AB284" s="1"/>
      <c r="AC284" s="1"/>
    </row>
    <row r="285" spans="12:29" ht="15">
      <c r="L285" s="1"/>
      <c r="M285" s="1"/>
      <c r="N285" s="1"/>
      <c r="O285" s="1"/>
      <c r="P285" s="1"/>
      <c r="Q285" s="1"/>
      <c r="R285" s="1"/>
      <c r="S285" s="1"/>
      <c r="T285" s="1"/>
      <c r="U285" s="1"/>
      <c r="V285" s="1"/>
      <c r="W285" s="1"/>
      <c r="X285" s="1"/>
      <c r="Y285" s="1"/>
      <c r="Z285" s="1"/>
      <c r="AA285" s="1"/>
      <c r="AB285" s="1"/>
      <c r="AC285" s="1"/>
    </row>
    <row r="286" spans="12:29" ht="15">
      <c r="L286" s="1"/>
      <c r="M286" s="1"/>
      <c r="N286" s="1"/>
      <c r="O286" s="1"/>
      <c r="P286" s="1"/>
      <c r="Q286" s="1"/>
      <c r="R286" s="1"/>
      <c r="S286" s="1"/>
      <c r="T286" s="1"/>
      <c r="U286" s="1"/>
      <c r="V286" s="1"/>
      <c r="W286" s="1"/>
      <c r="X286" s="1"/>
      <c r="Y286" s="1"/>
      <c r="Z286" s="1"/>
      <c r="AA286" s="1"/>
      <c r="AB286" s="1"/>
      <c r="AC286" s="1"/>
    </row>
    <row r="287" spans="12:29" ht="15">
      <c r="L287" s="1"/>
      <c r="M287" s="1"/>
      <c r="N287" s="1"/>
      <c r="O287" s="1"/>
      <c r="P287" s="1"/>
      <c r="Q287" s="1"/>
      <c r="R287" s="1"/>
      <c r="S287" s="1"/>
      <c r="T287" s="1"/>
      <c r="U287" s="1"/>
      <c r="V287" s="1"/>
      <c r="W287" s="1"/>
      <c r="X287" s="1"/>
      <c r="Y287" s="1"/>
      <c r="Z287" s="1"/>
      <c r="AA287" s="1"/>
      <c r="AB287" s="1"/>
      <c r="AC287" s="1"/>
    </row>
    <row r="288" spans="12:29" ht="15">
      <c r="L288" s="1"/>
      <c r="M288" s="1"/>
      <c r="N288" s="1"/>
      <c r="O288" s="1"/>
      <c r="P288" s="1"/>
      <c r="Q288" s="1"/>
      <c r="R288" s="1"/>
      <c r="S288" s="1"/>
      <c r="T288" s="1"/>
      <c r="U288" s="1"/>
      <c r="V288" s="1"/>
      <c r="W288" s="1"/>
      <c r="X288" s="1"/>
      <c r="Y288" s="1"/>
      <c r="Z288" s="1"/>
      <c r="AA288" s="1"/>
      <c r="AB288" s="1"/>
      <c r="AC288" s="1"/>
    </row>
    <row r="289" spans="12:29" ht="15">
      <c r="L289" s="1"/>
      <c r="M289" s="1"/>
      <c r="N289" s="1"/>
      <c r="O289" s="1"/>
      <c r="P289" s="1"/>
      <c r="Q289" s="1"/>
      <c r="R289" s="1"/>
      <c r="S289" s="1"/>
      <c r="T289" s="1"/>
      <c r="U289" s="1"/>
      <c r="V289" s="1"/>
      <c r="W289" s="1"/>
      <c r="X289" s="1"/>
      <c r="Y289" s="1"/>
      <c r="Z289" s="1"/>
      <c r="AA289" s="1"/>
      <c r="AB289" s="1"/>
      <c r="AC289" s="1"/>
    </row>
    <row r="290" spans="12:29" ht="15">
      <c r="L290" s="1"/>
      <c r="M290" s="1"/>
      <c r="N290" s="1"/>
      <c r="O290" s="1"/>
      <c r="P290" s="1"/>
      <c r="Q290" s="1"/>
      <c r="R290" s="1"/>
      <c r="S290" s="1"/>
      <c r="T290" s="1"/>
      <c r="U290" s="1"/>
      <c r="V290" s="1"/>
      <c r="W290" s="1"/>
      <c r="X290" s="1"/>
      <c r="Y290" s="1"/>
      <c r="Z290" s="1"/>
      <c r="AA290" s="1"/>
      <c r="AB290" s="1"/>
      <c r="AC290" s="1"/>
    </row>
    <row r="291" spans="12:29" ht="15">
      <c r="L291" s="1"/>
      <c r="M291" s="1"/>
      <c r="N291" s="1"/>
      <c r="O291" s="1"/>
      <c r="P291" s="1"/>
      <c r="Q291" s="1"/>
      <c r="R291" s="1"/>
      <c r="S291" s="1"/>
      <c r="T291" s="1"/>
      <c r="U291" s="1"/>
      <c r="V291" s="1"/>
      <c r="W291" s="1"/>
      <c r="X291" s="1"/>
      <c r="Y291" s="1"/>
      <c r="Z291" s="1"/>
      <c r="AA291" s="1"/>
      <c r="AB291" s="1"/>
      <c r="AC291" s="1"/>
    </row>
    <row r="292" spans="12:29" ht="15">
      <c r="L292" s="1"/>
      <c r="M292" s="1"/>
      <c r="N292" s="1"/>
      <c r="O292" s="1"/>
      <c r="P292" s="1"/>
      <c r="Q292" s="1"/>
      <c r="R292" s="1"/>
      <c r="S292" s="1"/>
      <c r="T292" s="1"/>
      <c r="U292" s="1"/>
      <c r="V292" s="1"/>
      <c r="W292" s="1"/>
      <c r="X292" s="1"/>
      <c r="Y292" s="1"/>
      <c r="Z292" s="1"/>
      <c r="AA292" s="1"/>
      <c r="AB292" s="1"/>
      <c r="AC292" s="1"/>
    </row>
    <row r="293" spans="12:29" ht="15">
      <c r="L293" s="1"/>
      <c r="M293" s="1"/>
      <c r="N293" s="1"/>
      <c r="O293" s="1"/>
      <c r="P293" s="1"/>
      <c r="Q293" s="1"/>
      <c r="R293" s="1"/>
      <c r="S293" s="1"/>
      <c r="T293" s="1"/>
      <c r="U293" s="1"/>
      <c r="V293" s="1"/>
      <c r="W293" s="1"/>
      <c r="X293" s="1"/>
      <c r="Y293" s="1"/>
      <c r="Z293" s="1"/>
      <c r="AA293" s="1"/>
      <c r="AB293" s="1"/>
      <c r="AC293" s="1"/>
    </row>
    <row r="294" spans="12:29" ht="15">
      <c r="L294" s="1"/>
      <c r="M294" s="1"/>
      <c r="N294" s="1"/>
      <c r="O294" s="1"/>
      <c r="P294" s="1"/>
      <c r="Q294" s="1"/>
      <c r="R294" s="1"/>
      <c r="S294" s="1"/>
      <c r="T294" s="1"/>
      <c r="U294" s="1"/>
      <c r="V294" s="1"/>
      <c r="W294" s="1"/>
      <c r="X294" s="1"/>
      <c r="Y294" s="1"/>
      <c r="Z294" s="1"/>
      <c r="AA294" s="1"/>
      <c r="AB294" s="1"/>
      <c r="AC294" s="1"/>
    </row>
    <row r="295" spans="12:29" ht="15">
      <c r="L295" s="1"/>
      <c r="M295" s="1"/>
      <c r="N295" s="1"/>
      <c r="O295" s="1"/>
      <c r="P295" s="1"/>
      <c r="Q295" s="1"/>
      <c r="R295" s="1"/>
      <c r="S295" s="1"/>
      <c r="T295" s="1"/>
      <c r="U295" s="1"/>
      <c r="V295" s="1"/>
      <c r="W295" s="1"/>
      <c r="X295" s="1"/>
      <c r="Y295" s="1"/>
      <c r="Z295" s="1"/>
      <c r="AA295" s="1"/>
      <c r="AB295" s="1"/>
      <c r="AC295" s="1"/>
    </row>
    <row r="296" spans="12:29" ht="15">
      <c r="L296" s="1"/>
      <c r="M296" s="1"/>
      <c r="N296" s="1"/>
      <c r="O296" s="1"/>
      <c r="P296" s="1"/>
      <c r="Q296" s="1"/>
      <c r="R296" s="1"/>
      <c r="S296" s="1"/>
      <c r="T296" s="1"/>
      <c r="U296" s="1"/>
      <c r="V296" s="1"/>
      <c r="W296" s="1"/>
      <c r="X296" s="1"/>
      <c r="Y296" s="1"/>
      <c r="Z296" s="1"/>
      <c r="AA296" s="1"/>
      <c r="AB296" s="1"/>
      <c r="AC296" s="1"/>
    </row>
    <row r="297" spans="12:29" ht="15">
      <c r="L297" s="1"/>
      <c r="M297" s="1"/>
      <c r="N297" s="1"/>
      <c r="O297" s="1"/>
      <c r="P297" s="1"/>
      <c r="Q297" s="1"/>
      <c r="R297" s="1"/>
      <c r="S297" s="1"/>
      <c r="T297" s="1"/>
      <c r="U297" s="1"/>
      <c r="V297" s="1"/>
      <c r="W297" s="1"/>
      <c r="X297" s="1"/>
      <c r="Y297" s="1"/>
      <c r="Z297" s="1"/>
      <c r="AA297" s="1"/>
      <c r="AB297" s="1"/>
      <c r="AC297" s="1"/>
    </row>
    <row r="298" spans="12:29" ht="15">
      <c r="L298" s="1"/>
      <c r="M298" s="1"/>
      <c r="N298" s="1"/>
      <c r="O298" s="1"/>
      <c r="P298" s="1"/>
      <c r="Q298" s="1"/>
      <c r="R298" s="1"/>
      <c r="S298" s="1"/>
      <c r="T298" s="1"/>
      <c r="U298" s="1"/>
      <c r="V298" s="1"/>
      <c r="W298" s="1"/>
      <c r="X298" s="1"/>
      <c r="Y298" s="1"/>
      <c r="Z298" s="1"/>
      <c r="AA298" s="1"/>
      <c r="AB298" s="1"/>
      <c r="AC298" s="1"/>
    </row>
    <row r="299" spans="12:29" ht="15">
      <c r="L299" s="1"/>
      <c r="M299" s="1"/>
      <c r="N299" s="1"/>
      <c r="O299" s="1"/>
      <c r="P299" s="1"/>
      <c r="Q299" s="1"/>
      <c r="R299" s="1"/>
      <c r="S299" s="1"/>
      <c r="T299" s="1"/>
      <c r="U299" s="1"/>
      <c r="V299" s="1"/>
      <c r="W299" s="1"/>
      <c r="X299" s="1"/>
      <c r="Y299" s="1"/>
      <c r="Z299" s="1"/>
      <c r="AA299" s="1"/>
      <c r="AB299" s="1"/>
      <c r="AC299" s="1"/>
    </row>
    <row r="300" spans="12:29" ht="15">
      <c r="L300" s="1"/>
      <c r="M300" s="1"/>
      <c r="N300" s="1"/>
      <c r="O300" s="1"/>
      <c r="P300" s="1"/>
      <c r="Q300" s="1"/>
      <c r="R300" s="1"/>
      <c r="S300" s="1"/>
      <c r="T300" s="1"/>
      <c r="U300" s="1"/>
      <c r="V300" s="1"/>
      <c r="W300" s="1"/>
      <c r="X300" s="1"/>
      <c r="Y300" s="1"/>
      <c r="Z300" s="1"/>
      <c r="AA300" s="1"/>
      <c r="AB300" s="1"/>
      <c r="AC300" s="1"/>
    </row>
    <row r="301" spans="12:29" ht="15">
      <c r="L301" s="1"/>
      <c r="M301" s="1"/>
      <c r="N301" s="1"/>
      <c r="O301" s="1"/>
      <c r="P301" s="1"/>
      <c r="Q301" s="1"/>
      <c r="R301" s="1"/>
      <c r="S301" s="1"/>
      <c r="T301" s="1"/>
      <c r="U301" s="1"/>
      <c r="V301" s="1"/>
      <c r="W301" s="1"/>
      <c r="X301" s="1"/>
      <c r="Y301" s="1"/>
      <c r="Z301" s="1"/>
      <c r="AA301" s="1"/>
      <c r="AB301" s="1"/>
      <c r="AC301" s="1"/>
    </row>
    <row r="302" spans="12:29" ht="15">
      <c r="L302" s="1"/>
      <c r="M302" s="1"/>
      <c r="N302" s="1"/>
      <c r="O302" s="1"/>
      <c r="P302" s="1"/>
      <c r="Q302" s="1"/>
      <c r="R302" s="1"/>
      <c r="S302" s="1"/>
      <c r="T302" s="1"/>
      <c r="U302" s="1"/>
      <c r="V302" s="1"/>
      <c r="W302" s="1"/>
      <c r="X302" s="1"/>
      <c r="Y302" s="1"/>
      <c r="Z302" s="1"/>
      <c r="AA302" s="1"/>
      <c r="AB302" s="1"/>
      <c r="AC302" s="1"/>
    </row>
    <row r="303" spans="12:29" ht="15">
      <c r="L303" s="1"/>
      <c r="M303" s="1"/>
      <c r="N303" s="1"/>
      <c r="O303" s="1"/>
      <c r="P303" s="1"/>
      <c r="Q303" s="1"/>
      <c r="R303" s="1"/>
      <c r="S303" s="1"/>
      <c r="T303" s="1"/>
      <c r="U303" s="1"/>
      <c r="V303" s="1"/>
      <c r="W303" s="1"/>
      <c r="X303" s="1"/>
      <c r="Y303" s="1"/>
      <c r="Z303" s="1"/>
      <c r="AA303" s="1"/>
      <c r="AB303" s="1"/>
      <c r="AC303" s="1"/>
    </row>
    <row r="304" spans="12:29" ht="15">
      <c r="L304" s="1"/>
      <c r="M304" s="1"/>
      <c r="N304" s="1"/>
      <c r="O304" s="1"/>
      <c r="P304" s="1"/>
      <c r="Q304" s="1"/>
      <c r="R304" s="1"/>
      <c r="S304" s="1"/>
      <c r="T304" s="1"/>
      <c r="U304" s="1"/>
      <c r="V304" s="1"/>
      <c r="W304" s="1"/>
      <c r="X304" s="1"/>
      <c r="Y304" s="1"/>
      <c r="Z304" s="1"/>
      <c r="AA304" s="1"/>
      <c r="AB304" s="1"/>
      <c r="AC304" s="1"/>
    </row>
    <row r="305" spans="12:29" ht="15">
      <c r="L305" s="1"/>
      <c r="M305" s="1"/>
      <c r="N305" s="1"/>
      <c r="O305" s="1"/>
      <c r="P305" s="1"/>
      <c r="Q305" s="1"/>
      <c r="R305" s="1"/>
      <c r="S305" s="1"/>
      <c r="T305" s="1"/>
      <c r="U305" s="1"/>
      <c r="V305" s="1"/>
      <c r="W305" s="1"/>
      <c r="X305" s="1"/>
      <c r="Y305" s="1"/>
      <c r="Z305" s="1"/>
      <c r="AA305" s="1"/>
      <c r="AB305" s="1"/>
      <c r="AC305" s="1"/>
    </row>
    <row r="306" spans="12:29" ht="15">
      <c r="L306" s="1"/>
      <c r="M306" s="1"/>
      <c r="N306" s="1"/>
      <c r="O306" s="1"/>
      <c r="P306" s="1"/>
      <c r="Q306" s="1"/>
      <c r="R306" s="1"/>
      <c r="S306" s="1"/>
      <c r="T306" s="1"/>
      <c r="U306" s="1"/>
      <c r="V306" s="1"/>
      <c r="W306" s="1"/>
      <c r="X306" s="1"/>
      <c r="Y306" s="1"/>
      <c r="Z306" s="1"/>
      <c r="AA306" s="1"/>
      <c r="AB306" s="1"/>
      <c r="AC306" s="1"/>
    </row>
    <row r="307" spans="12:29" ht="15">
      <c r="L307" s="1"/>
      <c r="M307" s="1"/>
      <c r="N307" s="1"/>
      <c r="O307" s="1"/>
      <c r="P307" s="1"/>
      <c r="Q307" s="1"/>
      <c r="R307" s="1"/>
      <c r="S307" s="1"/>
      <c r="T307" s="1"/>
      <c r="U307" s="1"/>
      <c r="V307" s="1"/>
      <c r="W307" s="1"/>
      <c r="X307" s="1"/>
      <c r="Y307" s="1"/>
      <c r="Z307" s="1"/>
      <c r="AA307" s="1"/>
      <c r="AB307" s="1"/>
      <c r="AC307" s="1"/>
    </row>
    <row r="308" spans="12:29" ht="15">
      <c r="L308" s="1"/>
      <c r="M308" s="1"/>
      <c r="N308" s="1"/>
      <c r="O308" s="1"/>
      <c r="P308" s="1"/>
      <c r="Q308" s="1"/>
      <c r="R308" s="1"/>
      <c r="S308" s="1"/>
      <c r="T308" s="1"/>
      <c r="U308" s="1"/>
      <c r="V308" s="1"/>
      <c r="W308" s="1"/>
      <c r="X308" s="1"/>
      <c r="Y308" s="1"/>
      <c r="Z308" s="1"/>
      <c r="AA308" s="1"/>
      <c r="AB308" s="1"/>
      <c r="AC308" s="1"/>
    </row>
    <row r="309" spans="12:29" ht="15">
      <c r="L309" s="1"/>
      <c r="M309" s="1"/>
      <c r="N309" s="1"/>
      <c r="O309" s="1"/>
      <c r="P309" s="1"/>
      <c r="Q309" s="1"/>
      <c r="R309" s="1"/>
      <c r="S309" s="1"/>
      <c r="T309" s="1"/>
      <c r="U309" s="1"/>
      <c r="V309" s="1"/>
      <c r="W309" s="1"/>
      <c r="X309" s="1"/>
      <c r="Y309" s="1"/>
      <c r="Z309" s="1"/>
      <c r="AA309" s="1"/>
      <c r="AB309" s="1"/>
      <c r="AC309" s="1"/>
    </row>
    <row r="310" spans="12:29" ht="15">
      <c r="L310" s="1"/>
      <c r="M310" s="1"/>
      <c r="N310" s="1"/>
      <c r="O310" s="1"/>
      <c r="P310" s="1"/>
      <c r="Q310" s="1"/>
      <c r="R310" s="1"/>
      <c r="S310" s="1"/>
      <c r="T310" s="1"/>
      <c r="U310" s="1"/>
      <c r="V310" s="1"/>
      <c r="W310" s="1"/>
      <c r="X310" s="1"/>
      <c r="Y310" s="1"/>
      <c r="Z310" s="1"/>
      <c r="AA310" s="1"/>
      <c r="AB310" s="1"/>
      <c r="AC310" s="1"/>
    </row>
    <row r="311" spans="12:29" ht="15">
      <c r="L311" s="1"/>
      <c r="M311" s="1"/>
      <c r="N311" s="1"/>
      <c r="O311" s="1"/>
      <c r="P311" s="1"/>
      <c r="Q311" s="1"/>
      <c r="R311" s="1"/>
      <c r="S311" s="1"/>
      <c r="T311" s="1"/>
      <c r="U311" s="1"/>
      <c r="V311" s="1"/>
      <c r="W311" s="1"/>
      <c r="X311" s="1"/>
      <c r="Y311" s="1"/>
      <c r="Z311" s="1"/>
      <c r="AA311" s="1"/>
      <c r="AB311" s="1"/>
      <c r="AC311" s="1"/>
    </row>
    <row r="312" spans="12:29" ht="15">
      <c r="L312" s="1"/>
      <c r="M312" s="1"/>
      <c r="N312" s="1"/>
      <c r="O312" s="1"/>
      <c r="P312" s="1"/>
      <c r="Q312" s="1"/>
      <c r="R312" s="1"/>
      <c r="S312" s="1"/>
      <c r="T312" s="1"/>
      <c r="U312" s="1"/>
      <c r="V312" s="1"/>
      <c r="W312" s="1"/>
      <c r="X312" s="1"/>
      <c r="Y312" s="1"/>
      <c r="Z312" s="1"/>
      <c r="AA312" s="1"/>
      <c r="AB312" s="1"/>
      <c r="AC312" s="1"/>
    </row>
    <row r="313" spans="12:29" ht="15">
      <c r="L313" s="1"/>
      <c r="M313" s="1"/>
      <c r="N313" s="1"/>
      <c r="O313" s="1"/>
      <c r="P313" s="1"/>
      <c r="Q313" s="1"/>
      <c r="R313" s="1"/>
      <c r="S313" s="1"/>
      <c r="T313" s="1"/>
      <c r="U313" s="1"/>
      <c r="V313" s="1"/>
      <c r="W313" s="1"/>
      <c r="X313" s="1"/>
      <c r="Y313" s="1"/>
      <c r="Z313" s="1"/>
      <c r="AA313" s="1"/>
      <c r="AB313" s="1"/>
      <c r="AC313" s="1"/>
    </row>
    <row r="314" spans="12:29" ht="15">
      <c r="L314" s="1"/>
      <c r="M314" s="1"/>
      <c r="N314" s="1"/>
      <c r="O314" s="1"/>
      <c r="P314" s="1"/>
      <c r="Q314" s="1"/>
      <c r="R314" s="1"/>
      <c r="S314" s="1"/>
      <c r="T314" s="1"/>
      <c r="U314" s="1"/>
      <c r="V314" s="1"/>
      <c r="W314" s="1"/>
      <c r="X314" s="1"/>
      <c r="Y314" s="1"/>
      <c r="Z314" s="1"/>
      <c r="AA314" s="1"/>
      <c r="AB314" s="1"/>
      <c r="AC314" s="1"/>
    </row>
    <row r="315" spans="12:29" ht="15">
      <c r="L315" s="1"/>
      <c r="M315" s="1"/>
      <c r="N315" s="1"/>
      <c r="O315" s="1"/>
      <c r="P315" s="1"/>
      <c r="Q315" s="1"/>
      <c r="R315" s="1"/>
      <c r="S315" s="1"/>
      <c r="T315" s="1"/>
      <c r="U315" s="1"/>
      <c r="V315" s="1"/>
      <c r="W315" s="1"/>
      <c r="X315" s="1"/>
      <c r="Y315" s="1"/>
      <c r="Z315" s="1"/>
      <c r="AA315" s="1"/>
      <c r="AB315" s="1"/>
      <c r="AC315" s="1"/>
    </row>
    <row r="316" spans="12:29" ht="15">
      <c r="L316" s="1"/>
      <c r="M316" s="1"/>
      <c r="N316" s="1"/>
      <c r="O316" s="1"/>
      <c r="P316" s="1"/>
      <c r="Q316" s="1"/>
      <c r="R316" s="1"/>
      <c r="S316" s="1"/>
      <c r="T316" s="1"/>
      <c r="U316" s="1"/>
      <c r="V316" s="1"/>
      <c r="W316" s="1"/>
      <c r="X316" s="1"/>
      <c r="Y316" s="1"/>
      <c r="Z316" s="1"/>
      <c r="AA316" s="1"/>
      <c r="AB316" s="1"/>
      <c r="AC316" s="1"/>
    </row>
    <row r="317" spans="12:29" ht="15">
      <c r="L317" s="1"/>
      <c r="M317" s="1"/>
      <c r="N317" s="1"/>
      <c r="O317" s="1"/>
      <c r="P317" s="1"/>
      <c r="Q317" s="1"/>
      <c r="R317" s="1"/>
      <c r="S317" s="1"/>
      <c r="T317" s="1"/>
      <c r="U317" s="1"/>
      <c r="V317" s="1"/>
      <c r="W317" s="1"/>
      <c r="X317" s="1"/>
      <c r="Y317" s="1"/>
      <c r="Z317" s="1"/>
      <c r="AA317" s="1"/>
      <c r="AB317" s="1"/>
      <c r="AC317" s="1"/>
    </row>
    <row r="318" spans="12:29" ht="15">
      <c r="L318" s="1"/>
      <c r="M318" s="1"/>
      <c r="N318" s="1"/>
      <c r="O318" s="1"/>
      <c r="P318" s="1"/>
      <c r="Q318" s="1"/>
      <c r="R318" s="1"/>
      <c r="S318" s="1"/>
      <c r="T318" s="1"/>
      <c r="U318" s="1"/>
      <c r="V318" s="1"/>
      <c r="W318" s="1"/>
      <c r="X318" s="1"/>
      <c r="Y318" s="1"/>
      <c r="Z318" s="1"/>
      <c r="AA318" s="1"/>
      <c r="AB318" s="1"/>
      <c r="AC318" s="1"/>
    </row>
    <row r="319" spans="12:29" ht="15">
      <c r="L319" s="1"/>
      <c r="M319" s="1"/>
      <c r="N319" s="1"/>
      <c r="O319" s="1"/>
      <c r="P319" s="1"/>
      <c r="Q319" s="1"/>
      <c r="R319" s="1"/>
      <c r="S319" s="1"/>
      <c r="T319" s="1"/>
      <c r="U319" s="1"/>
      <c r="V319" s="1"/>
      <c r="W319" s="1"/>
      <c r="X319" s="1"/>
      <c r="Y319" s="1"/>
      <c r="Z319" s="1"/>
      <c r="AA319" s="1"/>
      <c r="AB319" s="1"/>
      <c r="AC319" s="1"/>
    </row>
    <row r="320" spans="12:29" ht="15">
      <c r="L320" s="1"/>
      <c r="M320" s="1"/>
      <c r="N320" s="1"/>
      <c r="O320" s="1"/>
      <c r="P320" s="1"/>
      <c r="Q320" s="1"/>
      <c r="R320" s="1"/>
      <c r="S320" s="1"/>
      <c r="T320" s="1"/>
      <c r="U320" s="1"/>
      <c r="V320" s="1"/>
      <c r="W320" s="1"/>
      <c r="X320" s="1"/>
      <c r="Y320" s="1"/>
      <c r="Z320" s="1"/>
      <c r="AA320" s="1"/>
      <c r="AB320" s="1"/>
      <c r="AC320" s="1"/>
    </row>
    <row r="321" spans="12:29" ht="15">
      <c r="L321" s="1"/>
      <c r="M321" s="1"/>
      <c r="N321" s="1"/>
      <c r="O321" s="1"/>
      <c r="P321" s="1"/>
      <c r="Q321" s="1"/>
      <c r="R321" s="1"/>
      <c r="S321" s="1"/>
      <c r="T321" s="1"/>
      <c r="U321" s="1"/>
      <c r="V321" s="1"/>
      <c r="W321" s="1"/>
      <c r="X321" s="1"/>
      <c r="Y321" s="1"/>
      <c r="Z321" s="1"/>
      <c r="AA321" s="1"/>
      <c r="AB321" s="1"/>
      <c r="AC321" s="1"/>
    </row>
    <row r="322" spans="12:29" ht="15">
      <c r="L322" s="1"/>
      <c r="M322" s="1"/>
      <c r="N322" s="1"/>
      <c r="O322" s="1"/>
      <c r="P322" s="1"/>
      <c r="Q322" s="1"/>
      <c r="R322" s="1"/>
      <c r="S322" s="1"/>
      <c r="T322" s="1"/>
      <c r="U322" s="1"/>
      <c r="V322" s="1"/>
      <c r="W322" s="1"/>
      <c r="X322" s="1"/>
      <c r="Y322" s="1"/>
      <c r="Z322" s="1"/>
      <c r="AA322" s="1"/>
      <c r="AB322" s="1"/>
      <c r="AC322" s="1"/>
    </row>
    <row r="323" spans="12:29" ht="15">
      <c r="L323" s="1"/>
      <c r="M323" s="1"/>
      <c r="N323" s="1"/>
      <c r="O323" s="1"/>
      <c r="P323" s="1"/>
      <c r="Q323" s="1"/>
      <c r="R323" s="1"/>
      <c r="S323" s="1"/>
      <c r="T323" s="1"/>
      <c r="U323" s="1"/>
      <c r="V323" s="1"/>
      <c r="W323" s="1"/>
      <c r="X323" s="1"/>
      <c r="Y323" s="1"/>
      <c r="Z323" s="1"/>
      <c r="AA323" s="1"/>
      <c r="AB323" s="1"/>
      <c r="AC323" s="1"/>
    </row>
    <row r="324" spans="12:29" ht="15">
      <c r="L324" s="1"/>
      <c r="M324" s="1"/>
      <c r="N324" s="1"/>
      <c r="O324" s="1"/>
      <c r="P324" s="1"/>
      <c r="Q324" s="1"/>
      <c r="R324" s="1"/>
      <c r="S324" s="1"/>
      <c r="T324" s="1"/>
      <c r="U324" s="1"/>
      <c r="V324" s="1"/>
      <c r="W324" s="1"/>
      <c r="X324" s="1"/>
      <c r="Y324" s="1"/>
      <c r="Z324" s="1"/>
      <c r="AA324" s="1"/>
      <c r="AB324" s="1"/>
      <c r="AC324" s="1"/>
    </row>
    <row r="325" spans="12:29" ht="15">
      <c r="L325" s="1"/>
      <c r="M325" s="1"/>
      <c r="N325" s="1"/>
      <c r="O325" s="1"/>
      <c r="P325" s="1"/>
      <c r="Q325" s="1"/>
      <c r="R325" s="1"/>
      <c r="S325" s="1"/>
      <c r="T325" s="1"/>
      <c r="U325" s="1"/>
      <c r="V325" s="1"/>
      <c r="W325" s="1"/>
      <c r="X325" s="1"/>
      <c r="Y325" s="1"/>
      <c r="Z325" s="1"/>
      <c r="AA325" s="1"/>
      <c r="AB325" s="1"/>
      <c r="AC325" s="1"/>
    </row>
    <row r="326" spans="12:29" ht="15">
      <c r="L326" s="1"/>
      <c r="M326" s="1"/>
      <c r="N326" s="1"/>
      <c r="O326" s="1"/>
      <c r="P326" s="1"/>
      <c r="Q326" s="1"/>
      <c r="R326" s="1"/>
      <c r="S326" s="1"/>
      <c r="T326" s="1"/>
      <c r="U326" s="1"/>
      <c r="V326" s="1"/>
      <c r="W326" s="1"/>
      <c r="X326" s="1"/>
      <c r="Y326" s="1"/>
      <c r="Z326" s="1"/>
      <c r="AA326" s="1"/>
      <c r="AB326" s="1"/>
      <c r="AC326" s="1"/>
    </row>
    <row r="327" spans="12:29" ht="15">
      <c r="L327" s="1"/>
      <c r="M327" s="1"/>
      <c r="N327" s="1"/>
      <c r="O327" s="1"/>
      <c r="P327" s="1"/>
      <c r="Q327" s="1"/>
      <c r="R327" s="1"/>
      <c r="S327" s="1"/>
      <c r="T327" s="1"/>
      <c r="U327" s="1"/>
      <c r="V327" s="1"/>
      <c r="W327" s="1"/>
      <c r="X327" s="1"/>
      <c r="Y327" s="1"/>
      <c r="Z327" s="1"/>
      <c r="AA327" s="1"/>
      <c r="AB327" s="1"/>
      <c r="AC327" s="1"/>
    </row>
    <row r="328" spans="12:29" ht="15">
      <c r="L328" s="1"/>
      <c r="M328" s="1"/>
      <c r="N328" s="1"/>
      <c r="O328" s="1"/>
      <c r="P328" s="1"/>
      <c r="Q328" s="1"/>
      <c r="R328" s="1"/>
      <c r="S328" s="1"/>
      <c r="T328" s="1"/>
      <c r="U328" s="1"/>
      <c r="V328" s="1"/>
      <c r="W328" s="1"/>
      <c r="X328" s="1"/>
      <c r="Y328" s="1"/>
      <c r="Z328" s="1"/>
      <c r="AA328" s="1"/>
      <c r="AB328" s="1"/>
      <c r="AC328" s="1"/>
    </row>
    <row r="329" spans="12:29" ht="15">
      <c r="L329" s="1"/>
      <c r="M329" s="1"/>
      <c r="N329" s="1"/>
      <c r="O329" s="1"/>
      <c r="P329" s="1"/>
      <c r="Q329" s="1"/>
      <c r="R329" s="1"/>
      <c r="S329" s="1"/>
      <c r="T329" s="1"/>
      <c r="U329" s="1"/>
      <c r="V329" s="1"/>
      <c r="W329" s="1"/>
      <c r="X329" s="1"/>
      <c r="Y329" s="1"/>
      <c r="Z329" s="1"/>
      <c r="AA329" s="1"/>
      <c r="AB329" s="1"/>
      <c r="AC329" s="1"/>
    </row>
    <row r="330" spans="12:29" ht="15">
      <c r="L330" s="1"/>
      <c r="M330" s="1"/>
      <c r="N330" s="1"/>
      <c r="O330" s="1"/>
      <c r="P330" s="1"/>
      <c r="Q330" s="1"/>
      <c r="R330" s="1"/>
      <c r="S330" s="1"/>
      <c r="T330" s="1"/>
      <c r="U330" s="1"/>
      <c r="V330" s="1"/>
      <c r="W330" s="1"/>
      <c r="X330" s="1"/>
      <c r="Y330" s="1"/>
      <c r="Z330" s="1"/>
      <c r="AA330" s="1"/>
      <c r="AB330" s="1"/>
      <c r="AC330" s="1"/>
    </row>
    <row r="331" spans="12:29" ht="15">
      <c r="L331" s="1"/>
      <c r="M331" s="1"/>
      <c r="N331" s="1"/>
      <c r="O331" s="1"/>
      <c r="P331" s="1"/>
      <c r="Q331" s="1"/>
      <c r="R331" s="1"/>
      <c r="S331" s="1"/>
      <c r="T331" s="1"/>
      <c r="U331" s="1"/>
      <c r="V331" s="1"/>
      <c r="W331" s="1"/>
      <c r="X331" s="1"/>
      <c r="Y331" s="1"/>
      <c r="Z331" s="1"/>
      <c r="AA331" s="1"/>
      <c r="AB331" s="1"/>
      <c r="AC331" s="1"/>
    </row>
    <row r="332" spans="12:29" ht="15">
      <c r="L332" s="1"/>
      <c r="M332" s="1"/>
      <c r="N332" s="1"/>
      <c r="O332" s="1"/>
      <c r="P332" s="1"/>
      <c r="Q332" s="1"/>
      <c r="R332" s="1"/>
      <c r="S332" s="1"/>
      <c r="T332" s="1"/>
      <c r="U332" s="1"/>
      <c r="V332" s="1"/>
      <c r="W332" s="1"/>
      <c r="X332" s="1"/>
      <c r="Y332" s="1"/>
      <c r="Z332" s="1"/>
      <c r="AA332" s="1"/>
      <c r="AB332" s="1"/>
      <c r="AC332" s="1"/>
    </row>
    <row r="333" spans="12:29" ht="15">
      <c r="L333" s="1"/>
      <c r="M333" s="1"/>
      <c r="N333" s="1"/>
      <c r="O333" s="1"/>
      <c r="P333" s="1"/>
      <c r="Q333" s="1"/>
      <c r="R333" s="1"/>
      <c r="S333" s="1"/>
      <c r="T333" s="1"/>
      <c r="U333" s="1"/>
      <c r="V333" s="1"/>
      <c r="W333" s="1"/>
      <c r="X333" s="1"/>
      <c r="Y333" s="1"/>
      <c r="Z333" s="1"/>
      <c r="AA333" s="1"/>
      <c r="AB333" s="1"/>
      <c r="AC333" s="1"/>
    </row>
    <row r="334" spans="12:29" ht="15">
      <c r="L334" s="1"/>
      <c r="M334" s="1"/>
      <c r="N334" s="1"/>
      <c r="O334" s="1"/>
      <c r="P334" s="1"/>
      <c r="Q334" s="1"/>
      <c r="R334" s="1"/>
      <c r="S334" s="1"/>
      <c r="T334" s="1"/>
      <c r="U334" s="1"/>
      <c r="V334" s="1"/>
      <c r="W334" s="1"/>
      <c r="X334" s="1"/>
      <c r="Y334" s="1"/>
      <c r="Z334" s="1"/>
      <c r="AA334" s="1"/>
      <c r="AB334" s="1"/>
      <c r="AC334" s="1"/>
    </row>
    <row r="335" spans="12:29" ht="15">
      <c r="L335" s="1"/>
      <c r="M335" s="1"/>
      <c r="N335" s="1"/>
      <c r="O335" s="1"/>
      <c r="P335" s="1"/>
      <c r="Q335" s="1"/>
      <c r="R335" s="1"/>
      <c r="S335" s="1"/>
      <c r="T335" s="1"/>
      <c r="U335" s="1"/>
      <c r="V335" s="1"/>
      <c r="W335" s="1"/>
      <c r="X335" s="1"/>
      <c r="Y335" s="1"/>
      <c r="Z335" s="1"/>
      <c r="AA335" s="1"/>
      <c r="AB335" s="1"/>
      <c r="AC335" s="1"/>
    </row>
    <row r="336" spans="12:29" ht="15">
      <c r="L336" s="1"/>
      <c r="M336" s="1"/>
      <c r="N336" s="1"/>
      <c r="O336" s="1"/>
      <c r="P336" s="1"/>
      <c r="Q336" s="1"/>
      <c r="R336" s="1"/>
      <c r="S336" s="1"/>
      <c r="T336" s="1"/>
      <c r="U336" s="1"/>
      <c r="V336" s="1"/>
      <c r="W336" s="1"/>
      <c r="X336" s="1"/>
      <c r="Y336" s="1"/>
      <c r="Z336" s="1"/>
      <c r="AA336" s="1"/>
      <c r="AB336" s="1"/>
      <c r="AC336" s="1"/>
    </row>
    <row r="337" spans="12:29" ht="15">
      <c r="L337" s="1"/>
      <c r="M337" s="1"/>
      <c r="N337" s="1"/>
      <c r="O337" s="1"/>
      <c r="P337" s="1"/>
      <c r="Q337" s="1"/>
      <c r="R337" s="1"/>
      <c r="S337" s="1"/>
      <c r="T337" s="1"/>
      <c r="U337" s="1"/>
      <c r="V337" s="1"/>
      <c r="W337" s="1"/>
      <c r="X337" s="1"/>
      <c r="Y337" s="1"/>
      <c r="Z337" s="1"/>
      <c r="AA337" s="1"/>
      <c r="AB337" s="1"/>
      <c r="AC337" s="1"/>
    </row>
    <row r="338" spans="12:29" ht="15">
      <c r="L338" s="1"/>
      <c r="M338" s="1"/>
      <c r="N338" s="1"/>
      <c r="O338" s="1"/>
      <c r="P338" s="1"/>
      <c r="Q338" s="1"/>
      <c r="R338" s="1"/>
      <c r="S338" s="1"/>
      <c r="T338" s="1"/>
      <c r="U338" s="1"/>
      <c r="V338" s="1"/>
      <c r="W338" s="1"/>
      <c r="X338" s="1"/>
      <c r="Y338" s="1"/>
      <c r="Z338" s="1"/>
      <c r="AA338" s="1"/>
      <c r="AB338" s="1"/>
      <c r="AC338" s="1"/>
    </row>
    <row r="339" spans="12:29" ht="15">
      <c r="L339" s="1"/>
      <c r="M339" s="1"/>
      <c r="N339" s="1"/>
      <c r="O339" s="1"/>
      <c r="P339" s="1"/>
      <c r="Q339" s="1"/>
      <c r="R339" s="1"/>
      <c r="S339" s="1"/>
      <c r="T339" s="1"/>
      <c r="U339" s="1"/>
      <c r="V339" s="1"/>
      <c r="W339" s="1"/>
      <c r="X339" s="1"/>
      <c r="Y339" s="1"/>
      <c r="Z339" s="1"/>
      <c r="AA339" s="1"/>
      <c r="AB339" s="1"/>
      <c r="AC339" s="1"/>
    </row>
    <row r="340" spans="12:29" ht="15">
      <c r="L340" s="1"/>
      <c r="M340" s="1"/>
      <c r="N340" s="1"/>
      <c r="O340" s="1"/>
      <c r="P340" s="1"/>
      <c r="Q340" s="1"/>
      <c r="R340" s="1"/>
      <c r="S340" s="1"/>
      <c r="T340" s="1"/>
      <c r="U340" s="1"/>
      <c r="V340" s="1"/>
      <c r="W340" s="1"/>
      <c r="X340" s="1"/>
      <c r="Y340" s="1"/>
      <c r="Z340" s="1"/>
      <c r="AA340" s="1"/>
      <c r="AB340" s="1"/>
      <c r="AC340" s="1"/>
    </row>
    <row r="341" spans="12:29" ht="15">
      <c r="L341" s="1"/>
      <c r="M341" s="1"/>
      <c r="N341" s="1"/>
      <c r="O341" s="1"/>
      <c r="P341" s="1"/>
      <c r="Q341" s="1"/>
      <c r="R341" s="1"/>
      <c r="S341" s="1"/>
      <c r="T341" s="1"/>
      <c r="U341" s="1"/>
      <c r="V341" s="1"/>
      <c r="W341" s="1"/>
      <c r="X341" s="1"/>
      <c r="Y341" s="1"/>
      <c r="Z341" s="1"/>
      <c r="AA341" s="1"/>
      <c r="AB341" s="1"/>
      <c r="AC341" s="1"/>
    </row>
    <row r="342" spans="12:29" ht="15">
      <c r="L342" s="1"/>
      <c r="M342" s="1"/>
      <c r="N342" s="1"/>
      <c r="O342" s="1"/>
      <c r="P342" s="1"/>
      <c r="Q342" s="1"/>
      <c r="R342" s="1"/>
      <c r="S342" s="1"/>
      <c r="T342" s="1"/>
      <c r="U342" s="1"/>
      <c r="V342" s="1"/>
      <c r="W342" s="1"/>
      <c r="X342" s="1"/>
      <c r="Y342" s="1"/>
      <c r="Z342" s="1"/>
      <c r="AA342" s="1"/>
      <c r="AB342" s="1"/>
      <c r="AC342" s="1"/>
    </row>
    <row r="343" spans="12:29" ht="15">
      <c r="L343" s="1"/>
      <c r="M343" s="1"/>
      <c r="N343" s="1"/>
      <c r="O343" s="1"/>
      <c r="P343" s="1"/>
      <c r="Q343" s="1"/>
      <c r="R343" s="1"/>
      <c r="S343" s="1"/>
      <c r="T343" s="1"/>
      <c r="U343" s="1"/>
      <c r="V343" s="1"/>
      <c r="W343" s="1"/>
      <c r="X343" s="1"/>
      <c r="Y343" s="1"/>
      <c r="Z343" s="1"/>
      <c r="AA343" s="1"/>
      <c r="AB343" s="1"/>
      <c r="AC343" s="1"/>
    </row>
    <row r="344" spans="12:29" ht="15">
      <c r="L344" s="1"/>
      <c r="M344" s="1"/>
      <c r="N344" s="1"/>
      <c r="O344" s="1"/>
      <c r="P344" s="1"/>
      <c r="Q344" s="1"/>
      <c r="R344" s="1"/>
      <c r="S344" s="1"/>
      <c r="T344" s="1"/>
      <c r="U344" s="1"/>
      <c r="V344" s="1"/>
      <c r="W344" s="1"/>
      <c r="X344" s="1"/>
      <c r="Y344" s="1"/>
      <c r="Z344" s="1"/>
      <c r="AA344" s="1"/>
      <c r="AB344" s="1"/>
      <c r="AC344" s="1"/>
    </row>
    <row r="345" spans="12:29" ht="15">
      <c r="L345" s="1"/>
      <c r="M345" s="1"/>
      <c r="N345" s="1"/>
      <c r="O345" s="1"/>
      <c r="P345" s="1"/>
      <c r="Q345" s="1"/>
      <c r="R345" s="1"/>
      <c r="S345" s="1"/>
      <c r="T345" s="1"/>
      <c r="U345" s="1"/>
      <c r="V345" s="1"/>
      <c r="W345" s="1"/>
      <c r="X345" s="1"/>
      <c r="Y345" s="1"/>
      <c r="Z345" s="1"/>
      <c r="AA345" s="1"/>
      <c r="AB345" s="1"/>
      <c r="AC345" s="1"/>
    </row>
    <row r="346" spans="12:29" ht="15">
      <c r="L346" s="1"/>
      <c r="M346" s="1"/>
      <c r="N346" s="1"/>
      <c r="O346" s="1"/>
      <c r="P346" s="1"/>
      <c r="Q346" s="1"/>
      <c r="R346" s="1"/>
      <c r="S346" s="1"/>
      <c r="T346" s="1"/>
      <c r="U346" s="1"/>
      <c r="V346" s="1"/>
      <c r="W346" s="1"/>
      <c r="X346" s="1"/>
      <c r="Y346" s="1"/>
      <c r="Z346" s="1"/>
      <c r="AA346" s="1"/>
      <c r="AB346" s="1"/>
      <c r="AC346" s="1"/>
    </row>
    <row r="347" spans="12:29" ht="15">
      <c r="L347" s="1"/>
      <c r="M347" s="1"/>
      <c r="N347" s="1"/>
      <c r="O347" s="1"/>
      <c r="P347" s="1"/>
      <c r="Q347" s="1"/>
      <c r="R347" s="1"/>
      <c r="S347" s="1"/>
      <c r="T347" s="1"/>
      <c r="U347" s="1"/>
      <c r="V347" s="1"/>
      <c r="W347" s="1"/>
      <c r="X347" s="1"/>
      <c r="Y347" s="1"/>
      <c r="Z347" s="1"/>
      <c r="AA347" s="1"/>
      <c r="AB347" s="1"/>
      <c r="AC347" s="1"/>
    </row>
    <row r="348" spans="12:29" ht="15">
      <c r="L348" s="1"/>
      <c r="M348" s="1"/>
      <c r="N348" s="1"/>
      <c r="O348" s="1"/>
      <c r="P348" s="1"/>
      <c r="Q348" s="1"/>
      <c r="R348" s="1"/>
      <c r="S348" s="1"/>
      <c r="T348" s="1"/>
      <c r="U348" s="1"/>
      <c r="V348" s="1"/>
      <c r="W348" s="1"/>
      <c r="X348" s="1"/>
      <c r="Y348" s="1"/>
      <c r="Z348" s="1"/>
      <c r="AA348" s="1"/>
      <c r="AB348" s="1"/>
      <c r="AC348" s="1"/>
    </row>
    <row r="349" spans="12:29" ht="15">
      <c r="L349" s="1"/>
      <c r="M349" s="1"/>
      <c r="N349" s="1"/>
      <c r="O349" s="1"/>
      <c r="P349" s="1"/>
      <c r="Q349" s="1"/>
      <c r="R349" s="1"/>
      <c r="S349" s="1"/>
      <c r="T349" s="1"/>
      <c r="U349" s="1"/>
      <c r="V349" s="1"/>
      <c r="W349" s="1"/>
      <c r="X349" s="1"/>
      <c r="Y349" s="1"/>
      <c r="Z349" s="1"/>
      <c r="AA349" s="1"/>
      <c r="AB349" s="1"/>
      <c r="AC349" s="1"/>
    </row>
    <row r="350" spans="12:29" ht="15">
      <c r="L350" s="1"/>
      <c r="M350" s="1"/>
      <c r="N350" s="1"/>
      <c r="O350" s="1"/>
      <c r="P350" s="1"/>
      <c r="Q350" s="1"/>
      <c r="R350" s="1"/>
      <c r="S350" s="1"/>
      <c r="T350" s="1"/>
      <c r="U350" s="1"/>
      <c r="V350" s="1"/>
      <c r="W350" s="1"/>
      <c r="X350" s="1"/>
      <c r="Y350" s="1"/>
      <c r="Z350" s="1"/>
      <c r="AA350" s="1"/>
      <c r="AB350" s="1"/>
      <c r="AC350" s="1"/>
    </row>
    <row r="351" spans="12:29" ht="15">
      <c r="L351" s="1"/>
      <c r="M351" s="1"/>
      <c r="N351" s="1"/>
      <c r="O351" s="1"/>
      <c r="P351" s="1"/>
      <c r="Q351" s="1"/>
      <c r="R351" s="1"/>
      <c r="S351" s="1"/>
      <c r="T351" s="1"/>
      <c r="U351" s="1"/>
      <c r="V351" s="1"/>
      <c r="W351" s="1"/>
      <c r="X351" s="1"/>
      <c r="Y351" s="1"/>
      <c r="Z351" s="1"/>
      <c r="AA351" s="1"/>
      <c r="AB351" s="1"/>
      <c r="AC351" s="1"/>
    </row>
    <row r="352" spans="12:29" ht="15">
      <c r="L352" s="1"/>
      <c r="M352" s="1"/>
      <c r="N352" s="1"/>
      <c r="O352" s="1"/>
      <c r="P352" s="1"/>
      <c r="Q352" s="1"/>
      <c r="R352" s="1"/>
      <c r="S352" s="1"/>
      <c r="T352" s="1"/>
      <c r="U352" s="1"/>
      <c r="V352" s="1"/>
      <c r="W352" s="1"/>
      <c r="X352" s="1"/>
      <c r="Y352" s="1"/>
      <c r="Z352" s="1"/>
      <c r="AA352" s="1"/>
      <c r="AB352" s="1"/>
      <c r="AC352" s="1"/>
    </row>
    <row r="353" spans="12:29" ht="15">
      <c r="L353" s="1"/>
      <c r="M353" s="1"/>
      <c r="N353" s="1"/>
      <c r="O353" s="1"/>
      <c r="P353" s="1"/>
      <c r="Q353" s="1"/>
      <c r="R353" s="1"/>
      <c r="S353" s="1"/>
      <c r="T353" s="1"/>
      <c r="U353" s="1"/>
      <c r="V353" s="1"/>
      <c r="W353" s="1"/>
      <c r="X353" s="1"/>
      <c r="Y353" s="1"/>
      <c r="Z353" s="1"/>
      <c r="AA353" s="1"/>
      <c r="AB353" s="1"/>
      <c r="AC353" s="1"/>
    </row>
    <row r="354" spans="12:29" ht="15">
      <c r="L354" s="1"/>
      <c r="M354" s="1"/>
      <c r="N354" s="1"/>
      <c r="O354" s="1"/>
      <c r="P354" s="1"/>
      <c r="Q354" s="1"/>
      <c r="R354" s="1"/>
      <c r="S354" s="1"/>
      <c r="T354" s="1"/>
      <c r="U354" s="1"/>
      <c r="V354" s="1"/>
      <c r="W354" s="1"/>
      <c r="X354" s="1"/>
      <c r="Y354" s="1"/>
      <c r="Z354" s="1"/>
      <c r="AA354" s="1"/>
      <c r="AB354" s="1"/>
      <c r="AC354" s="1"/>
    </row>
    <row r="355" spans="12:29" ht="15">
      <c r="L355" s="1"/>
      <c r="M355" s="1"/>
      <c r="N355" s="1"/>
      <c r="O355" s="1"/>
      <c r="P355" s="1"/>
      <c r="Q355" s="1"/>
      <c r="R355" s="1"/>
      <c r="S355" s="1"/>
      <c r="T355" s="1"/>
      <c r="U355" s="1"/>
      <c r="V355" s="1"/>
      <c r="W355" s="1"/>
      <c r="X355" s="1"/>
      <c r="Y355" s="1"/>
      <c r="Z355" s="1"/>
      <c r="AA355" s="1"/>
      <c r="AB355" s="1"/>
      <c r="AC355" s="1"/>
    </row>
    <row r="356" spans="12:29" ht="15">
      <c r="L356" s="1"/>
      <c r="M356" s="1"/>
      <c r="N356" s="1"/>
      <c r="O356" s="1"/>
      <c r="P356" s="1"/>
      <c r="Q356" s="1"/>
      <c r="R356" s="1"/>
      <c r="S356" s="1"/>
      <c r="T356" s="1"/>
      <c r="U356" s="1"/>
      <c r="V356" s="1"/>
      <c r="W356" s="1"/>
      <c r="X356" s="1"/>
      <c r="Y356" s="1"/>
      <c r="Z356" s="1"/>
      <c r="AA356" s="1"/>
      <c r="AB356" s="1"/>
      <c r="AC356" s="1"/>
    </row>
    <row r="357" spans="12:29" ht="15">
      <c r="L357" s="1"/>
      <c r="M357" s="1"/>
      <c r="N357" s="1"/>
      <c r="O357" s="1"/>
      <c r="P357" s="1"/>
      <c r="Q357" s="1"/>
      <c r="R357" s="1"/>
      <c r="S357" s="1"/>
      <c r="T357" s="1"/>
      <c r="U357" s="1"/>
      <c r="V357" s="1"/>
      <c r="W357" s="1"/>
      <c r="X357" s="1"/>
      <c r="Y357" s="1"/>
      <c r="Z357" s="1"/>
      <c r="AA357" s="1"/>
      <c r="AB357" s="1"/>
      <c r="AC357" s="1"/>
    </row>
    <row r="358" spans="12:29" ht="15">
      <c r="L358" s="1"/>
      <c r="M358" s="1"/>
      <c r="N358" s="1"/>
      <c r="O358" s="1"/>
      <c r="P358" s="1"/>
      <c r="Q358" s="1"/>
      <c r="R358" s="1"/>
      <c r="S358" s="1"/>
      <c r="T358" s="1"/>
      <c r="U358" s="1"/>
      <c r="V358" s="1"/>
      <c r="W358" s="1"/>
      <c r="X358" s="1"/>
      <c r="Y358" s="1"/>
      <c r="Z358" s="1"/>
      <c r="AA358" s="1"/>
      <c r="AB358" s="1"/>
      <c r="AC358" s="1"/>
    </row>
    <row r="359" spans="12:29" ht="15">
      <c r="L359" s="1"/>
      <c r="M359" s="1"/>
      <c r="N359" s="1"/>
      <c r="O359" s="1"/>
      <c r="P359" s="1"/>
      <c r="Q359" s="1"/>
      <c r="R359" s="1"/>
      <c r="S359" s="1"/>
      <c r="T359" s="1"/>
      <c r="U359" s="1"/>
      <c r="V359" s="1"/>
      <c r="W359" s="1"/>
      <c r="X359" s="1"/>
      <c r="Y359" s="1"/>
      <c r="Z359" s="1"/>
      <c r="AA359" s="1"/>
      <c r="AB359" s="1"/>
      <c r="AC359" s="1"/>
    </row>
    <row r="360" spans="12:29" ht="15">
      <c r="L360" s="1"/>
      <c r="M360" s="1"/>
      <c r="N360" s="1"/>
      <c r="O360" s="1"/>
      <c r="P360" s="1"/>
      <c r="Q360" s="1"/>
      <c r="R360" s="1"/>
      <c r="S360" s="1"/>
      <c r="T360" s="1"/>
      <c r="U360" s="1"/>
      <c r="V360" s="1"/>
      <c r="W360" s="1"/>
      <c r="X360" s="1"/>
      <c r="Y360" s="1"/>
      <c r="Z360" s="1"/>
      <c r="AA360" s="1"/>
      <c r="AB360" s="1"/>
      <c r="AC360" s="1"/>
    </row>
    <row r="361" spans="12:29" ht="15">
      <c r="L361" s="1"/>
      <c r="M361" s="1"/>
      <c r="N361" s="1"/>
      <c r="O361" s="1"/>
      <c r="P361" s="1"/>
      <c r="Q361" s="1"/>
      <c r="R361" s="1"/>
      <c r="S361" s="1"/>
      <c r="T361" s="1"/>
      <c r="U361" s="1"/>
      <c r="V361" s="1"/>
      <c r="W361" s="1"/>
      <c r="X361" s="1"/>
      <c r="Y361" s="1"/>
      <c r="Z361" s="1"/>
      <c r="AA361" s="1"/>
      <c r="AB361" s="1"/>
      <c r="AC361" s="1"/>
    </row>
    <row r="362" spans="12:29" ht="15">
      <c r="L362" s="1"/>
      <c r="M362" s="1"/>
      <c r="N362" s="1"/>
      <c r="O362" s="1"/>
      <c r="P362" s="1"/>
      <c r="Q362" s="1"/>
      <c r="R362" s="1"/>
      <c r="S362" s="1"/>
      <c r="T362" s="1"/>
      <c r="U362" s="1"/>
      <c r="V362" s="1"/>
      <c r="W362" s="1"/>
      <c r="X362" s="1"/>
      <c r="Y362" s="1"/>
      <c r="Z362" s="1"/>
      <c r="AA362" s="1"/>
      <c r="AB362" s="1"/>
      <c r="AC362" s="1"/>
    </row>
    <row r="363" spans="12:29" ht="15">
      <c r="L363" s="1"/>
      <c r="M363" s="1"/>
      <c r="N363" s="1"/>
      <c r="O363" s="1"/>
      <c r="P363" s="1"/>
      <c r="Q363" s="1"/>
      <c r="R363" s="1"/>
      <c r="S363" s="1"/>
      <c r="T363" s="1"/>
      <c r="U363" s="1"/>
      <c r="V363" s="1"/>
      <c r="W363" s="1"/>
      <c r="X363" s="1"/>
      <c r="Y363" s="1"/>
      <c r="Z363" s="1"/>
      <c r="AA363" s="1"/>
      <c r="AB363" s="1"/>
      <c r="AC363" s="1"/>
    </row>
    <row r="364" spans="12:29" ht="15">
      <c r="L364" s="1"/>
      <c r="M364" s="1"/>
      <c r="N364" s="1"/>
      <c r="O364" s="1"/>
      <c r="P364" s="1"/>
      <c r="Q364" s="1"/>
      <c r="R364" s="1"/>
      <c r="S364" s="1"/>
      <c r="T364" s="1"/>
      <c r="U364" s="1"/>
      <c r="V364" s="1"/>
      <c r="W364" s="1"/>
      <c r="X364" s="1"/>
      <c r="Y364" s="1"/>
      <c r="Z364" s="1"/>
      <c r="AA364" s="1"/>
      <c r="AB364" s="1"/>
      <c r="AC364" s="1"/>
    </row>
    <row r="365" spans="12:29" ht="15">
      <c r="L365" s="1"/>
      <c r="M365" s="1"/>
      <c r="N365" s="1"/>
      <c r="O365" s="1"/>
      <c r="P365" s="1"/>
      <c r="Q365" s="1"/>
      <c r="R365" s="1"/>
      <c r="S365" s="1"/>
      <c r="T365" s="1"/>
      <c r="U365" s="1"/>
      <c r="V365" s="1"/>
      <c r="W365" s="1"/>
      <c r="X365" s="1"/>
      <c r="Y365" s="1"/>
      <c r="Z365" s="1"/>
      <c r="AA365" s="1"/>
      <c r="AB365" s="1"/>
      <c r="AC365" s="1"/>
    </row>
    <row r="366" spans="12:29" ht="15">
      <c r="L366" s="1"/>
      <c r="M366" s="1"/>
      <c r="N366" s="1"/>
      <c r="O366" s="1"/>
      <c r="P366" s="1"/>
      <c r="Q366" s="1"/>
      <c r="R366" s="1"/>
      <c r="S366" s="1"/>
      <c r="T366" s="1"/>
      <c r="U366" s="1"/>
      <c r="V366" s="1"/>
      <c r="W366" s="1"/>
      <c r="X366" s="1"/>
      <c r="Y366" s="1"/>
      <c r="Z366" s="1"/>
      <c r="AA366" s="1"/>
      <c r="AB366" s="1"/>
      <c r="AC366" s="1"/>
    </row>
    <row r="367" spans="12:29" ht="15">
      <c r="L367" s="1"/>
      <c r="M367" s="1"/>
      <c r="N367" s="1"/>
      <c r="O367" s="1"/>
      <c r="P367" s="1"/>
      <c r="Q367" s="1"/>
      <c r="R367" s="1"/>
      <c r="S367" s="1"/>
      <c r="T367" s="1"/>
      <c r="U367" s="1"/>
      <c r="V367" s="1"/>
      <c r="W367" s="1"/>
      <c r="X367" s="1"/>
      <c r="Y367" s="1"/>
      <c r="Z367" s="1"/>
      <c r="AA367" s="1"/>
      <c r="AB367" s="1"/>
      <c r="AC367" s="1"/>
    </row>
    <row r="368" spans="12:29" ht="15">
      <c r="L368" s="1"/>
      <c r="M368" s="1"/>
      <c r="N368" s="1"/>
      <c r="O368" s="1"/>
      <c r="P368" s="1"/>
      <c r="Q368" s="1"/>
      <c r="R368" s="1"/>
      <c r="S368" s="1"/>
      <c r="T368" s="1"/>
      <c r="U368" s="1"/>
      <c r="V368" s="1"/>
      <c r="W368" s="1"/>
      <c r="X368" s="1"/>
      <c r="Y368" s="1"/>
      <c r="Z368" s="1"/>
      <c r="AA368" s="1"/>
      <c r="AB368" s="1"/>
      <c r="AC368" s="1"/>
    </row>
    <row r="369" spans="12:29" ht="15">
      <c r="L369" s="1"/>
      <c r="M369" s="1"/>
      <c r="N369" s="1"/>
      <c r="O369" s="1"/>
      <c r="P369" s="1"/>
      <c r="Q369" s="1"/>
      <c r="R369" s="1"/>
      <c r="S369" s="1"/>
      <c r="T369" s="1"/>
      <c r="U369" s="1"/>
      <c r="V369" s="1"/>
      <c r="W369" s="1"/>
      <c r="X369" s="1"/>
      <c r="Y369" s="1"/>
      <c r="Z369" s="1"/>
      <c r="AA369" s="1"/>
      <c r="AB369" s="1"/>
      <c r="AC369" s="1"/>
    </row>
    <row r="370" spans="12:29" ht="15">
      <c r="L370" s="1"/>
      <c r="M370" s="1"/>
      <c r="N370" s="1"/>
      <c r="O370" s="1"/>
      <c r="P370" s="1"/>
      <c r="Q370" s="1"/>
      <c r="R370" s="1"/>
      <c r="S370" s="1"/>
      <c r="T370" s="1"/>
      <c r="U370" s="1"/>
      <c r="V370" s="1"/>
      <c r="W370" s="1"/>
      <c r="X370" s="1"/>
      <c r="Y370" s="1"/>
      <c r="Z370" s="1"/>
      <c r="AA370" s="1"/>
      <c r="AB370" s="1"/>
      <c r="AC370" s="1"/>
    </row>
    <row r="371" spans="12:29" ht="15">
      <c r="L371" s="1"/>
      <c r="M371" s="1"/>
      <c r="N371" s="1"/>
      <c r="O371" s="1"/>
      <c r="P371" s="1"/>
      <c r="Q371" s="1"/>
      <c r="R371" s="1"/>
      <c r="S371" s="1"/>
      <c r="T371" s="1"/>
      <c r="U371" s="1"/>
      <c r="V371" s="1"/>
      <c r="W371" s="1"/>
      <c r="X371" s="1"/>
      <c r="Y371" s="1"/>
      <c r="Z371" s="1"/>
      <c r="AA371" s="1"/>
      <c r="AB371" s="1"/>
      <c r="AC371" s="1"/>
    </row>
    <row r="372" spans="12:29" ht="15">
      <c r="L372" s="1"/>
      <c r="M372" s="1"/>
      <c r="N372" s="1"/>
      <c r="O372" s="1"/>
      <c r="P372" s="1"/>
      <c r="Q372" s="1"/>
      <c r="R372" s="1"/>
      <c r="S372" s="1"/>
      <c r="T372" s="1"/>
      <c r="U372" s="1"/>
      <c r="V372" s="1"/>
      <c r="W372" s="1"/>
      <c r="X372" s="1"/>
      <c r="Y372" s="1"/>
      <c r="Z372" s="1"/>
      <c r="AA372" s="1"/>
      <c r="AB372" s="1"/>
      <c r="AC372" s="1"/>
    </row>
    <row r="373" spans="12:29" ht="15">
      <c r="L373" s="1"/>
      <c r="M373" s="1"/>
      <c r="N373" s="1"/>
      <c r="O373" s="1"/>
      <c r="P373" s="1"/>
      <c r="Q373" s="1"/>
      <c r="R373" s="1"/>
      <c r="S373" s="1"/>
      <c r="T373" s="1"/>
      <c r="U373" s="1"/>
      <c r="V373" s="1"/>
      <c r="W373" s="1"/>
      <c r="X373" s="1"/>
      <c r="Y373" s="1"/>
      <c r="Z373" s="1"/>
      <c r="AA373" s="1"/>
      <c r="AB373" s="1"/>
      <c r="AC373" s="1"/>
    </row>
    <row r="374" spans="12:29" ht="15">
      <c r="L374" s="1"/>
      <c r="M374" s="1"/>
      <c r="N374" s="1"/>
      <c r="O374" s="1"/>
      <c r="P374" s="1"/>
      <c r="Q374" s="1"/>
      <c r="R374" s="1"/>
      <c r="S374" s="1"/>
      <c r="T374" s="1"/>
      <c r="U374" s="1"/>
      <c r="V374" s="1"/>
      <c r="W374" s="1"/>
      <c r="X374" s="1"/>
      <c r="Y374" s="1"/>
      <c r="Z374" s="1"/>
      <c r="AA374" s="1"/>
      <c r="AB374" s="1"/>
      <c r="AC374" s="1"/>
    </row>
    <row r="375" spans="12:29" ht="15">
      <c r="L375" s="1"/>
      <c r="M375" s="1"/>
      <c r="N375" s="1"/>
      <c r="O375" s="1"/>
      <c r="P375" s="1"/>
      <c r="Q375" s="1"/>
      <c r="R375" s="1"/>
      <c r="S375" s="1"/>
      <c r="T375" s="1"/>
      <c r="U375" s="1"/>
      <c r="V375" s="1"/>
      <c r="W375" s="1"/>
      <c r="X375" s="1"/>
      <c r="Y375" s="1"/>
      <c r="Z375" s="1"/>
      <c r="AA375" s="1"/>
      <c r="AB375" s="1"/>
      <c r="AC375" s="1"/>
    </row>
    <row r="376" spans="12:29" ht="15">
      <c r="L376" s="1"/>
      <c r="M376" s="1"/>
      <c r="N376" s="1"/>
      <c r="O376" s="1"/>
      <c r="P376" s="1"/>
      <c r="Q376" s="1"/>
      <c r="R376" s="1"/>
      <c r="S376" s="1"/>
      <c r="T376" s="1"/>
      <c r="U376" s="1"/>
      <c r="V376" s="1"/>
      <c r="W376" s="1"/>
      <c r="X376" s="1"/>
      <c r="Y376" s="1"/>
      <c r="Z376" s="1"/>
      <c r="AA376" s="1"/>
      <c r="AB376" s="1"/>
      <c r="AC376" s="1"/>
    </row>
    <row r="377" spans="12:29" ht="15">
      <c r="L377" s="1"/>
      <c r="M377" s="1"/>
      <c r="N377" s="1"/>
      <c r="O377" s="1"/>
      <c r="P377" s="1"/>
      <c r="Q377" s="1"/>
      <c r="R377" s="1"/>
      <c r="S377" s="1"/>
      <c r="T377" s="1"/>
      <c r="U377" s="1"/>
      <c r="V377" s="1"/>
      <c r="W377" s="1"/>
      <c r="X377" s="1"/>
      <c r="Y377" s="1"/>
      <c r="Z377" s="1"/>
      <c r="AA377" s="1"/>
      <c r="AB377" s="1"/>
      <c r="AC377" s="1"/>
    </row>
    <row r="378" spans="12:29" ht="15">
      <c r="L378" s="1"/>
      <c r="M378" s="1"/>
      <c r="N378" s="1"/>
      <c r="O378" s="1"/>
      <c r="P378" s="1"/>
      <c r="Q378" s="1"/>
      <c r="R378" s="1"/>
      <c r="S378" s="1"/>
      <c r="T378" s="1"/>
      <c r="U378" s="1"/>
      <c r="V378" s="1"/>
      <c r="W378" s="1"/>
      <c r="X378" s="1"/>
      <c r="Y378" s="1"/>
      <c r="Z378" s="1"/>
      <c r="AA378" s="1"/>
      <c r="AB378" s="1"/>
      <c r="AC378" s="1"/>
    </row>
    <row r="379" spans="12:29" ht="15">
      <c r="L379" s="1"/>
      <c r="M379" s="1"/>
      <c r="N379" s="1"/>
      <c r="O379" s="1"/>
      <c r="P379" s="1"/>
      <c r="Q379" s="1"/>
      <c r="R379" s="1"/>
      <c r="S379" s="1"/>
      <c r="T379" s="1"/>
      <c r="U379" s="1"/>
      <c r="V379" s="1"/>
      <c r="W379" s="1"/>
      <c r="X379" s="1"/>
      <c r="Y379" s="1"/>
      <c r="Z379" s="1"/>
      <c r="AA379" s="1"/>
      <c r="AB379" s="1"/>
      <c r="AC379" s="1"/>
    </row>
    <row r="380" spans="12:29" ht="15">
      <c r="L380" s="1"/>
      <c r="M380" s="1"/>
      <c r="N380" s="1"/>
      <c r="O380" s="1"/>
      <c r="P380" s="1"/>
      <c r="Q380" s="1"/>
      <c r="R380" s="1"/>
      <c r="S380" s="1"/>
      <c r="T380" s="1"/>
      <c r="U380" s="1"/>
      <c r="V380" s="1"/>
      <c r="W380" s="1"/>
      <c r="X380" s="1"/>
      <c r="Y380" s="1"/>
      <c r="Z380" s="1"/>
      <c r="AA380" s="1"/>
      <c r="AB380" s="1"/>
      <c r="AC380" s="1"/>
    </row>
    <row r="381" spans="12:29" ht="15">
      <c r="L381" s="1"/>
      <c r="M381" s="1"/>
      <c r="N381" s="1"/>
      <c r="O381" s="1"/>
      <c r="P381" s="1"/>
      <c r="Q381" s="1"/>
      <c r="R381" s="1"/>
      <c r="S381" s="1"/>
      <c r="T381" s="1"/>
      <c r="U381" s="1"/>
      <c r="V381" s="1"/>
      <c r="W381" s="1"/>
      <c r="X381" s="1"/>
      <c r="Y381" s="1"/>
      <c r="Z381" s="1"/>
      <c r="AA381" s="1"/>
      <c r="AB381" s="1"/>
      <c r="AC381" s="1"/>
    </row>
    <row r="382" spans="12:29" ht="15">
      <c r="L382" s="1"/>
      <c r="M382" s="1"/>
      <c r="N382" s="1"/>
      <c r="O382" s="1"/>
      <c r="P382" s="1"/>
      <c r="Q382" s="1"/>
      <c r="R382" s="1"/>
      <c r="S382" s="1"/>
      <c r="T382" s="1"/>
      <c r="U382" s="1"/>
      <c r="V382" s="1"/>
      <c r="W382" s="1"/>
      <c r="X382" s="1"/>
      <c r="Y382" s="1"/>
      <c r="Z382" s="1"/>
      <c r="AA382" s="1"/>
      <c r="AB382" s="1"/>
      <c r="AC382" s="1"/>
    </row>
    <row r="383" spans="12:29" ht="15">
      <c r="L383" s="1"/>
      <c r="M383" s="1"/>
      <c r="N383" s="1"/>
      <c r="O383" s="1"/>
      <c r="P383" s="1"/>
      <c r="Q383" s="1"/>
      <c r="R383" s="1"/>
      <c r="S383" s="1"/>
      <c r="T383" s="1"/>
      <c r="U383" s="1"/>
      <c r="V383" s="1"/>
      <c r="W383" s="1"/>
      <c r="X383" s="1"/>
      <c r="Y383" s="1"/>
      <c r="Z383" s="1"/>
      <c r="AA383" s="1"/>
      <c r="AB383" s="1"/>
      <c r="AC383" s="1"/>
    </row>
    <row r="384" spans="12:29" ht="15">
      <c r="L384" s="1"/>
      <c r="M384" s="1"/>
      <c r="N384" s="1"/>
      <c r="O384" s="1"/>
      <c r="P384" s="1"/>
      <c r="Q384" s="1"/>
      <c r="R384" s="1"/>
      <c r="S384" s="1"/>
      <c r="T384" s="1"/>
      <c r="U384" s="1"/>
      <c r="V384" s="1"/>
      <c r="W384" s="1"/>
      <c r="X384" s="1"/>
      <c r="Y384" s="1"/>
      <c r="Z384" s="1"/>
      <c r="AA384" s="1"/>
      <c r="AB384" s="1"/>
      <c r="AC384" s="1"/>
    </row>
    <row r="385" spans="12:29" ht="15">
      <c r="L385" s="1"/>
      <c r="M385" s="1"/>
      <c r="N385" s="1"/>
      <c r="O385" s="1"/>
      <c r="P385" s="1"/>
      <c r="Q385" s="1"/>
      <c r="R385" s="1"/>
      <c r="S385" s="1"/>
      <c r="T385" s="1"/>
      <c r="U385" s="1"/>
      <c r="V385" s="1"/>
      <c r="W385" s="1"/>
      <c r="X385" s="1"/>
      <c r="Y385" s="1"/>
      <c r="Z385" s="1"/>
      <c r="AA385" s="1"/>
      <c r="AB385" s="1"/>
      <c r="AC385" s="1"/>
    </row>
    <row r="386" spans="12:29" ht="15">
      <c r="L386" s="1"/>
      <c r="M386" s="1"/>
      <c r="N386" s="1"/>
      <c r="O386" s="1"/>
      <c r="P386" s="1"/>
      <c r="Q386" s="1"/>
      <c r="R386" s="1"/>
      <c r="S386" s="1"/>
      <c r="T386" s="1"/>
      <c r="U386" s="1"/>
      <c r="V386" s="1"/>
      <c r="W386" s="1"/>
      <c r="X386" s="1"/>
      <c r="Y386" s="1"/>
      <c r="Z386" s="1"/>
      <c r="AA386" s="1"/>
      <c r="AB386" s="1"/>
      <c r="AC386" s="1"/>
    </row>
    <row r="387" spans="12:29" ht="15">
      <c r="L387" s="1"/>
      <c r="M387" s="1"/>
      <c r="N387" s="1"/>
      <c r="O387" s="1"/>
      <c r="P387" s="1"/>
      <c r="Q387" s="1"/>
      <c r="R387" s="1"/>
      <c r="S387" s="1"/>
      <c r="T387" s="1"/>
      <c r="U387" s="1"/>
      <c r="V387" s="1"/>
      <c r="W387" s="1"/>
      <c r="X387" s="1"/>
      <c r="Y387" s="1"/>
      <c r="Z387" s="1"/>
      <c r="AA387" s="1"/>
      <c r="AB387" s="1"/>
      <c r="AC387" s="1"/>
    </row>
    <row r="388" spans="12:29" ht="15">
      <c r="L388" s="1"/>
      <c r="M388" s="1"/>
      <c r="N388" s="1"/>
      <c r="O388" s="1"/>
      <c r="P388" s="1"/>
      <c r="Q388" s="1"/>
      <c r="R388" s="1"/>
      <c r="S388" s="1"/>
      <c r="T388" s="1"/>
      <c r="U388" s="1"/>
      <c r="V388" s="1"/>
      <c r="W388" s="1"/>
      <c r="X388" s="1"/>
      <c r="Y388" s="1"/>
      <c r="Z388" s="1"/>
      <c r="AA388" s="1"/>
      <c r="AB388" s="1"/>
      <c r="AC388" s="1"/>
    </row>
    <row r="389" spans="12:29" ht="15">
      <c r="L389" s="1"/>
      <c r="M389" s="1"/>
      <c r="N389" s="1"/>
      <c r="O389" s="1"/>
      <c r="P389" s="1"/>
      <c r="Q389" s="1"/>
      <c r="R389" s="1"/>
      <c r="S389" s="1"/>
      <c r="T389" s="1"/>
      <c r="U389" s="1"/>
      <c r="V389" s="1"/>
      <c r="W389" s="1"/>
      <c r="X389" s="1"/>
      <c r="Y389" s="1"/>
      <c r="Z389" s="1"/>
      <c r="AA389" s="1"/>
      <c r="AB389" s="1"/>
      <c r="AC389" s="1"/>
    </row>
    <row r="390" spans="12:29" ht="15">
      <c r="L390" s="1"/>
      <c r="M390" s="1"/>
      <c r="N390" s="1"/>
      <c r="O390" s="1"/>
      <c r="P390" s="1"/>
      <c r="Q390" s="1"/>
      <c r="R390" s="1"/>
      <c r="S390" s="1"/>
      <c r="T390" s="1"/>
      <c r="U390" s="1"/>
      <c r="V390" s="1"/>
      <c r="W390" s="1"/>
      <c r="X390" s="1"/>
      <c r="Y390" s="1"/>
      <c r="Z390" s="1"/>
      <c r="AA390" s="1"/>
      <c r="AB390" s="1"/>
      <c r="AC390" s="1"/>
    </row>
    <row r="391" spans="12:29" ht="15">
      <c r="L391" s="1"/>
      <c r="M391" s="1"/>
      <c r="N391" s="1"/>
      <c r="O391" s="1"/>
      <c r="P391" s="1"/>
      <c r="Q391" s="1"/>
      <c r="R391" s="1"/>
      <c r="S391" s="1"/>
      <c r="T391" s="1"/>
      <c r="U391" s="1"/>
      <c r="V391" s="1"/>
      <c r="W391" s="1"/>
      <c r="X391" s="1"/>
      <c r="Y391" s="1"/>
      <c r="Z391" s="1"/>
      <c r="AA391" s="1"/>
      <c r="AB391" s="1"/>
      <c r="AC391" s="1"/>
    </row>
    <row r="392" spans="12:29" ht="15">
      <c r="L392" s="1"/>
      <c r="M392" s="1"/>
      <c r="N392" s="1"/>
      <c r="O392" s="1"/>
      <c r="P392" s="1"/>
      <c r="Q392" s="1"/>
      <c r="R392" s="1"/>
      <c r="S392" s="1"/>
      <c r="T392" s="1"/>
      <c r="U392" s="1"/>
      <c r="V392" s="1"/>
      <c r="W392" s="1"/>
      <c r="X392" s="1"/>
      <c r="Y392" s="1"/>
      <c r="Z392" s="1"/>
      <c r="AA392" s="1"/>
      <c r="AB392" s="1"/>
      <c r="AC392" s="1"/>
    </row>
    <row r="393" spans="12:29" ht="15">
      <c r="L393" s="1"/>
      <c r="M393" s="1"/>
      <c r="N393" s="1"/>
      <c r="O393" s="1"/>
      <c r="P393" s="1"/>
      <c r="Q393" s="1"/>
      <c r="R393" s="1"/>
      <c r="S393" s="1"/>
      <c r="T393" s="1"/>
      <c r="U393" s="1"/>
      <c r="V393" s="1"/>
      <c r="W393" s="1"/>
      <c r="X393" s="1"/>
      <c r="Y393" s="1"/>
      <c r="Z393" s="1"/>
      <c r="AA393" s="1"/>
      <c r="AB393" s="1"/>
      <c r="AC393" s="1"/>
    </row>
    <row r="394" spans="12:29" ht="15">
      <c r="L394" s="1"/>
      <c r="M394" s="1"/>
      <c r="N394" s="1"/>
      <c r="O394" s="1"/>
      <c r="P394" s="1"/>
      <c r="Q394" s="1"/>
      <c r="R394" s="1"/>
      <c r="S394" s="1"/>
      <c r="T394" s="1"/>
      <c r="U394" s="1"/>
      <c r="V394" s="1"/>
      <c r="W394" s="1"/>
      <c r="X394" s="1"/>
      <c r="Y394" s="1"/>
      <c r="Z394" s="1"/>
      <c r="AA394" s="1"/>
      <c r="AB394" s="1"/>
      <c r="AC394" s="1"/>
    </row>
    <row r="395" spans="12:29" ht="15">
      <c r="L395" s="1"/>
      <c r="M395" s="1"/>
      <c r="N395" s="1"/>
      <c r="O395" s="1"/>
      <c r="P395" s="1"/>
      <c r="Q395" s="1"/>
      <c r="R395" s="1"/>
      <c r="S395" s="1"/>
      <c r="T395" s="1"/>
      <c r="U395" s="1"/>
      <c r="V395" s="1"/>
      <c r="W395" s="1"/>
      <c r="X395" s="1"/>
      <c r="Y395" s="1"/>
      <c r="Z395" s="1"/>
      <c r="AA395" s="1"/>
      <c r="AB395" s="1"/>
      <c r="AC395" s="1"/>
    </row>
    <row r="396" spans="12:29" ht="15">
      <c r="L396" s="1"/>
      <c r="M396" s="1"/>
      <c r="N396" s="1"/>
      <c r="O396" s="1"/>
      <c r="P396" s="1"/>
      <c r="Q396" s="1"/>
      <c r="R396" s="1"/>
      <c r="S396" s="1"/>
      <c r="T396" s="1"/>
      <c r="U396" s="1"/>
      <c r="V396" s="1"/>
      <c r="W396" s="1"/>
      <c r="X396" s="1"/>
      <c r="Y396" s="1"/>
      <c r="Z396" s="1"/>
      <c r="AA396" s="1"/>
      <c r="AB396" s="1"/>
      <c r="AC396" s="1"/>
    </row>
    <row r="397" spans="12:29" ht="15">
      <c r="L397" s="1"/>
      <c r="M397" s="1"/>
      <c r="N397" s="1"/>
      <c r="O397" s="1"/>
      <c r="P397" s="1"/>
      <c r="Q397" s="1"/>
      <c r="R397" s="1"/>
      <c r="S397" s="1"/>
      <c r="T397" s="1"/>
      <c r="U397" s="1"/>
      <c r="V397" s="1"/>
      <c r="W397" s="1"/>
      <c r="X397" s="1"/>
      <c r="Y397" s="1"/>
      <c r="Z397" s="1"/>
      <c r="AA397" s="1"/>
      <c r="AB397" s="1"/>
      <c r="AC397" s="1"/>
    </row>
    <row r="398" spans="12:29" ht="15">
      <c r="L398" s="1"/>
      <c r="M398" s="1"/>
      <c r="N398" s="1"/>
      <c r="O398" s="1"/>
      <c r="P398" s="1"/>
      <c r="Q398" s="1"/>
      <c r="R398" s="1"/>
      <c r="S398" s="1"/>
      <c r="T398" s="1"/>
      <c r="U398" s="1"/>
      <c r="V398" s="1"/>
      <c r="W398" s="1"/>
      <c r="X398" s="1"/>
      <c r="Y398" s="1"/>
      <c r="Z398" s="1"/>
      <c r="AA398" s="1"/>
      <c r="AB398" s="1"/>
      <c r="AC398" s="1"/>
    </row>
    <row r="399" spans="12:29" ht="15">
      <c r="L399" s="1"/>
      <c r="M399" s="1"/>
      <c r="N399" s="1"/>
      <c r="O399" s="1"/>
      <c r="P399" s="1"/>
      <c r="Q399" s="1"/>
      <c r="R399" s="1"/>
      <c r="S399" s="1"/>
      <c r="T399" s="1"/>
      <c r="U399" s="1"/>
      <c r="V399" s="1"/>
      <c r="W399" s="1"/>
      <c r="X399" s="1"/>
      <c r="Y399" s="1"/>
      <c r="Z399" s="1"/>
      <c r="AA399" s="1"/>
      <c r="AB399" s="1"/>
      <c r="AC399" s="1"/>
    </row>
    <row r="400" spans="12:29" ht="15">
      <c r="L400" s="1"/>
      <c r="M400" s="1"/>
      <c r="N400" s="1"/>
      <c r="O400" s="1"/>
      <c r="P400" s="1"/>
      <c r="Q400" s="1"/>
      <c r="R400" s="1"/>
      <c r="S400" s="1"/>
      <c r="T400" s="1"/>
      <c r="U400" s="1"/>
      <c r="V400" s="1"/>
      <c r="W400" s="1"/>
      <c r="X400" s="1"/>
      <c r="Y400" s="1"/>
      <c r="Z400" s="1"/>
      <c r="AA400" s="1"/>
      <c r="AB400" s="1"/>
      <c r="AC400" s="1"/>
    </row>
    <row r="401" spans="12:29" ht="15">
      <c r="L401" s="1"/>
      <c r="M401" s="1"/>
      <c r="N401" s="1"/>
      <c r="O401" s="1"/>
      <c r="P401" s="1"/>
      <c r="Q401" s="1"/>
      <c r="R401" s="1"/>
      <c r="S401" s="1"/>
      <c r="T401" s="1"/>
      <c r="U401" s="1"/>
      <c r="V401" s="1"/>
      <c r="W401" s="1"/>
      <c r="X401" s="1"/>
      <c r="Y401" s="1"/>
      <c r="Z401" s="1"/>
      <c r="AA401" s="1"/>
      <c r="AB401" s="1"/>
      <c r="AC401" s="1"/>
    </row>
    <row r="402" spans="12:29" ht="15">
      <c r="L402" s="1"/>
      <c r="M402" s="1"/>
      <c r="N402" s="1"/>
      <c r="O402" s="1"/>
      <c r="P402" s="1"/>
      <c r="Q402" s="1"/>
      <c r="R402" s="1"/>
      <c r="S402" s="1"/>
      <c r="T402" s="1"/>
      <c r="U402" s="1"/>
      <c r="V402" s="1"/>
      <c r="W402" s="1"/>
      <c r="X402" s="1"/>
      <c r="Y402" s="1"/>
      <c r="Z402" s="1"/>
      <c r="AA402" s="1"/>
      <c r="AB402" s="1"/>
      <c r="AC402" s="1"/>
    </row>
    <row r="403" spans="12:29" ht="15">
      <c r="L403" s="1"/>
      <c r="M403" s="1"/>
      <c r="N403" s="1"/>
      <c r="O403" s="1"/>
      <c r="P403" s="1"/>
      <c r="Q403" s="1"/>
      <c r="R403" s="1"/>
      <c r="S403" s="1"/>
      <c r="T403" s="1"/>
      <c r="U403" s="1"/>
      <c r="V403" s="1"/>
      <c r="W403" s="1"/>
      <c r="X403" s="1"/>
      <c r="Y403" s="1"/>
      <c r="Z403" s="1"/>
      <c r="AA403" s="1"/>
      <c r="AB403" s="1"/>
      <c r="AC403" s="1"/>
    </row>
    <row r="404" spans="12:29" ht="15">
      <c r="L404" s="1"/>
      <c r="M404" s="1"/>
      <c r="N404" s="1"/>
      <c r="O404" s="1"/>
      <c r="P404" s="1"/>
      <c r="Q404" s="1"/>
      <c r="R404" s="1"/>
      <c r="S404" s="1"/>
      <c r="T404" s="1"/>
      <c r="U404" s="1"/>
      <c r="V404" s="1"/>
      <c r="W404" s="1"/>
      <c r="X404" s="1"/>
      <c r="Y404" s="1"/>
      <c r="Z404" s="1"/>
      <c r="AA404" s="1"/>
      <c r="AB404" s="1"/>
      <c r="AC404" s="1"/>
    </row>
    <row r="405" spans="12:29" ht="15">
      <c r="L405" s="1"/>
      <c r="M405" s="1"/>
      <c r="N405" s="1"/>
      <c r="O405" s="1"/>
      <c r="P405" s="1"/>
      <c r="Q405" s="1"/>
      <c r="R405" s="1"/>
      <c r="S405" s="1"/>
      <c r="T405" s="1"/>
      <c r="U405" s="1"/>
      <c r="V405" s="1"/>
      <c r="W405" s="1"/>
      <c r="X405" s="1"/>
      <c r="Y405" s="1"/>
      <c r="Z405" s="1"/>
      <c r="AA405" s="1"/>
      <c r="AB405" s="1"/>
      <c r="AC405" s="1"/>
    </row>
    <row r="406" spans="12:29" ht="15">
      <c r="L406" s="1"/>
      <c r="M406" s="1"/>
      <c r="N406" s="1"/>
      <c r="O406" s="1"/>
      <c r="P406" s="1"/>
      <c r="Q406" s="1"/>
      <c r="R406" s="1"/>
      <c r="S406" s="1"/>
      <c r="T406" s="1"/>
      <c r="U406" s="1"/>
      <c r="V406" s="1"/>
      <c r="W406" s="1"/>
      <c r="X406" s="1"/>
      <c r="Y406" s="1"/>
      <c r="Z406" s="1"/>
      <c r="AA406" s="1"/>
      <c r="AB406" s="1"/>
      <c r="AC406" s="1"/>
    </row>
    <row r="407" spans="12:29" ht="15">
      <c r="L407" s="1"/>
      <c r="M407" s="1"/>
      <c r="N407" s="1"/>
      <c r="O407" s="1"/>
      <c r="P407" s="1"/>
      <c r="Q407" s="1"/>
      <c r="R407" s="1"/>
      <c r="S407" s="1"/>
      <c r="T407" s="1"/>
      <c r="U407" s="1"/>
      <c r="V407" s="1"/>
      <c r="W407" s="1"/>
      <c r="X407" s="1"/>
      <c r="Y407" s="1"/>
      <c r="Z407" s="1"/>
      <c r="AA407" s="1"/>
      <c r="AB407" s="1"/>
      <c r="AC407" s="1"/>
    </row>
    <row r="408" spans="12:29" ht="15">
      <c r="L408" s="1"/>
      <c r="M408" s="1"/>
      <c r="N408" s="1"/>
      <c r="O408" s="1"/>
      <c r="P408" s="1"/>
      <c r="Q408" s="1"/>
      <c r="R408" s="1"/>
      <c r="S408" s="1"/>
      <c r="T408" s="1"/>
      <c r="U408" s="1"/>
      <c r="V408" s="1"/>
      <c r="W408" s="1"/>
      <c r="X408" s="1"/>
      <c r="Y408" s="1"/>
      <c r="Z408" s="1"/>
      <c r="AA408" s="1"/>
      <c r="AB408" s="1"/>
      <c r="AC408" s="1"/>
    </row>
    <row r="409" spans="12:29" ht="15">
      <c r="L409" s="1"/>
      <c r="M409" s="1"/>
      <c r="N409" s="1"/>
      <c r="O409" s="1"/>
      <c r="P409" s="1"/>
      <c r="Q409" s="1"/>
      <c r="R409" s="1"/>
      <c r="S409" s="1"/>
      <c r="T409" s="1"/>
      <c r="U409" s="1"/>
      <c r="V409" s="1"/>
      <c r="W409" s="1"/>
      <c r="X409" s="1"/>
      <c r="Y409" s="1"/>
      <c r="Z409" s="1"/>
      <c r="AA409" s="1"/>
      <c r="AB409" s="1"/>
      <c r="AC409" s="1"/>
    </row>
    <row r="410" spans="12:29" ht="15">
      <c r="L410" s="1"/>
      <c r="M410" s="1"/>
      <c r="N410" s="1"/>
      <c r="O410" s="1"/>
      <c r="P410" s="1"/>
      <c r="Q410" s="1"/>
      <c r="R410" s="1"/>
      <c r="S410" s="1"/>
      <c r="T410" s="1"/>
      <c r="U410" s="1"/>
      <c r="V410" s="1"/>
      <c r="W410" s="1"/>
      <c r="X410" s="1"/>
      <c r="Y410" s="1"/>
      <c r="Z410" s="1"/>
      <c r="AA410" s="1"/>
      <c r="AB410" s="1"/>
      <c r="AC410" s="1"/>
    </row>
    <row r="411" spans="12:29" ht="15">
      <c r="L411" s="1"/>
      <c r="M411" s="1"/>
      <c r="N411" s="1"/>
      <c r="O411" s="1"/>
      <c r="P411" s="1"/>
      <c r="Q411" s="1"/>
      <c r="R411" s="1"/>
      <c r="S411" s="1"/>
      <c r="T411" s="1"/>
      <c r="U411" s="1"/>
      <c r="V411" s="1"/>
      <c r="W411" s="1"/>
      <c r="X411" s="1"/>
      <c r="Y411" s="1"/>
      <c r="Z411" s="1"/>
      <c r="AA411" s="1"/>
      <c r="AB411" s="1"/>
      <c r="AC411" s="1"/>
    </row>
    <row r="412" spans="12:29" ht="15">
      <c r="L412" s="1"/>
      <c r="M412" s="1"/>
      <c r="N412" s="1"/>
      <c r="O412" s="1"/>
      <c r="P412" s="1"/>
      <c r="Q412" s="1"/>
      <c r="R412" s="1"/>
      <c r="S412" s="1"/>
      <c r="T412" s="1"/>
      <c r="U412" s="1"/>
      <c r="V412" s="1"/>
      <c r="W412" s="1"/>
      <c r="X412" s="1"/>
      <c r="Y412" s="1"/>
      <c r="Z412" s="1"/>
      <c r="AA412" s="1"/>
      <c r="AB412" s="1"/>
      <c r="AC412" s="1"/>
    </row>
    <row r="413" spans="12:29" ht="15">
      <c r="L413" s="1"/>
      <c r="M413" s="1"/>
      <c r="N413" s="1"/>
      <c r="O413" s="1"/>
      <c r="P413" s="1"/>
      <c r="Q413" s="1"/>
      <c r="R413" s="1"/>
      <c r="S413" s="1"/>
      <c r="T413" s="1"/>
      <c r="U413" s="1"/>
      <c r="V413" s="1"/>
      <c r="W413" s="1"/>
      <c r="X413" s="1"/>
      <c r="Y413" s="1"/>
      <c r="Z413" s="1"/>
      <c r="AA413" s="1"/>
      <c r="AB413" s="1"/>
      <c r="AC413" s="1"/>
    </row>
    <row r="414" spans="12:29" ht="15">
      <c r="L414" s="1"/>
      <c r="M414" s="1"/>
      <c r="N414" s="1"/>
      <c r="O414" s="1"/>
      <c r="P414" s="1"/>
      <c r="Q414" s="1"/>
      <c r="R414" s="1"/>
      <c r="S414" s="1"/>
      <c r="T414" s="1"/>
      <c r="U414" s="1"/>
      <c r="V414" s="1"/>
      <c r="W414" s="1"/>
      <c r="X414" s="1"/>
      <c r="Y414" s="1"/>
      <c r="Z414" s="1"/>
      <c r="AA414" s="1"/>
      <c r="AB414" s="1"/>
      <c r="AC414" s="1"/>
    </row>
    <row r="415" spans="12:29" ht="15">
      <c r="L415" s="1"/>
      <c r="M415" s="1"/>
      <c r="N415" s="1"/>
      <c r="O415" s="1"/>
      <c r="P415" s="1"/>
      <c r="Q415" s="1"/>
      <c r="R415" s="1"/>
      <c r="S415" s="1"/>
      <c r="T415" s="1"/>
      <c r="U415" s="1"/>
      <c r="V415" s="1"/>
      <c r="W415" s="1"/>
      <c r="X415" s="1"/>
      <c r="Y415" s="1"/>
      <c r="Z415" s="1"/>
      <c r="AA415" s="1"/>
      <c r="AB415" s="1"/>
      <c r="AC415" s="1"/>
    </row>
    <row r="416" spans="12:29" ht="15">
      <c r="L416" s="1"/>
      <c r="M416" s="1"/>
      <c r="N416" s="1"/>
      <c r="O416" s="1"/>
      <c r="P416" s="1"/>
      <c r="Q416" s="1"/>
      <c r="R416" s="1"/>
      <c r="S416" s="1"/>
      <c r="T416" s="1"/>
      <c r="U416" s="1"/>
      <c r="V416" s="1"/>
      <c r="W416" s="1"/>
      <c r="X416" s="1"/>
      <c r="Y416" s="1"/>
      <c r="Z416" s="1"/>
      <c r="AA416" s="1"/>
      <c r="AB416" s="1"/>
      <c r="AC416" s="1"/>
    </row>
    <row r="417" spans="12:29" ht="15">
      <c r="L417" s="1"/>
      <c r="M417" s="1"/>
      <c r="N417" s="1"/>
      <c r="O417" s="1"/>
      <c r="P417" s="1"/>
      <c r="Q417" s="1"/>
      <c r="R417" s="1"/>
      <c r="S417" s="1"/>
      <c r="T417" s="1"/>
      <c r="U417" s="1"/>
      <c r="V417" s="1"/>
      <c r="W417" s="1"/>
      <c r="X417" s="1"/>
      <c r="Y417" s="1"/>
      <c r="Z417" s="1"/>
      <c r="AA417" s="1"/>
      <c r="AB417" s="1"/>
      <c r="AC417" s="1"/>
    </row>
    <row r="418" spans="12:29" ht="15">
      <c r="L418" s="1"/>
      <c r="M418" s="1"/>
      <c r="N418" s="1"/>
      <c r="O418" s="1"/>
      <c r="P418" s="1"/>
      <c r="Q418" s="1"/>
      <c r="R418" s="1"/>
      <c r="S418" s="1"/>
      <c r="T418" s="1"/>
      <c r="U418" s="1"/>
      <c r="V418" s="1"/>
      <c r="W418" s="1"/>
      <c r="X418" s="1"/>
      <c r="Y418" s="1"/>
      <c r="Z418" s="1"/>
      <c r="AA418" s="1"/>
      <c r="AB418" s="1"/>
      <c r="AC418" s="1"/>
    </row>
    <row r="419" spans="12:29" ht="15">
      <c r="L419" s="1"/>
      <c r="M419" s="1"/>
      <c r="N419" s="1"/>
      <c r="O419" s="1"/>
      <c r="P419" s="1"/>
      <c r="Q419" s="1"/>
      <c r="R419" s="1"/>
      <c r="S419" s="1"/>
      <c r="T419" s="1"/>
      <c r="U419" s="1"/>
      <c r="V419" s="1"/>
      <c r="W419" s="1"/>
      <c r="X419" s="1"/>
      <c r="Y419" s="1"/>
      <c r="Z419" s="1"/>
      <c r="AA419" s="1"/>
      <c r="AB419" s="1"/>
      <c r="AC419" s="1"/>
    </row>
    <row r="420" spans="12:29" ht="15">
      <c r="L420" s="1"/>
      <c r="M420" s="1"/>
      <c r="N420" s="1"/>
      <c r="O420" s="1"/>
      <c r="P420" s="1"/>
      <c r="Q420" s="1"/>
      <c r="R420" s="1"/>
      <c r="S420" s="1"/>
      <c r="T420" s="1"/>
      <c r="U420" s="1"/>
      <c r="V420" s="1"/>
      <c r="W420" s="1"/>
      <c r="X420" s="1"/>
      <c r="Y420" s="1"/>
      <c r="Z420" s="1"/>
      <c r="AA420" s="1"/>
      <c r="AB420" s="1"/>
      <c r="AC420" s="1"/>
    </row>
    <row r="421" spans="12:29" ht="15">
      <c r="L421" s="1"/>
      <c r="M421" s="1"/>
      <c r="N421" s="1"/>
      <c r="O421" s="1"/>
      <c r="P421" s="1"/>
      <c r="Q421" s="1"/>
      <c r="R421" s="1"/>
      <c r="S421" s="1"/>
      <c r="T421" s="1"/>
      <c r="U421" s="1"/>
      <c r="V421" s="1"/>
      <c r="W421" s="1"/>
      <c r="X421" s="1"/>
      <c r="Y421" s="1"/>
      <c r="Z421" s="1"/>
      <c r="AA421" s="1"/>
      <c r="AB421" s="1"/>
      <c r="AC421" s="1"/>
    </row>
    <row r="422" spans="12:29" ht="15">
      <c r="L422" s="1"/>
      <c r="M422" s="1"/>
      <c r="N422" s="1"/>
      <c r="O422" s="1"/>
      <c r="P422" s="1"/>
      <c r="Q422" s="1"/>
      <c r="R422" s="1"/>
      <c r="S422" s="1"/>
      <c r="T422" s="1"/>
      <c r="U422" s="1"/>
      <c r="V422" s="1"/>
      <c r="W422" s="1"/>
      <c r="X422" s="1"/>
      <c r="Y422" s="1"/>
      <c r="Z422" s="1"/>
      <c r="AA422" s="1"/>
      <c r="AB422" s="1"/>
      <c r="AC422" s="1"/>
    </row>
    <row r="423" spans="12:29" ht="15">
      <c r="L423" s="1"/>
      <c r="M423" s="1"/>
      <c r="N423" s="1"/>
      <c r="O423" s="1"/>
      <c r="P423" s="1"/>
      <c r="Q423" s="1"/>
      <c r="R423" s="1"/>
      <c r="S423" s="1"/>
      <c r="T423" s="1"/>
      <c r="U423" s="1"/>
      <c r="V423" s="1"/>
      <c r="W423" s="1"/>
      <c r="X423" s="1"/>
      <c r="Y423" s="1"/>
      <c r="Z423" s="1"/>
      <c r="AA423" s="1"/>
      <c r="AB423" s="1"/>
      <c r="AC423" s="1"/>
    </row>
    <row r="424" spans="12:29" ht="15">
      <c r="L424" s="1"/>
      <c r="M424" s="1"/>
      <c r="N424" s="1"/>
      <c r="O424" s="1"/>
      <c r="P424" s="1"/>
      <c r="Q424" s="1"/>
      <c r="R424" s="1"/>
      <c r="S424" s="1"/>
      <c r="T424" s="1"/>
      <c r="U424" s="1"/>
      <c r="V424" s="1"/>
      <c r="W424" s="1"/>
      <c r="X424" s="1"/>
      <c r="Y424" s="1"/>
      <c r="Z424" s="1"/>
      <c r="AA424" s="1"/>
      <c r="AB424" s="1"/>
      <c r="AC424" s="1"/>
    </row>
    <row r="425" spans="12:29" ht="15">
      <c r="L425" s="1"/>
      <c r="M425" s="1"/>
      <c r="N425" s="1"/>
      <c r="O425" s="1"/>
      <c r="P425" s="1"/>
      <c r="Q425" s="1"/>
      <c r="R425" s="1"/>
      <c r="S425" s="1"/>
      <c r="T425" s="1"/>
      <c r="U425" s="1"/>
      <c r="V425" s="1"/>
      <c r="W425" s="1"/>
      <c r="X425" s="1"/>
      <c r="Y425" s="1"/>
      <c r="Z425" s="1"/>
      <c r="AA425" s="1"/>
      <c r="AB425" s="1"/>
      <c r="AC425" s="1"/>
    </row>
    <row r="426" spans="12:29" ht="15">
      <c r="L426" s="1"/>
      <c r="M426" s="1"/>
      <c r="N426" s="1"/>
      <c r="O426" s="1"/>
      <c r="P426" s="1"/>
      <c r="Q426" s="1"/>
      <c r="R426" s="1"/>
      <c r="S426" s="1"/>
      <c r="T426" s="1"/>
      <c r="U426" s="1"/>
      <c r="V426" s="1"/>
      <c r="W426" s="1"/>
      <c r="X426" s="1"/>
      <c r="Y426" s="1"/>
      <c r="Z426" s="1"/>
      <c r="AA426" s="1"/>
      <c r="AB426" s="1"/>
      <c r="AC426" s="1"/>
    </row>
    <row r="427" spans="12:29" ht="15">
      <c r="L427" s="1"/>
      <c r="M427" s="1"/>
      <c r="N427" s="1"/>
      <c r="O427" s="1"/>
      <c r="P427" s="1"/>
      <c r="Q427" s="1"/>
      <c r="R427" s="1"/>
      <c r="S427" s="1"/>
      <c r="T427" s="1"/>
      <c r="U427" s="1"/>
      <c r="V427" s="1"/>
      <c r="W427" s="1"/>
      <c r="X427" s="1"/>
      <c r="Y427" s="1"/>
      <c r="Z427" s="1"/>
      <c r="AA427" s="1"/>
      <c r="AB427" s="1"/>
      <c r="AC427" s="1"/>
    </row>
    <row r="428" spans="12:29" ht="15">
      <c r="L428" s="1"/>
      <c r="M428" s="1"/>
      <c r="N428" s="1"/>
      <c r="O428" s="1"/>
      <c r="P428" s="1"/>
      <c r="Q428" s="1"/>
      <c r="R428" s="1"/>
      <c r="S428" s="1"/>
      <c r="T428" s="1"/>
      <c r="U428" s="1"/>
      <c r="V428" s="1"/>
      <c r="W428" s="1"/>
      <c r="X428" s="1"/>
      <c r="Y428" s="1"/>
      <c r="Z428" s="1"/>
      <c r="AA428" s="1"/>
      <c r="AB428" s="1"/>
      <c r="AC428" s="1"/>
    </row>
    <row r="429" spans="12:29" ht="15">
      <c r="L429" s="1"/>
      <c r="M429" s="1"/>
      <c r="N429" s="1"/>
      <c r="O429" s="1"/>
      <c r="P429" s="1"/>
      <c r="Q429" s="1"/>
      <c r="R429" s="1"/>
      <c r="S429" s="1"/>
      <c r="T429" s="1"/>
      <c r="U429" s="1"/>
      <c r="V429" s="1"/>
      <c r="W429" s="1"/>
      <c r="X429" s="1"/>
      <c r="Y429" s="1"/>
      <c r="Z429" s="1"/>
      <c r="AA429" s="1"/>
      <c r="AB429" s="1"/>
      <c r="AC429" s="1"/>
    </row>
    <row r="430" spans="12:29" ht="15">
      <c r="L430" s="1"/>
      <c r="M430" s="1"/>
      <c r="N430" s="1"/>
      <c r="O430" s="1"/>
      <c r="P430" s="1"/>
      <c r="Q430" s="1"/>
      <c r="R430" s="1"/>
      <c r="S430" s="1"/>
      <c r="T430" s="1"/>
      <c r="U430" s="1"/>
      <c r="V430" s="1"/>
      <c r="W430" s="1"/>
      <c r="X430" s="1"/>
      <c r="Y430" s="1"/>
      <c r="Z430" s="1"/>
      <c r="AA430" s="1"/>
      <c r="AB430" s="1"/>
      <c r="AC430" s="1"/>
    </row>
    <row r="431" spans="12:29" ht="15">
      <c r="L431" s="1"/>
      <c r="M431" s="1"/>
      <c r="N431" s="1"/>
      <c r="O431" s="1"/>
      <c r="P431" s="1"/>
      <c r="Q431" s="1"/>
      <c r="R431" s="1"/>
      <c r="S431" s="1"/>
      <c r="T431" s="1"/>
      <c r="U431" s="1"/>
      <c r="V431" s="1"/>
      <c r="W431" s="1"/>
      <c r="X431" s="1"/>
      <c r="Y431" s="1"/>
      <c r="Z431" s="1"/>
      <c r="AA431" s="1"/>
      <c r="AB431" s="1"/>
      <c r="AC431" s="1"/>
    </row>
    <row r="432" spans="12:29" ht="15">
      <c r="L432" s="1"/>
      <c r="M432" s="1"/>
      <c r="N432" s="1"/>
      <c r="O432" s="1"/>
      <c r="P432" s="1"/>
      <c r="Q432" s="1"/>
      <c r="R432" s="1"/>
      <c r="S432" s="1"/>
      <c r="T432" s="1"/>
      <c r="U432" s="1"/>
      <c r="V432" s="1"/>
      <c r="W432" s="1"/>
      <c r="X432" s="1"/>
      <c r="Y432" s="1"/>
      <c r="Z432" s="1"/>
      <c r="AA432" s="1"/>
      <c r="AB432" s="1"/>
      <c r="AC432" s="1"/>
    </row>
    <row r="433" spans="12:29" ht="15">
      <c r="L433" s="1"/>
      <c r="M433" s="1"/>
      <c r="N433" s="1"/>
      <c r="O433" s="1"/>
      <c r="P433" s="1"/>
      <c r="Q433" s="1"/>
      <c r="R433" s="1"/>
      <c r="S433" s="1"/>
      <c r="T433" s="1"/>
      <c r="U433" s="1"/>
      <c r="V433" s="1"/>
      <c r="W433" s="1"/>
      <c r="X433" s="1"/>
      <c r="Y433" s="1"/>
      <c r="Z433" s="1"/>
      <c r="AA433" s="1"/>
      <c r="AB433" s="1"/>
      <c r="AC433" s="1"/>
    </row>
    <row r="434" spans="12:29" ht="15">
      <c r="L434" s="1"/>
      <c r="M434" s="1"/>
      <c r="N434" s="1"/>
      <c r="O434" s="1"/>
      <c r="P434" s="1"/>
      <c r="Q434" s="1"/>
      <c r="R434" s="1"/>
      <c r="S434" s="1"/>
      <c r="T434" s="1"/>
      <c r="U434" s="1"/>
      <c r="V434" s="1"/>
      <c r="W434" s="1"/>
      <c r="X434" s="1"/>
      <c r="Y434" s="1"/>
      <c r="Z434" s="1"/>
      <c r="AA434" s="1"/>
      <c r="AB434" s="1"/>
      <c r="AC434" s="1"/>
    </row>
    <row r="435" spans="12:29" ht="15">
      <c r="L435" s="1"/>
      <c r="M435" s="1"/>
      <c r="N435" s="1"/>
      <c r="O435" s="1"/>
      <c r="P435" s="1"/>
      <c r="Q435" s="1"/>
      <c r="R435" s="1"/>
      <c r="S435" s="1"/>
      <c r="T435" s="1"/>
      <c r="U435" s="1"/>
      <c r="V435" s="1"/>
      <c r="W435" s="1"/>
      <c r="X435" s="1"/>
      <c r="Y435" s="1"/>
      <c r="Z435" s="1"/>
      <c r="AA435" s="1"/>
      <c r="AB435" s="1"/>
      <c r="AC435" s="1"/>
    </row>
    <row r="436" spans="12:29" ht="15">
      <c r="L436" s="1"/>
      <c r="M436" s="1"/>
      <c r="N436" s="1"/>
      <c r="O436" s="1"/>
      <c r="P436" s="1"/>
      <c r="Q436" s="1"/>
      <c r="R436" s="1"/>
      <c r="S436" s="1"/>
      <c r="T436" s="1"/>
      <c r="U436" s="1"/>
      <c r="V436" s="1"/>
      <c r="W436" s="1"/>
      <c r="X436" s="1"/>
      <c r="Y436" s="1"/>
      <c r="Z436" s="1"/>
      <c r="AA436" s="1"/>
      <c r="AB436" s="1"/>
      <c r="AC436" s="1"/>
    </row>
    <row r="437" spans="12:29" ht="15">
      <c r="L437" s="1"/>
      <c r="M437" s="1"/>
      <c r="N437" s="1"/>
      <c r="O437" s="1"/>
      <c r="P437" s="1"/>
      <c r="Q437" s="1"/>
      <c r="R437" s="1"/>
      <c r="S437" s="1"/>
      <c r="T437" s="1"/>
      <c r="U437" s="1"/>
      <c r="V437" s="1"/>
      <c r="W437" s="1"/>
      <c r="X437" s="1"/>
      <c r="Y437" s="1"/>
      <c r="Z437" s="1"/>
      <c r="AA437" s="1"/>
      <c r="AB437" s="1"/>
      <c r="AC437" s="1"/>
    </row>
    <row r="438" spans="12:29" ht="15">
      <c r="L438" s="1"/>
      <c r="M438" s="1"/>
      <c r="N438" s="1"/>
      <c r="O438" s="1"/>
      <c r="P438" s="1"/>
      <c r="Q438" s="1"/>
      <c r="R438" s="1"/>
      <c r="S438" s="1"/>
      <c r="T438" s="1"/>
      <c r="U438" s="1"/>
      <c r="V438" s="1"/>
      <c r="W438" s="1"/>
      <c r="X438" s="1"/>
      <c r="Y438" s="1"/>
      <c r="Z438" s="1"/>
      <c r="AA438" s="1"/>
      <c r="AB438" s="1"/>
      <c r="AC438" s="1"/>
    </row>
    <row r="439" spans="12:29" ht="15">
      <c r="L439" s="1"/>
      <c r="M439" s="1"/>
      <c r="N439" s="1"/>
      <c r="O439" s="1"/>
      <c r="P439" s="1"/>
      <c r="Q439" s="1"/>
      <c r="R439" s="1"/>
      <c r="S439" s="1"/>
      <c r="T439" s="1"/>
      <c r="U439" s="1"/>
      <c r="V439" s="1"/>
      <c r="W439" s="1"/>
      <c r="X439" s="1"/>
      <c r="Y439" s="1"/>
      <c r="Z439" s="1"/>
      <c r="AA439" s="1"/>
      <c r="AB439" s="1"/>
      <c r="AC439" s="1"/>
    </row>
    <row r="440" spans="12:29" ht="15">
      <c r="L440" s="1"/>
      <c r="M440" s="1"/>
      <c r="N440" s="1"/>
      <c r="O440" s="1"/>
      <c r="P440" s="1"/>
      <c r="Q440" s="1"/>
      <c r="R440" s="1"/>
      <c r="S440" s="1"/>
      <c r="T440" s="1"/>
      <c r="U440" s="1"/>
      <c r="V440" s="1"/>
      <c r="W440" s="1"/>
      <c r="X440" s="1"/>
      <c r="Y440" s="1"/>
      <c r="Z440" s="1"/>
      <c r="AA440" s="1"/>
      <c r="AB440" s="1"/>
      <c r="AC440" s="1"/>
    </row>
    <row r="441" spans="12:29" ht="15">
      <c r="L441" s="1"/>
      <c r="M441" s="1"/>
      <c r="N441" s="1"/>
      <c r="O441" s="1"/>
      <c r="P441" s="1"/>
      <c r="Q441" s="1"/>
      <c r="R441" s="1"/>
      <c r="S441" s="1"/>
      <c r="T441" s="1"/>
      <c r="U441" s="1"/>
      <c r="V441" s="1"/>
      <c r="W441" s="1"/>
      <c r="X441" s="1"/>
      <c r="Y441" s="1"/>
      <c r="Z441" s="1"/>
      <c r="AA441" s="1"/>
      <c r="AB441" s="1"/>
      <c r="AC441" s="1"/>
    </row>
    <row r="442" spans="12:29" ht="15">
      <c r="L442" s="1"/>
      <c r="M442" s="1"/>
      <c r="N442" s="1"/>
      <c r="O442" s="1"/>
      <c r="P442" s="1"/>
      <c r="Q442" s="1"/>
      <c r="R442" s="1"/>
      <c r="S442" s="1"/>
      <c r="T442" s="1"/>
      <c r="U442" s="1"/>
      <c r="V442" s="1"/>
      <c r="W442" s="1"/>
      <c r="X442" s="1"/>
      <c r="Y442" s="1"/>
      <c r="Z442" s="1"/>
      <c r="AA442" s="1"/>
      <c r="AB442" s="1"/>
      <c r="AC442" s="1"/>
    </row>
    <row r="443" spans="12:29" ht="15">
      <c r="L443" s="1"/>
      <c r="M443" s="1"/>
      <c r="N443" s="1"/>
      <c r="O443" s="1"/>
      <c r="P443" s="1"/>
      <c r="Q443" s="1"/>
      <c r="R443" s="1"/>
      <c r="S443" s="1"/>
      <c r="T443" s="1"/>
      <c r="U443" s="1"/>
      <c r="V443" s="1"/>
      <c r="W443" s="1"/>
      <c r="X443" s="1"/>
      <c r="Y443" s="1"/>
      <c r="Z443" s="1"/>
      <c r="AA443" s="1"/>
      <c r="AB443" s="1"/>
      <c r="AC443" s="1"/>
    </row>
    <row r="444" spans="12:29" ht="15">
      <c r="L444" s="1"/>
      <c r="M444" s="1"/>
      <c r="N444" s="1"/>
      <c r="O444" s="1"/>
      <c r="P444" s="1"/>
      <c r="Q444" s="1"/>
      <c r="R444" s="1"/>
      <c r="S444" s="1"/>
      <c r="T444" s="1"/>
      <c r="U444" s="1"/>
      <c r="V444" s="1"/>
      <c r="W444" s="1"/>
      <c r="X444" s="1"/>
      <c r="Y444" s="1"/>
      <c r="Z444" s="1"/>
      <c r="AA444" s="1"/>
      <c r="AB444" s="1"/>
      <c r="AC444" s="1"/>
    </row>
    <row r="445" spans="12:29" ht="15">
      <c r="L445" s="1"/>
      <c r="M445" s="1"/>
      <c r="N445" s="1"/>
      <c r="O445" s="1"/>
      <c r="P445" s="1"/>
      <c r="Q445" s="1"/>
      <c r="R445" s="1"/>
      <c r="S445" s="1"/>
      <c r="T445" s="1"/>
      <c r="U445" s="1"/>
      <c r="V445" s="1"/>
      <c r="W445" s="1"/>
      <c r="X445" s="1"/>
      <c r="Y445" s="1"/>
      <c r="Z445" s="1"/>
      <c r="AA445" s="1"/>
      <c r="AB445" s="1"/>
      <c r="AC445" s="1"/>
    </row>
    <row r="446" spans="12:29" ht="15">
      <c r="L446" s="1"/>
      <c r="M446" s="1"/>
      <c r="N446" s="1"/>
      <c r="O446" s="1"/>
      <c r="P446" s="1"/>
      <c r="Q446" s="1"/>
      <c r="R446" s="1"/>
      <c r="S446" s="1"/>
      <c r="T446" s="1"/>
      <c r="U446" s="1"/>
      <c r="V446" s="1"/>
      <c r="W446" s="1"/>
      <c r="X446" s="1"/>
      <c r="Y446" s="1"/>
      <c r="Z446" s="1"/>
      <c r="AA446" s="1"/>
      <c r="AB446" s="1"/>
      <c r="AC446" s="1"/>
    </row>
    <row r="447" spans="12:29" ht="15">
      <c r="L447" s="1"/>
      <c r="M447" s="1"/>
      <c r="N447" s="1"/>
      <c r="O447" s="1"/>
      <c r="P447" s="1"/>
      <c r="Q447" s="1"/>
      <c r="R447" s="1"/>
      <c r="S447" s="1"/>
      <c r="T447" s="1"/>
      <c r="U447" s="1"/>
      <c r="V447" s="1"/>
      <c r="W447" s="1"/>
      <c r="X447" s="1"/>
      <c r="Y447" s="1"/>
      <c r="Z447" s="1"/>
      <c r="AA447" s="1"/>
      <c r="AB447" s="1"/>
      <c r="AC447" s="1"/>
    </row>
    <row r="448" spans="12:29" ht="15">
      <c r="L448" s="1"/>
      <c r="M448" s="1"/>
      <c r="N448" s="1"/>
      <c r="O448" s="1"/>
      <c r="P448" s="1"/>
      <c r="Q448" s="1"/>
      <c r="R448" s="1"/>
      <c r="S448" s="1"/>
      <c r="T448" s="1"/>
      <c r="U448" s="1"/>
      <c r="V448" s="1"/>
      <c r="W448" s="1"/>
      <c r="X448" s="1"/>
      <c r="Y448" s="1"/>
      <c r="Z448" s="1"/>
      <c r="AA448" s="1"/>
      <c r="AB448" s="1"/>
      <c r="AC448" s="1"/>
    </row>
    <row r="449" spans="12:29" ht="15">
      <c r="L449" s="1"/>
      <c r="M449" s="1"/>
      <c r="N449" s="1"/>
      <c r="O449" s="1"/>
      <c r="P449" s="1"/>
      <c r="Q449" s="1"/>
      <c r="R449" s="1"/>
      <c r="S449" s="1"/>
      <c r="T449" s="1"/>
      <c r="U449" s="1"/>
      <c r="V449" s="1"/>
      <c r="W449" s="1"/>
      <c r="X449" s="1"/>
      <c r="Y449" s="1"/>
      <c r="Z449" s="1"/>
      <c r="AA449" s="1"/>
      <c r="AB449" s="1"/>
      <c r="AC449" s="1"/>
    </row>
    <row r="450" spans="12:29" ht="15">
      <c r="L450" s="1"/>
      <c r="M450" s="1"/>
      <c r="N450" s="1"/>
      <c r="O450" s="1"/>
      <c r="P450" s="1"/>
      <c r="Q450" s="1"/>
      <c r="R450" s="1"/>
      <c r="S450" s="1"/>
      <c r="T450" s="1"/>
      <c r="U450" s="1"/>
      <c r="V450" s="1"/>
      <c r="W450" s="1"/>
      <c r="X450" s="1"/>
      <c r="Y450" s="1"/>
      <c r="Z450" s="1"/>
      <c r="AA450" s="1"/>
      <c r="AB450" s="1"/>
      <c r="AC450" s="1"/>
    </row>
    <row r="451" spans="12:29" ht="15">
      <c r="L451" s="1"/>
      <c r="M451" s="1"/>
      <c r="N451" s="1"/>
      <c r="O451" s="1"/>
      <c r="P451" s="1"/>
      <c r="Q451" s="1"/>
      <c r="R451" s="1"/>
      <c r="S451" s="1"/>
      <c r="T451" s="1"/>
      <c r="U451" s="1"/>
      <c r="V451" s="1"/>
      <c r="W451" s="1"/>
      <c r="X451" s="1"/>
      <c r="Y451" s="1"/>
      <c r="Z451" s="1"/>
      <c r="AA451" s="1"/>
      <c r="AB451" s="1"/>
      <c r="AC451" s="1"/>
    </row>
    <row r="452" spans="12:29" ht="15">
      <c r="L452" s="1"/>
      <c r="M452" s="1"/>
      <c r="N452" s="1"/>
      <c r="O452" s="1"/>
      <c r="P452" s="1"/>
      <c r="Q452" s="1"/>
      <c r="R452" s="1"/>
      <c r="S452" s="1"/>
      <c r="T452" s="1"/>
      <c r="U452" s="1"/>
      <c r="V452" s="1"/>
      <c r="W452" s="1"/>
      <c r="X452" s="1"/>
      <c r="Y452" s="1"/>
      <c r="Z452" s="1"/>
      <c r="AA452" s="1"/>
      <c r="AB452" s="1"/>
      <c r="AC452" s="1"/>
    </row>
    <row r="453" spans="12:29" ht="15">
      <c r="L453" s="1"/>
      <c r="M453" s="1"/>
      <c r="N453" s="1"/>
      <c r="O453" s="1"/>
      <c r="P453" s="1"/>
      <c r="Q453" s="1"/>
      <c r="R453" s="1"/>
      <c r="S453" s="1"/>
      <c r="T453" s="1"/>
      <c r="U453" s="1"/>
      <c r="V453" s="1"/>
      <c r="W453" s="1"/>
      <c r="X453" s="1"/>
      <c r="Y453" s="1"/>
      <c r="Z453" s="1"/>
      <c r="AA453" s="1"/>
      <c r="AB453" s="1"/>
      <c r="AC453" s="1"/>
    </row>
    <row r="454" spans="12:29" ht="15">
      <c r="L454" s="1"/>
      <c r="M454" s="1"/>
      <c r="N454" s="1"/>
      <c r="O454" s="1"/>
      <c r="P454" s="1"/>
      <c r="Q454" s="1"/>
      <c r="R454" s="1"/>
      <c r="S454" s="1"/>
      <c r="T454" s="1"/>
      <c r="U454" s="1"/>
      <c r="V454" s="1"/>
      <c r="W454" s="1"/>
      <c r="X454" s="1"/>
      <c r="Y454" s="1"/>
      <c r="Z454" s="1"/>
      <c r="AA454" s="1"/>
      <c r="AB454" s="1"/>
      <c r="AC454" s="1"/>
    </row>
    <row r="455" spans="12:29" ht="15">
      <c r="L455" s="1"/>
      <c r="M455" s="1"/>
      <c r="N455" s="1"/>
      <c r="O455" s="1"/>
      <c r="P455" s="1"/>
      <c r="Q455" s="1"/>
      <c r="R455" s="1"/>
      <c r="S455" s="1"/>
      <c r="T455" s="1"/>
      <c r="U455" s="1"/>
      <c r="V455" s="1"/>
      <c r="W455" s="1"/>
      <c r="X455" s="1"/>
      <c r="Y455" s="1"/>
      <c r="Z455" s="1"/>
      <c r="AA455" s="1"/>
      <c r="AB455" s="1"/>
      <c r="AC455" s="1"/>
    </row>
    <row r="456" spans="12:29" ht="15">
      <c r="L456" s="1"/>
      <c r="M456" s="1"/>
      <c r="N456" s="1"/>
      <c r="O456" s="1"/>
      <c r="P456" s="1"/>
      <c r="Q456" s="1"/>
      <c r="R456" s="1"/>
      <c r="S456" s="1"/>
      <c r="T456" s="1"/>
      <c r="U456" s="1"/>
      <c r="V456" s="1"/>
      <c r="W456" s="1"/>
      <c r="X456" s="1"/>
      <c r="Y456" s="1"/>
      <c r="Z456" s="1"/>
      <c r="AA456" s="1"/>
      <c r="AB456" s="1"/>
      <c r="AC456" s="1"/>
    </row>
    <row r="457" spans="12:29" ht="15">
      <c r="L457" s="1"/>
      <c r="M457" s="1"/>
      <c r="N457" s="1"/>
      <c r="O457" s="1"/>
      <c r="P457" s="1"/>
      <c r="Q457" s="1"/>
      <c r="R457" s="1"/>
      <c r="S457" s="1"/>
      <c r="T457" s="1"/>
      <c r="U457" s="1"/>
      <c r="V457" s="1"/>
      <c r="W457" s="1"/>
      <c r="X457" s="1"/>
      <c r="Y457" s="1"/>
      <c r="Z457" s="1"/>
      <c r="AA457" s="1"/>
      <c r="AB457" s="1"/>
      <c r="AC457" s="1"/>
    </row>
    <row r="458" spans="12:29" ht="15">
      <c r="L458" s="1"/>
      <c r="M458" s="1"/>
      <c r="N458" s="1"/>
      <c r="O458" s="1"/>
      <c r="P458" s="1"/>
      <c r="Q458" s="1"/>
      <c r="R458" s="1"/>
      <c r="S458" s="1"/>
      <c r="T458" s="1"/>
      <c r="U458" s="1"/>
      <c r="V458" s="1"/>
      <c r="W458" s="1"/>
      <c r="X458" s="1"/>
      <c r="Y458" s="1"/>
      <c r="Z458" s="1"/>
      <c r="AA458" s="1"/>
      <c r="AB458" s="1"/>
      <c r="AC458" s="1"/>
    </row>
    <row r="459" spans="12:29" ht="15">
      <c r="L459" s="1"/>
      <c r="M459" s="1"/>
      <c r="N459" s="1"/>
      <c r="O459" s="1"/>
      <c r="P459" s="1"/>
      <c r="Q459" s="1"/>
      <c r="R459" s="1"/>
      <c r="S459" s="1"/>
      <c r="T459" s="1"/>
      <c r="U459" s="1"/>
      <c r="V459" s="1"/>
      <c r="W459" s="1"/>
      <c r="X459" s="1"/>
      <c r="Y459" s="1"/>
      <c r="Z459" s="1"/>
      <c r="AA459" s="1"/>
      <c r="AB459" s="1"/>
      <c r="AC459" s="1"/>
    </row>
    <row r="460" spans="12:29" ht="15">
      <c r="L460" s="1"/>
      <c r="M460" s="1"/>
      <c r="N460" s="1"/>
      <c r="O460" s="1"/>
      <c r="P460" s="1"/>
      <c r="Q460" s="1"/>
      <c r="R460" s="1"/>
      <c r="S460" s="1"/>
      <c r="T460" s="1"/>
      <c r="U460" s="1"/>
      <c r="V460" s="1"/>
      <c r="W460" s="1"/>
      <c r="X460" s="1"/>
      <c r="Y460" s="1"/>
      <c r="Z460" s="1"/>
      <c r="AA460" s="1"/>
      <c r="AB460" s="1"/>
      <c r="AC460" s="1"/>
    </row>
    <row r="461" spans="12:29" ht="15">
      <c r="L461" s="1"/>
      <c r="M461" s="1"/>
      <c r="N461" s="1"/>
      <c r="O461" s="1"/>
      <c r="P461" s="1"/>
      <c r="Q461" s="1"/>
      <c r="R461" s="1"/>
      <c r="S461" s="1"/>
      <c r="T461" s="1"/>
      <c r="U461" s="1"/>
      <c r="V461" s="1"/>
      <c r="W461" s="1"/>
      <c r="X461" s="1"/>
      <c r="Y461" s="1"/>
      <c r="Z461" s="1"/>
      <c r="AA461" s="1"/>
      <c r="AB461" s="1"/>
      <c r="AC461" s="1"/>
    </row>
    <row r="462" spans="12:29" ht="15">
      <c r="L462" s="1"/>
      <c r="M462" s="1"/>
      <c r="N462" s="1"/>
      <c r="O462" s="1"/>
      <c r="P462" s="1"/>
      <c r="Q462" s="1"/>
      <c r="R462" s="1"/>
      <c r="S462" s="1"/>
      <c r="T462" s="1"/>
      <c r="U462" s="1"/>
      <c r="V462" s="1"/>
      <c r="W462" s="1"/>
      <c r="X462" s="1"/>
      <c r="Y462" s="1"/>
      <c r="Z462" s="1"/>
      <c r="AA462" s="1"/>
      <c r="AB462" s="1"/>
      <c r="AC462" s="1"/>
    </row>
    <row r="463" spans="12:29" ht="15">
      <c r="L463" s="1"/>
      <c r="M463" s="1"/>
      <c r="N463" s="1"/>
      <c r="O463" s="1"/>
      <c r="P463" s="1"/>
      <c r="Q463" s="1"/>
      <c r="R463" s="1"/>
      <c r="S463" s="1"/>
      <c r="T463" s="1"/>
      <c r="U463" s="1"/>
      <c r="V463" s="1"/>
      <c r="W463" s="1"/>
      <c r="X463" s="1"/>
      <c r="Y463" s="1"/>
      <c r="Z463" s="1"/>
      <c r="AA463" s="1"/>
      <c r="AB463" s="1"/>
      <c r="AC463" s="1"/>
    </row>
    <row r="464" spans="12:29" ht="15">
      <c r="L464" s="1"/>
      <c r="M464" s="1"/>
      <c r="N464" s="1"/>
      <c r="O464" s="1"/>
      <c r="P464" s="1"/>
      <c r="Q464" s="1"/>
      <c r="R464" s="1"/>
      <c r="S464" s="1"/>
      <c r="T464" s="1"/>
      <c r="U464" s="1"/>
      <c r="V464" s="1"/>
      <c r="W464" s="1"/>
      <c r="X464" s="1"/>
      <c r="Y464" s="1"/>
      <c r="Z464" s="1"/>
      <c r="AA464" s="1"/>
      <c r="AB464" s="1"/>
      <c r="AC464" s="1"/>
    </row>
    <row r="465" spans="12:29" ht="15">
      <c r="L465" s="1"/>
      <c r="M465" s="1"/>
      <c r="N465" s="1"/>
      <c r="O465" s="1"/>
      <c r="P465" s="1"/>
      <c r="Q465" s="1"/>
      <c r="R465" s="1"/>
      <c r="S465" s="1"/>
      <c r="T465" s="1"/>
      <c r="U465" s="1"/>
      <c r="V465" s="1"/>
      <c r="W465" s="1"/>
      <c r="X465" s="1"/>
      <c r="Y465" s="1"/>
      <c r="Z465" s="1"/>
      <c r="AA465" s="1"/>
      <c r="AB465" s="1"/>
      <c r="AC465" s="1"/>
    </row>
    <row r="466" spans="12:29" ht="15">
      <c r="L466" s="1"/>
      <c r="M466" s="1"/>
      <c r="N466" s="1"/>
      <c r="O466" s="1"/>
      <c r="P466" s="1"/>
      <c r="Q466" s="1"/>
      <c r="R466" s="1"/>
      <c r="S466" s="1"/>
      <c r="T466" s="1"/>
      <c r="U466" s="1"/>
      <c r="V466" s="1"/>
      <c r="W466" s="1"/>
      <c r="X466" s="1"/>
      <c r="Y466" s="1"/>
      <c r="Z466" s="1"/>
      <c r="AA466" s="1"/>
      <c r="AB466" s="1"/>
      <c r="AC466" s="1"/>
    </row>
    <row r="467" spans="12:29" ht="15">
      <c r="L467" s="1"/>
      <c r="M467" s="1"/>
      <c r="N467" s="1"/>
      <c r="O467" s="1"/>
      <c r="P467" s="1"/>
      <c r="Q467" s="1"/>
      <c r="R467" s="1"/>
      <c r="S467" s="1"/>
      <c r="T467" s="1"/>
      <c r="U467" s="1"/>
      <c r="V467" s="1"/>
      <c r="W467" s="1"/>
      <c r="X467" s="1"/>
      <c r="Y467" s="1"/>
      <c r="Z467" s="1"/>
      <c r="AA467" s="1"/>
      <c r="AB467" s="1"/>
      <c r="AC467" s="1"/>
    </row>
    <row r="468" spans="12:29" ht="15">
      <c r="L468" s="1"/>
      <c r="M468" s="1"/>
      <c r="N468" s="1"/>
      <c r="O468" s="1"/>
      <c r="P468" s="1"/>
      <c r="Q468" s="1"/>
      <c r="R468" s="1"/>
      <c r="S468" s="1"/>
      <c r="T468" s="1"/>
      <c r="U468" s="1"/>
      <c r="V468" s="1"/>
      <c r="W468" s="1"/>
      <c r="X468" s="1"/>
      <c r="Y468" s="1"/>
      <c r="Z468" s="1"/>
      <c r="AA468" s="1"/>
      <c r="AB468" s="1"/>
      <c r="AC468" s="1"/>
    </row>
    <row r="469" spans="12:29" ht="15">
      <c r="L469" s="1"/>
      <c r="M469" s="1"/>
      <c r="N469" s="1"/>
      <c r="O469" s="1"/>
      <c r="P469" s="1"/>
      <c r="Q469" s="1"/>
      <c r="R469" s="1"/>
      <c r="S469" s="1"/>
      <c r="T469" s="1"/>
      <c r="U469" s="1"/>
      <c r="V469" s="1"/>
      <c r="W469" s="1"/>
      <c r="X469" s="1"/>
      <c r="Y469" s="1"/>
      <c r="Z469" s="1"/>
      <c r="AA469" s="1"/>
      <c r="AB469" s="1"/>
      <c r="AC469" s="1"/>
    </row>
    <row r="470" spans="12:29" ht="15">
      <c r="L470" s="1"/>
      <c r="M470" s="1"/>
      <c r="N470" s="1"/>
      <c r="O470" s="1"/>
      <c r="P470" s="1"/>
      <c r="Q470" s="1"/>
      <c r="R470" s="1"/>
      <c r="S470" s="1"/>
      <c r="T470" s="1"/>
      <c r="U470" s="1"/>
      <c r="V470" s="1"/>
      <c r="W470" s="1"/>
      <c r="X470" s="1"/>
      <c r="Y470" s="1"/>
      <c r="Z470" s="1"/>
      <c r="AA470" s="1"/>
      <c r="AB470" s="1"/>
      <c r="AC470" s="1"/>
    </row>
    <row r="471" spans="12:29" ht="15">
      <c r="L471" s="1"/>
      <c r="M471" s="1"/>
      <c r="N471" s="1"/>
      <c r="O471" s="1"/>
      <c r="P471" s="1"/>
      <c r="Q471" s="1"/>
      <c r="R471" s="1"/>
      <c r="S471" s="1"/>
      <c r="T471" s="1"/>
      <c r="U471" s="1"/>
      <c r="V471" s="1"/>
      <c r="W471" s="1"/>
      <c r="X471" s="1"/>
      <c r="Y471" s="1"/>
      <c r="Z471" s="1"/>
      <c r="AA471" s="1"/>
      <c r="AB471" s="1"/>
      <c r="AC471" s="1"/>
    </row>
    <row r="472" spans="12:29" ht="15">
      <c r="L472" s="1"/>
      <c r="M472" s="1"/>
      <c r="N472" s="1"/>
      <c r="O472" s="1"/>
      <c r="P472" s="1"/>
      <c r="Q472" s="1"/>
      <c r="R472" s="1"/>
      <c r="S472" s="1"/>
      <c r="T472" s="1"/>
      <c r="U472" s="1"/>
      <c r="V472" s="1"/>
      <c r="W472" s="1"/>
      <c r="X472" s="1"/>
      <c r="Y472" s="1"/>
      <c r="Z472" s="1"/>
      <c r="AA472" s="1"/>
      <c r="AB472" s="1"/>
      <c r="AC472" s="1"/>
    </row>
    <row r="473" spans="12:29" ht="15">
      <c r="L473" s="1"/>
      <c r="M473" s="1"/>
      <c r="N473" s="1"/>
      <c r="O473" s="1"/>
      <c r="P473" s="1"/>
      <c r="Q473" s="1"/>
      <c r="R473" s="1"/>
      <c r="S473" s="1"/>
      <c r="T473" s="1"/>
      <c r="U473" s="1"/>
      <c r="V473" s="1"/>
      <c r="W473" s="1"/>
      <c r="X473" s="1"/>
      <c r="Y473" s="1"/>
      <c r="Z473" s="1"/>
      <c r="AA473" s="1"/>
      <c r="AB473" s="1"/>
      <c r="AC473" s="1"/>
    </row>
    <row r="474" spans="12:29" ht="15">
      <c r="L474" s="1"/>
      <c r="M474" s="1"/>
      <c r="N474" s="1"/>
      <c r="O474" s="1"/>
      <c r="P474" s="1"/>
      <c r="Q474" s="1"/>
      <c r="R474" s="1"/>
      <c r="S474" s="1"/>
      <c r="T474" s="1"/>
      <c r="U474" s="1"/>
      <c r="V474" s="1"/>
      <c r="W474" s="1"/>
      <c r="X474" s="1"/>
      <c r="Y474" s="1"/>
      <c r="Z474" s="1"/>
      <c r="AA474" s="1"/>
      <c r="AB474" s="1"/>
      <c r="AC474" s="1"/>
    </row>
    <row r="475" spans="12:29" ht="15">
      <c r="L475" s="1"/>
      <c r="M475" s="1"/>
      <c r="N475" s="1"/>
      <c r="O475" s="1"/>
      <c r="P475" s="1"/>
      <c r="Q475" s="1"/>
      <c r="R475" s="1"/>
      <c r="S475" s="1"/>
      <c r="T475" s="1"/>
      <c r="U475" s="1"/>
      <c r="V475" s="1"/>
      <c r="W475" s="1"/>
      <c r="X475" s="1"/>
      <c r="Y475" s="1"/>
      <c r="Z475" s="1"/>
      <c r="AA475" s="1"/>
      <c r="AB475" s="1"/>
      <c r="AC475" s="1"/>
    </row>
    <row r="476" spans="12:29" ht="15">
      <c r="L476" s="1"/>
      <c r="M476" s="1"/>
      <c r="N476" s="1"/>
      <c r="O476" s="1"/>
      <c r="P476" s="1"/>
      <c r="Q476" s="1"/>
      <c r="R476" s="1"/>
      <c r="S476" s="1"/>
      <c r="T476" s="1"/>
      <c r="U476" s="1"/>
      <c r="V476" s="1"/>
      <c r="W476" s="1"/>
      <c r="X476" s="1"/>
      <c r="Y476" s="1"/>
      <c r="Z476" s="1"/>
      <c r="AA476" s="1"/>
      <c r="AB476" s="1"/>
      <c r="AC476" s="1"/>
    </row>
    <row r="477" spans="12:29" ht="15">
      <c r="L477" s="1"/>
      <c r="M477" s="1"/>
      <c r="N477" s="1"/>
      <c r="O477" s="1"/>
      <c r="P477" s="1"/>
      <c r="Q477" s="1"/>
      <c r="R477" s="1"/>
      <c r="S477" s="1"/>
      <c r="T477" s="1"/>
      <c r="U477" s="1"/>
      <c r="V477" s="1"/>
      <c r="W477" s="1"/>
      <c r="X477" s="1"/>
      <c r="Y477" s="1"/>
      <c r="Z477" s="1"/>
      <c r="AA477" s="1"/>
      <c r="AB477" s="1"/>
      <c r="AC477" s="1"/>
    </row>
    <row r="478" spans="12:29" ht="15">
      <c r="L478" s="1"/>
      <c r="M478" s="1"/>
      <c r="N478" s="1"/>
      <c r="O478" s="1"/>
      <c r="P478" s="1"/>
      <c r="Q478" s="1"/>
      <c r="R478" s="1"/>
      <c r="S478" s="1"/>
      <c r="T478" s="1"/>
      <c r="U478" s="1"/>
      <c r="V478" s="1"/>
      <c r="W478" s="1"/>
      <c r="X478" s="1"/>
      <c r="Y478" s="1"/>
      <c r="Z478" s="1"/>
      <c r="AA478" s="1"/>
      <c r="AB478" s="1"/>
      <c r="AC478" s="1"/>
    </row>
    <row r="479" spans="12:29" ht="15">
      <c r="L479" s="1"/>
      <c r="M479" s="1"/>
      <c r="N479" s="1"/>
      <c r="O479" s="1"/>
      <c r="P479" s="1"/>
      <c r="Q479" s="1"/>
      <c r="R479" s="1"/>
      <c r="S479" s="1"/>
      <c r="T479" s="1"/>
      <c r="U479" s="1"/>
      <c r="V479" s="1"/>
      <c r="W479" s="1"/>
      <c r="X479" s="1"/>
      <c r="Y479" s="1"/>
      <c r="Z479" s="1"/>
      <c r="AA479" s="1"/>
      <c r="AB479" s="1"/>
      <c r="AC479" s="1"/>
    </row>
    <row r="480" spans="12:29" ht="15">
      <c r="L480" s="1"/>
      <c r="M480" s="1"/>
      <c r="N480" s="1"/>
      <c r="O480" s="1"/>
      <c r="P480" s="1"/>
      <c r="Q480" s="1"/>
      <c r="R480" s="1"/>
      <c r="S480" s="1"/>
      <c r="T480" s="1"/>
      <c r="U480" s="1"/>
      <c r="V480" s="1"/>
      <c r="W480" s="1"/>
      <c r="X480" s="1"/>
      <c r="Y480" s="1"/>
      <c r="Z480" s="1"/>
      <c r="AA480" s="1"/>
      <c r="AB480" s="1"/>
      <c r="AC480" s="1"/>
    </row>
    <row r="481" spans="12:29" ht="15">
      <c r="L481" s="1"/>
      <c r="M481" s="1"/>
      <c r="N481" s="1"/>
      <c r="O481" s="1"/>
      <c r="P481" s="1"/>
      <c r="Q481" s="1"/>
      <c r="R481" s="1"/>
      <c r="S481" s="1"/>
      <c r="T481" s="1"/>
      <c r="U481" s="1"/>
      <c r="V481" s="1"/>
      <c r="W481" s="1"/>
      <c r="X481" s="1"/>
      <c r="Y481" s="1"/>
      <c r="Z481" s="1"/>
      <c r="AA481" s="1"/>
      <c r="AB481" s="1"/>
      <c r="AC481" s="1"/>
    </row>
    <row r="482" spans="12:29" ht="15">
      <c r="L482" s="1"/>
      <c r="M482" s="1"/>
      <c r="N482" s="1"/>
      <c r="O482" s="1"/>
      <c r="P482" s="1"/>
      <c r="Q482" s="1"/>
      <c r="R482" s="1"/>
      <c r="S482" s="1"/>
      <c r="T482" s="1"/>
      <c r="U482" s="1"/>
      <c r="V482" s="1"/>
      <c r="W482" s="1"/>
      <c r="X482" s="1"/>
      <c r="Y482" s="1"/>
      <c r="Z482" s="1"/>
      <c r="AA482" s="1"/>
      <c r="AB482" s="1"/>
      <c r="AC482" s="1"/>
    </row>
    <row r="483" spans="12:29" ht="15">
      <c r="L483" s="1"/>
      <c r="M483" s="1"/>
      <c r="N483" s="1"/>
      <c r="O483" s="1"/>
      <c r="P483" s="1"/>
      <c r="Q483" s="1"/>
      <c r="R483" s="1"/>
      <c r="S483" s="1"/>
      <c r="T483" s="1"/>
      <c r="U483" s="1"/>
      <c r="V483" s="1"/>
      <c r="W483" s="1"/>
      <c r="X483" s="1"/>
      <c r="Y483" s="1"/>
      <c r="Z483" s="1"/>
      <c r="AA483" s="1"/>
      <c r="AB483" s="1"/>
      <c r="AC483" s="1"/>
    </row>
    <row r="484" spans="12:29" ht="15">
      <c r="L484" s="1"/>
      <c r="M484" s="1"/>
      <c r="N484" s="1"/>
      <c r="O484" s="1"/>
      <c r="P484" s="1"/>
      <c r="Q484" s="1"/>
      <c r="R484" s="1"/>
      <c r="S484" s="1"/>
      <c r="T484" s="1"/>
      <c r="U484" s="1"/>
      <c r="V484" s="1"/>
      <c r="W484" s="1"/>
      <c r="X484" s="1"/>
      <c r="Y484" s="1"/>
      <c r="Z484" s="1"/>
      <c r="AA484" s="1"/>
      <c r="AB484" s="1"/>
      <c r="AC484" s="1"/>
    </row>
    <row r="485" spans="12:29" ht="15">
      <c r="L485" s="1"/>
      <c r="M485" s="1"/>
      <c r="N485" s="1"/>
      <c r="O485" s="1"/>
      <c r="P485" s="1"/>
      <c r="Q485" s="1"/>
      <c r="R485" s="1"/>
      <c r="S485" s="1"/>
      <c r="T485" s="1"/>
      <c r="U485" s="1"/>
      <c r="V485" s="1"/>
      <c r="W485" s="1"/>
      <c r="X485" s="1"/>
      <c r="Y485" s="1"/>
      <c r="Z485" s="1"/>
      <c r="AA485" s="1"/>
      <c r="AB485" s="1"/>
      <c r="AC485" s="1"/>
    </row>
    <row r="486" spans="12:29" ht="15">
      <c r="L486" s="1"/>
      <c r="M486" s="1"/>
      <c r="N486" s="1"/>
      <c r="O486" s="1"/>
      <c r="P486" s="1"/>
      <c r="Q486" s="1"/>
      <c r="R486" s="1"/>
      <c r="S486" s="1"/>
      <c r="T486" s="1"/>
      <c r="U486" s="1"/>
      <c r="V486" s="1"/>
      <c r="W486" s="1"/>
      <c r="X486" s="1"/>
      <c r="Y486" s="1"/>
      <c r="Z486" s="1"/>
      <c r="AA486" s="1"/>
      <c r="AB486" s="1"/>
      <c r="AC486" s="1"/>
    </row>
    <row r="487" spans="12:29" ht="15">
      <c r="L487" s="1"/>
      <c r="M487" s="1"/>
      <c r="N487" s="1"/>
      <c r="O487" s="1"/>
      <c r="P487" s="1"/>
      <c r="Q487" s="1"/>
      <c r="R487" s="1"/>
      <c r="S487" s="1"/>
      <c r="T487" s="1"/>
      <c r="U487" s="1"/>
      <c r="V487" s="1"/>
      <c r="W487" s="1"/>
      <c r="X487" s="1"/>
      <c r="Y487" s="1"/>
      <c r="Z487" s="1"/>
      <c r="AA487" s="1"/>
      <c r="AB487" s="1"/>
      <c r="AC487" s="1"/>
    </row>
    <row r="488" spans="12:29" ht="15">
      <c r="L488" s="1"/>
      <c r="M488" s="1"/>
      <c r="N488" s="1"/>
      <c r="O488" s="1"/>
      <c r="P488" s="1"/>
      <c r="Q488" s="1"/>
      <c r="R488" s="1"/>
      <c r="S488" s="1"/>
      <c r="T488" s="1"/>
      <c r="U488" s="1"/>
      <c r="V488" s="1"/>
      <c r="W488" s="1"/>
      <c r="X488" s="1"/>
      <c r="Y488" s="1"/>
      <c r="Z488" s="1"/>
      <c r="AA488" s="1"/>
      <c r="AB488" s="1"/>
      <c r="AC488" s="1"/>
    </row>
    <row r="489" spans="12:29" ht="15">
      <c r="L489" s="1"/>
      <c r="M489" s="1"/>
      <c r="N489" s="1"/>
      <c r="O489" s="1"/>
      <c r="P489" s="1"/>
      <c r="Q489" s="1"/>
      <c r="R489" s="1"/>
      <c r="S489" s="1"/>
      <c r="T489" s="1"/>
      <c r="U489" s="1"/>
      <c r="V489" s="1"/>
      <c r="W489" s="1"/>
      <c r="X489" s="1"/>
      <c r="Y489" s="1"/>
      <c r="Z489" s="1"/>
      <c r="AA489" s="1"/>
      <c r="AB489" s="1"/>
      <c r="AC489" s="1"/>
    </row>
    <row r="490" spans="12:29" ht="15">
      <c r="L490" s="1"/>
      <c r="M490" s="1"/>
      <c r="N490" s="1"/>
      <c r="O490" s="1"/>
      <c r="P490" s="1"/>
      <c r="Q490" s="1"/>
      <c r="R490" s="1"/>
      <c r="S490" s="1"/>
      <c r="T490" s="1"/>
      <c r="U490" s="1"/>
      <c r="V490" s="1"/>
      <c r="W490" s="1"/>
      <c r="X490" s="1"/>
      <c r="Y490" s="1"/>
      <c r="Z490" s="1"/>
      <c r="AA490" s="1"/>
      <c r="AB490" s="1"/>
      <c r="AC490" s="1"/>
    </row>
    <row r="491" spans="12:29" ht="15">
      <c r="L491" s="1"/>
      <c r="M491" s="1"/>
      <c r="N491" s="1"/>
      <c r="O491" s="1"/>
      <c r="P491" s="1"/>
      <c r="Q491" s="1"/>
      <c r="R491" s="1"/>
      <c r="S491" s="1"/>
      <c r="T491" s="1"/>
      <c r="U491" s="1"/>
      <c r="V491" s="1"/>
      <c r="W491" s="1"/>
      <c r="X491" s="1"/>
      <c r="Y491" s="1"/>
      <c r="Z491" s="1"/>
      <c r="AA491" s="1"/>
      <c r="AB491" s="1"/>
      <c r="AC491" s="1"/>
    </row>
    <row r="492" spans="12:29" ht="15">
      <c r="L492" s="1"/>
      <c r="M492" s="1"/>
      <c r="N492" s="1"/>
      <c r="O492" s="1"/>
      <c r="P492" s="1"/>
      <c r="Q492" s="1"/>
      <c r="R492" s="1"/>
      <c r="S492" s="1"/>
      <c r="T492" s="1"/>
      <c r="U492" s="1"/>
      <c r="V492" s="1"/>
      <c r="W492" s="1"/>
      <c r="X492" s="1"/>
      <c r="Y492" s="1"/>
      <c r="Z492" s="1"/>
      <c r="AA492" s="1"/>
      <c r="AB492" s="1"/>
      <c r="AC492" s="1"/>
    </row>
    <row r="493" spans="12:29" ht="15">
      <c r="L493" s="1"/>
      <c r="M493" s="1"/>
      <c r="N493" s="1"/>
      <c r="O493" s="1"/>
      <c r="P493" s="1"/>
      <c r="Q493" s="1"/>
      <c r="R493" s="1"/>
      <c r="S493" s="1"/>
      <c r="T493" s="1"/>
      <c r="U493" s="1"/>
      <c r="V493" s="1"/>
      <c r="W493" s="1"/>
      <c r="X493" s="1"/>
      <c r="Y493" s="1"/>
      <c r="Z493" s="1"/>
      <c r="AA493" s="1"/>
      <c r="AB493" s="1"/>
      <c r="AC493" s="1"/>
    </row>
    <row r="494" spans="12:29" ht="15">
      <c r="L494" s="1"/>
      <c r="M494" s="1"/>
      <c r="N494" s="1"/>
      <c r="O494" s="1"/>
      <c r="P494" s="1"/>
      <c r="Q494" s="1"/>
      <c r="R494" s="1"/>
      <c r="S494" s="1"/>
      <c r="T494" s="1"/>
      <c r="U494" s="1"/>
      <c r="V494" s="1"/>
      <c r="W494" s="1"/>
      <c r="X494" s="1"/>
      <c r="Y494" s="1"/>
      <c r="Z494" s="1"/>
      <c r="AA494" s="1"/>
      <c r="AB494" s="1"/>
      <c r="AC494" s="1"/>
    </row>
    <row r="495" spans="12:29" ht="15">
      <c r="L495" s="1"/>
      <c r="M495" s="1"/>
      <c r="N495" s="1"/>
      <c r="O495" s="1"/>
      <c r="P495" s="1"/>
      <c r="Q495" s="1"/>
      <c r="R495" s="1"/>
      <c r="S495" s="1"/>
      <c r="T495" s="1"/>
      <c r="U495" s="1"/>
      <c r="V495" s="1"/>
      <c r="W495" s="1"/>
      <c r="X495" s="1"/>
      <c r="Y495" s="1"/>
      <c r="Z495" s="1"/>
      <c r="AA495" s="1"/>
      <c r="AB495" s="1"/>
      <c r="AC495" s="1"/>
    </row>
    <row r="496" spans="12:29" ht="15">
      <c r="L496" s="1"/>
      <c r="M496" s="1"/>
      <c r="N496" s="1"/>
      <c r="O496" s="1"/>
      <c r="P496" s="1"/>
      <c r="Q496" s="1"/>
      <c r="R496" s="1"/>
      <c r="S496" s="1"/>
      <c r="T496" s="1"/>
      <c r="U496" s="1"/>
      <c r="V496" s="1"/>
      <c r="W496" s="1"/>
      <c r="X496" s="1"/>
      <c r="Y496" s="1"/>
      <c r="Z496" s="1"/>
      <c r="AA496" s="1"/>
      <c r="AB496" s="1"/>
      <c r="AC496" s="1"/>
    </row>
    <row r="497" spans="12:29" ht="15">
      <c r="L497" s="1"/>
      <c r="M497" s="1"/>
      <c r="N497" s="1"/>
      <c r="O497" s="1"/>
      <c r="P497" s="1"/>
      <c r="Q497" s="1"/>
      <c r="R497" s="1"/>
      <c r="S497" s="1"/>
      <c r="T497" s="1"/>
      <c r="U497" s="1"/>
      <c r="V497" s="1"/>
      <c r="W497" s="1"/>
      <c r="X497" s="1"/>
      <c r="Y497" s="1"/>
      <c r="Z497" s="1"/>
      <c r="AA497" s="1"/>
      <c r="AB497" s="1"/>
      <c r="AC497" s="1"/>
    </row>
    <row r="498" spans="12:29" ht="15">
      <c r="L498" s="1"/>
      <c r="M498" s="1"/>
      <c r="N498" s="1"/>
      <c r="O498" s="1"/>
      <c r="P498" s="1"/>
      <c r="Q498" s="1"/>
      <c r="R498" s="1"/>
      <c r="S498" s="1"/>
      <c r="T498" s="1"/>
      <c r="U498" s="1"/>
      <c r="V498" s="1"/>
      <c r="W498" s="1"/>
      <c r="X498" s="1"/>
      <c r="Y498" s="1"/>
      <c r="Z498" s="1"/>
      <c r="AA498" s="1"/>
      <c r="AB498" s="1"/>
      <c r="AC498" s="1"/>
    </row>
    <row r="499" spans="12:29" ht="15">
      <c r="L499" s="1"/>
      <c r="M499" s="1"/>
      <c r="N499" s="1"/>
      <c r="O499" s="1"/>
      <c r="P499" s="1"/>
      <c r="Q499" s="1"/>
      <c r="R499" s="1"/>
      <c r="S499" s="1"/>
      <c r="T499" s="1"/>
      <c r="U499" s="1"/>
      <c r="V499" s="1"/>
      <c r="W499" s="1"/>
      <c r="X499" s="1"/>
      <c r="Y499" s="1"/>
      <c r="Z499" s="1"/>
      <c r="AA499" s="1"/>
      <c r="AB499" s="1"/>
      <c r="AC499" s="1"/>
    </row>
    <row r="500" spans="12:29" ht="15">
      <c r="L500" s="1"/>
      <c r="M500" s="1"/>
      <c r="N500" s="1"/>
      <c r="O500" s="1"/>
      <c r="P500" s="1"/>
      <c r="Q500" s="1"/>
      <c r="R500" s="1"/>
      <c r="S500" s="1"/>
      <c r="T500" s="1"/>
      <c r="U500" s="1"/>
      <c r="V500" s="1"/>
      <c r="W500" s="1"/>
      <c r="X500" s="1"/>
      <c r="Y500" s="1"/>
      <c r="Z500" s="1"/>
      <c r="AA500" s="1"/>
      <c r="AB500" s="1"/>
      <c r="AC500" s="1"/>
    </row>
    <row r="501" spans="12:29" ht="15">
      <c r="L501" s="1"/>
      <c r="M501" s="1"/>
      <c r="N501" s="1"/>
      <c r="O501" s="1"/>
      <c r="P501" s="1"/>
      <c r="Q501" s="1"/>
      <c r="R501" s="1"/>
      <c r="S501" s="1"/>
      <c r="T501" s="1"/>
      <c r="U501" s="1"/>
      <c r="V501" s="1"/>
      <c r="W501" s="1"/>
      <c r="X501" s="1"/>
      <c r="Y501" s="1"/>
      <c r="Z501" s="1"/>
      <c r="AA501" s="1"/>
      <c r="AB501" s="1"/>
      <c r="AC501" s="1"/>
    </row>
    <row r="502" spans="12:29" ht="15">
      <c r="L502" s="1"/>
      <c r="M502" s="1"/>
      <c r="N502" s="1"/>
      <c r="O502" s="1"/>
      <c r="P502" s="1"/>
      <c r="Q502" s="1"/>
      <c r="R502" s="1"/>
      <c r="S502" s="1"/>
      <c r="T502" s="1"/>
      <c r="U502" s="1"/>
      <c r="V502" s="1"/>
      <c r="W502" s="1"/>
      <c r="X502" s="1"/>
      <c r="Y502" s="1"/>
      <c r="Z502" s="1"/>
      <c r="AA502" s="1"/>
      <c r="AB502" s="1"/>
      <c r="AC502" s="1"/>
    </row>
    <row r="503" spans="12:29" ht="15">
      <c r="L503" s="1"/>
      <c r="M503" s="1"/>
      <c r="N503" s="1"/>
      <c r="O503" s="1"/>
      <c r="P503" s="1"/>
      <c r="Q503" s="1"/>
      <c r="R503" s="1"/>
      <c r="S503" s="1"/>
      <c r="T503" s="1"/>
      <c r="U503" s="1"/>
      <c r="V503" s="1"/>
      <c r="W503" s="1"/>
      <c r="X503" s="1"/>
      <c r="Y503" s="1"/>
      <c r="Z503" s="1"/>
      <c r="AA503" s="1"/>
      <c r="AB503" s="1"/>
      <c r="AC503" s="1"/>
    </row>
    <row r="504" spans="12:29" ht="15">
      <c r="L504" s="1"/>
      <c r="M504" s="1"/>
      <c r="N504" s="1"/>
      <c r="O504" s="1"/>
      <c r="P504" s="1"/>
      <c r="Q504" s="1"/>
      <c r="R504" s="1"/>
      <c r="S504" s="1"/>
      <c r="T504" s="1"/>
      <c r="U504" s="1"/>
      <c r="V504" s="1"/>
      <c r="W504" s="1"/>
      <c r="X504" s="1"/>
      <c r="Y504" s="1"/>
      <c r="Z504" s="1"/>
      <c r="AA504" s="1"/>
      <c r="AB504" s="1"/>
      <c r="AC504" s="1"/>
    </row>
    <row r="505" spans="12:29" ht="15">
      <c r="L505" s="1"/>
      <c r="M505" s="1"/>
      <c r="N505" s="1"/>
      <c r="O505" s="1"/>
      <c r="P505" s="1"/>
      <c r="Q505" s="1"/>
      <c r="R505" s="1"/>
      <c r="S505" s="1"/>
      <c r="T505" s="1"/>
      <c r="U505" s="1"/>
      <c r="V505" s="1"/>
      <c r="W505" s="1"/>
      <c r="X505" s="1"/>
      <c r="Y505" s="1"/>
      <c r="Z505" s="1"/>
      <c r="AA505" s="1"/>
      <c r="AB505" s="1"/>
      <c r="AC505" s="1"/>
    </row>
    <row r="506" spans="12:29" ht="15">
      <c r="L506" s="1"/>
      <c r="M506" s="1"/>
      <c r="N506" s="1"/>
      <c r="O506" s="1"/>
      <c r="P506" s="1"/>
      <c r="Q506" s="1"/>
      <c r="R506" s="1"/>
      <c r="S506" s="1"/>
      <c r="T506" s="1"/>
      <c r="U506" s="1"/>
      <c r="V506" s="1"/>
      <c r="W506" s="1"/>
      <c r="X506" s="1"/>
      <c r="Y506" s="1"/>
      <c r="Z506" s="1"/>
      <c r="AA506" s="1"/>
      <c r="AB506" s="1"/>
      <c r="AC506" s="1"/>
    </row>
    <row r="507" spans="12:29" ht="15">
      <c r="L507" s="1"/>
      <c r="M507" s="1"/>
      <c r="N507" s="1"/>
      <c r="O507" s="1"/>
      <c r="P507" s="1"/>
      <c r="Q507" s="1"/>
      <c r="R507" s="1"/>
      <c r="S507" s="1"/>
      <c r="T507" s="1"/>
      <c r="U507" s="1"/>
      <c r="V507" s="1"/>
      <c r="W507" s="1"/>
      <c r="X507" s="1"/>
      <c r="Y507" s="1"/>
      <c r="Z507" s="1"/>
      <c r="AA507" s="1"/>
      <c r="AB507" s="1"/>
      <c r="AC507" s="1"/>
    </row>
    <row r="508" spans="12:29" ht="15">
      <c r="L508" s="1"/>
      <c r="M508" s="1"/>
      <c r="N508" s="1"/>
      <c r="O508" s="1"/>
      <c r="P508" s="1"/>
      <c r="Q508" s="1"/>
      <c r="R508" s="1"/>
      <c r="S508" s="1"/>
      <c r="T508" s="1"/>
      <c r="U508" s="1"/>
      <c r="V508" s="1"/>
      <c r="W508" s="1"/>
      <c r="X508" s="1"/>
      <c r="Y508" s="1"/>
      <c r="Z508" s="1"/>
      <c r="AA508" s="1"/>
      <c r="AB508" s="1"/>
      <c r="AC508" s="1"/>
    </row>
    <row r="509" spans="12:29" ht="15">
      <c r="L509" s="1"/>
      <c r="M509" s="1"/>
      <c r="N509" s="1"/>
      <c r="O509" s="1"/>
      <c r="P509" s="1"/>
      <c r="Q509" s="1"/>
      <c r="R509" s="1"/>
      <c r="S509" s="1"/>
      <c r="T509" s="1"/>
      <c r="U509" s="1"/>
      <c r="V509" s="1"/>
      <c r="W509" s="1"/>
      <c r="X509" s="1"/>
      <c r="Y509" s="1"/>
      <c r="Z509" s="1"/>
      <c r="AA509" s="1"/>
      <c r="AB509" s="1"/>
      <c r="AC509" s="1"/>
    </row>
    <row r="510" spans="12:29" ht="15">
      <c r="L510" s="1"/>
      <c r="M510" s="1"/>
      <c r="N510" s="1"/>
      <c r="O510" s="1"/>
      <c r="P510" s="1"/>
      <c r="Q510" s="1"/>
      <c r="R510" s="1"/>
      <c r="S510" s="1"/>
      <c r="T510" s="1"/>
      <c r="U510" s="1"/>
      <c r="V510" s="1"/>
      <c r="W510" s="1"/>
      <c r="X510" s="1"/>
      <c r="Y510" s="1"/>
      <c r="Z510" s="1"/>
      <c r="AA510" s="1"/>
      <c r="AB510" s="1"/>
      <c r="AC510" s="1"/>
    </row>
    <row r="511" spans="12:29" ht="15">
      <c r="L511" s="1"/>
      <c r="M511" s="1"/>
      <c r="N511" s="1"/>
      <c r="O511" s="1"/>
      <c r="P511" s="1"/>
      <c r="Q511" s="1"/>
      <c r="R511" s="1"/>
      <c r="S511" s="1"/>
      <c r="T511" s="1"/>
      <c r="U511" s="1"/>
      <c r="V511" s="1"/>
      <c r="W511" s="1"/>
      <c r="X511" s="1"/>
      <c r="Y511" s="1"/>
      <c r="Z511" s="1"/>
      <c r="AA511" s="1"/>
      <c r="AB511" s="1"/>
      <c r="AC511" s="1"/>
    </row>
    <row r="512" spans="12:29" ht="15">
      <c r="L512" s="1"/>
      <c r="M512" s="1"/>
      <c r="N512" s="1"/>
      <c r="O512" s="1"/>
      <c r="P512" s="1"/>
      <c r="Q512" s="1"/>
      <c r="R512" s="1"/>
      <c r="S512" s="1"/>
      <c r="T512" s="1"/>
      <c r="U512" s="1"/>
      <c r="V512" s="1"/>
      <c r="W512" s="1"/>
      <c r="X512" s="1"/>
      <c r="Y512" s="1"/>
      <c r="Z512" s="1"/>
      <c r="AA512" s="1"/>
      <c r="AB512" s="1"/>
      <c r="AC512" s="1"/>
    </row>
    <row r="513" spans="12:29" ht="15">
      <c r="L513" s="1"/>
      <c r="M513" s="1"/>
      <c r="N513" s="1"/>
      <c r="O513" s="1"/>
      <c r="P513" s="1"/>
      <c r="Q513" s="1"/>
      <c r="R513" s="1"/>
      <c r="S513" s="1"/>
      <c r="T513" s="1"/>
      <c r="U513" s="1"/>
      <c r="V513" s="1"/>
      <c r="W513" s="1"/>
      <c r="X513" s="1"/>
      <c r="Y513" s="1"/>
      <c r="Z513" s="1"/>
      <c r="AA513" s="1"/>
      <c r="AB513" s="1"/>
      <c r="AC513" s="1"/>
    </row>
    <row r="514" spans="12:29" ht="15">
      <c r="L514" s="1"/>
      <c r="M514" s="1"/>
      <c r="N514" s="1"/>
      <c r="O514" s="1"/>
      <c r="P514" s="1"/>
      <c r="Q514" s="1"/>
      <c r="R514" s="1"/>
      <c r="S514" s="1"/>
      <c r="T514" s="1"/>
      <c r="U514" s="1"/>
      <c r="V514" s="1"/>
      <c r="W514" s="1"/>
      <c r="X514" s="1"/>
      <c r="Y514" s="1"/>
      <c r="Z514" s="1"/>
      <c r="AA514" s="1"/>
      <c r="AB514" s="1"/>
      <c r="AC514" s="1"/>
    </row>
    <row r="515" spans="12:29" ht="15">
      <c r="L515" s="1"/>
      <c r="M515" s="1"/>
      <c r="N515" s="1"/>
      <c r="O515" s="1"/>
      <c r="P515" s="1"/>
      <c r="Q515" s="1"/>
      <c r="R515" s="1"/>
      <c r="S515" s="1"/>
      <c r="T515" s="1"/>
      <c r="U515" s="1"/>
      <c r="V515" s="1"/>
      <c r="W515" s="1"/>
      <c r="X515" s="1"/>
      <c r="Y515" s="1"/>
      <c r="Z515" s="1"/>
      <c r="AA515" s="1"/>
      <c r="AB515" s="1"/>
      <c r="AC515" s="1"/>
    </row>
    <row r="516" spans="12:29" ht="15">
      <c r="L516" s="1"/>
      <c r="M516" s="1"/>
      <c r="N516" s="1"/>
      <c r="O516" s="1"/>
      <c r="P516" s="1"/>
      <c r="Q516" s="1"/>
      <c r="R516" s="1"/>
      <c r="S516" s="1"/>
      <c r="T516" s="1"/>
      <c r="U516" s="1"/>
      <c r="V516" s="1"/>
      <c r="W516" s="1"/>
      <c r="X516" s="1"/>
      <c r="Y516" s="1"/>
      <c r="Z516" s="1"/>
      <c r="AA516" s="1"/>
      <c r="AB516" s="1"/>
      <c r="AC516" s="1"/>
    </row>
    <row r="517" spans="12:29" ht="15">
      <c r="L517" s="1"/>
      <c r="M517" s="1"/>
      <c r="N517" s="1"/>
      <c r="O517" s="1"/>
      <c r="P517" s="1"/>
      <c r="Q517" s="1"/>
      <c r="R517" s="1"/>
      <c r="S517" s="1"/>
      <c r="T517" s="1"/>
      <c r="U517" s="1"/>
      <c r="V517" s="1"/>
      <c r="W517" s="1"/>
      <c r="X517" s="1"/>
      <c r="Y517" s="1"/>
      <c r="Z517" s="1"/>
      <c r="AA517" s="1"/>
      <c r="AB517" s="1"/>
      <c r="AC517" s="1"/>
    </row>
    <row r="518" spans="12:29" ht="15">
      <c r="L518" s="1"/>
      <c r="M518" s="1"/>
      <c r="N518" s="1"/>
      <c r="O518" s="1"/>
      <c r="P518" s="1"/>
      <c r="Q518" s="1"/>
      <c r="R518" s="1"/>
      <c r="S518" s="1"/>
      <c r="T518" s="1"/>
      <c r="U518" s="1"/>
      <c r="V518" s="1"/>
      <c r="W518" s="1"/>
      <c r="X518" s="1"/>
      <c r="Y518" s="1"/>
      <c r="Z518" s="1"/>
      <c r="AA518" s="1"/>
      <c r="AB518" s="1"/>
      <c r="AC518" s="1"/>
    </row>
    <row r="519" spans="12:29" ht="15">
      <c r="L519" s="1"/>
      <c r="M519" s="1"/>
      <c r="N519" s="1"/>
      <c r="O519" s="1"/>
      <c r="P519" s="1"/>
      <c r="Q519" s="1"/>
      <c r="R519" s="1"/>
      <c r="S519" s="1"/>
      <c r="T519" s="1"/>
      <c r="U519" s="1"/>
      <c r="V519" s="1"/>
      <c r="W519" s="1"/>
      <c r="X519" s="1"/>
      <c r="Y519" s="1"/>
      <c r="Z519" s="1"/>
      <c r="AA519" s="1"/>
      <c r="AB519" s="1"/>
      <c r="AC519" s="1"/>
    </row>
    <row r="520" spans="12:29" ht="15">
      <c r="L520" s="1"/>
      <c r="M520" s="1"/>
      <c r="N520" s="1"/>
      <c r="O520" s="1"/>
      <c r="P520" s="1"/>
      <c r="Q520" s="1"/>
      <c r="R520" s="1"/>
      <c r="S520" s="1"/>
      <c r="T520" s="1"/>
      <c r="U520" s="1"/>
      <c r="V520" s="1"/>
      <c r="W520" s="1"/>
      <c r="X520" s="1"/>
      <c r="Y520" s="1"/>
      <c r="Z520" s="1"/>
      <c r="AA520" s="1"/>
      <c r="AB520" s="1"/>
      <c r="AC520" s="1"/>
    </row>
    <row r="521" spans="12:29" ht="15">
      <c r="L521" s="1"/>
      <c r="M521" s="1"/>
      <c r="N521" s="1"/>
      <c r="O521" s="1"/>
      <c r="P521" s="1"/>
      <c r="Q521" s="1"/>
      <c r="R521" s="1"/>
      <c r="S521" s="1"/>
      <c r="T521" s="1"/>
      <c r="U521" s="1"/>
      <c r="V521" s="1"/>
      <c r="W521" s="1"/>
      <c r="X521" s="1"/>
      <c r="Y521" s="1"/>
      <c r="Z521" s="1"/>
      <c r="AA521" s="1"/>
      <c r="AB521" s="1"/>
      <c r="AC521" s="1"/>
    </row>
    <row r="522" spans="12:29" ht="15">
      <c r="L522" s="1"/>
      <c r="M522" s="1"/>
      <c r="N522" s="1"/>
      <c r="O522" s="1"/>
      <c r="P522" s="1"/>
      <c r="Q522" s="1"/>
      <c r="R522" s="1"/>
      <c r="S522" s="1"/>
      <c r="T522" s="1"/>
      <c r="U522" s="1"/>
      <c r="V522" s="1"/>
      <c r="W522" s="1"/>
      <c r="X522" s="1"/>
      <c r="Y522" s="1"/>
      <c r="Z522" s="1"/>
      <c r="AA522" s="1"/>
      <c r="AB522" s="1"/>
      <c r="AC522" s="1"/>
    </row>
    <row r="523" spans="12:29" ht="15">
      <c r="L523" s="1"/>
      <c r="M523" s="1"/>
      <c r="N523" s="1"/>
      <c r="O523" s="1"/>
      <c r="P523" s="1"/>
      <c r="Q523" s="1"/>
      <c r="R523" s="1"/>
      <c r="S523" s="1"/>
      <c r="T523" s="1"/>
      <c r="U523" s="1"/>
      <c r="V523" s="1"/>
      <c r="W523" s="1"/>
      <c r="X523" s="1"/>
      <c r="Y523" s="1"/>
      <c r="Z523" s="1"/>
      <c r="AA523" s="1"/>
      <c r="AB523" s="1"/>
      <c r="AC523" s="1"/>
    </row>
    <row r="524" spans="12:29" ht="15">
      <c r="L524" s="1"/>
      <c r="M524" s="1"/>
      <c r="N524" s="1"/>
      <c r="O524" s="1"/>
      <c r="P524" s="1"/>
      <c r="Q524" s="1"/>
      <c r="R524" s="1"/>
      <c r="S524" s="1"/>
      <c r="T524" s="1"/>
      <c r="U524" s="1"/>
      <c r="V524" s="1"/>
      <c r="W524" s="1"/>
      <c r="X524" s="1"/>
      <c r="Y524" s="1"/>
      <c r="Z524" s="1"/>
      <c r="AA524" s="1"/>
      <c r="AB524" s="1"/>
      <c r="AC524" s="1"/>
    </row>
    <row r="525" spans="12:29" ht="15">
      <c r="L525" s="1"/>
      <c r="M525" s="1"/>
      <c r="N525" s="1"/>
      <c r="O525" s="1"/>
      <c r="P525" s="1"/>
      <c r="Q525" s="1"/>
      <c r="R525" s="1"/>
      <c r="S525" s="1"/>
      <c r="T525" s="1"/>
      <c r="U525" s="1"/>
      <c r="V525" s="1"/>
      <c r="W525" s="1"/>
      <c r="X525" s="1"/>
      <c r="Y525" s="1"/>
      <c r="Z525" s="1"/>
      <c r="AA525" s="1"/>
      <c r="AB525" s="1"/>
      <c r="AC525" s="1"/>
    </row>
    <row r="526" spans="12:29" ht="15">
      <c r="L526" s="1"/>
      <c r="M526" s="1"/>
      <c r="N526" s="1"/>
      <c r="O526" s="1"/>
      <c r="P526" s="1"/>
      <c r="Q526" s="1"/>
      <c r="R526" s="1"/>
      <c r="S526" s="1"/>
      <c r="T526" s="1"/>
      <c r="U526" s="1"/>
      <c r="V526" s="1"/>
      <c r="W526" s="1"/>
      <c r="X526" s="1"/>
      <c r="Y526" s="1"/>
      <c r="Z526" s="1"/>
      <c r="AA526" s="1"/>
      <c r="AB526" s="1"/>
      <c r="AC526" s="1"/>
    </row>
    <row r="527" spans="12:29" ht="15">
      <c r="L527" s="1"/>
      <c r="M527" s="1"/>
      <c r="N527" s="1"/>
      <c r="O527" s="1"/>
      <c r="P527" s="1"/>
      <c r="Q527" s="1"/>
      <c r="R527" s="1"/>
      <c r="S527" s="1"/>
      <c r="T527" s="1"/>
      <c r="U527" s="1"/>
      <c r="V527" s="1"/>
      <c r="W527" s="1"/>
      <c r="X527" s="1"/>
      <c r="Y527" s="1"/>
      <c r="Z527" s="1"/>
      <c r="AA527" s="1"/>
      <c r="AB527" s="1"/>
      <c r="AC527" s="1"/>
    </row>
    <row r="528" spans="12:29" ht="15">
      <c r="L528" s="1"/>
      <c r="M528" s="1"/>
      <c r="N528" s="1"/>
      <c r="O528" s="1"/>
      <c r="P528" s="1"/>
      <c r="Q528" s="1"/>
      <c r="R528" s="1"/>
      <c r="S528" s="1"/>
      <c r="T528" s="1"/>
      <c r="U528" s="1"/>
      <c r="V528" s="1"/>
      <c r="W528" s="1"/>
      <c r="X528" s="1"/>
      <c r="Y528" s="1"/>
      <c r="Z528" s="1"/>
      <c r="AA528" s="1"/>
      <c r="AB528" s="1"/>
      <c r="AC528" s="1"/>
    </row>
    <row r="529" spans="12:29" ht="15">
      <c r="L529" s="1"/>
      <c r="M529" s="1"/>
      <c r="N529" s="1"/>
      <c r="O529" s="1"/>
      <c r="P529" s="1"/>
      <c r="Q529" s="1"/>
      <c r="R529" s="1"/>
      <c r="S529" s="1"/>
      <c r="T529" s="1"/>
      <c r="U529" s="1"/>
      <c r="V529" s="1"/>
      <c r="W529" s="1"/>
      <c r="X529" s="1"/>
      <c r="Y529" s="1"/>
      <c r="Z529" s="1"/>
      <c r="AA529" s="1"/>
      <c r="AB529" s="1"/>
      <c r="AC529" s="1"/>
    </row>
    <row r="530" spans="12:29" ht="15">
      <c r="L530" s="1"/>
      <c r="M530" s="1"/>
      <c r="N530" s="1"/>
      <c r="O530" s="1"/>
      <c r="P530" s="1"/>
      <c r="Q530" s="1"/>
      <c r="R530" s="1"/>
      <c r="S530" s="1"/>
      <c r="T530" s="1"/>
      <c r="U530" s="1"/>
      <c r="V530" s="1"/>
      <c r="W530" s="1"/>
      <c r="X530" s="1"/>
      <c r="Y530" s="1"/>
      <c r="Z530" s="1"/>
      <c r="AA530" s="1"/>
      <c r="AB530" s="1"/>
      <c r="AC530" s="1"/>
    </row>
    <row r="531" spans="12:29" ht="15">
      <c r="L531" s="1"/>
      <c r="M531" s="1"/>
      <c r="N531" s="1"/>
      <c r="O531" s="1"/>
      <c r="P531" s="1"/>
      <c r="Q531" s="1"/>
      <c r="R531" s="1"/>
      <c r="S531" s="1"/>
      <c r="T531" s="1"/>
      <c r="U531" s="1"/>
      <c r="V531" s="1"/>
      <c r="W531" s="1"/>
      <c r="X531" s="1"/>
      <c r="Y531" s="1"/>
      <c r="Z531" s="1"/>
      <c r="AA531" s="1"/>
      <c r="AB531" s="1"/>
      <c r="AC531" s="1"/>
    </row>
    <row r="532" spans="12:29" ht="15">
      <c r="L532" s="1"/>
      <c r="M532" s="1"/>
      <c r="N532" s="1"/>
      <c r="O532" s="1"/>
      <c r="P532" s="1"/>
      <c r="Q532" s="1"/>
      <c r="R532" s="1"/>
      <c r="S532" s="1"/>
      <c r="T532" s="1"/>
      <c r="U532" s="1"/>
      <c r="V532" s="1"/>
      <c r="W532" s="1"/>
      <c r="X532" s="1"/>
      <c r="Y532" s="1"/>
      <c r="Z532" s="1"/>
      <c r="AA532" s="1"/>
      <c r="AB532" s="1"/>
      <c r="AC532" s="1"/>
    </row>
    <row r="533" spans="12:29" ht="15">
      <c r="L533" s="1"/>
      <c r="M533" s="1"/>
      <c r="N533" s="1"/>
      <c r="O533" s="1"/>
      <c r="P533" s="1"/>
      <c r="Q533" s="1"/>
      <c r="R533" s="1"/>
      <c r="S533" s="1"/>
      <c r="T533" s="1"/>
      <c r="U533" s="1"/>
      <c r="V533" s="1"/>
      <c r="W533" s="1"/>
      <c r="X533" s="1"/>
      <c r="Y533" s="1"/>
      <c r="Z533" s="1"/>
      <c r="AA533" s="1"/>
      <c r="AB533" s="1"/>
      <c r="AC533" s="1"/>
    </row>
    <row r="534" spans="12:29" ht="15">
      <c r="L534" s="1"/>
      <c r="M534" s="1"/>
      <c r="N534" s="1"/>
      <c r="O534" s="1"/>
      <c r="P534" s="1"/>
      <c r="Q534" s="1"/>
      <c r="R534" s="1"/>
      <c r="S534" s="1"/>
      <c r="T534" s="1"/>
      <c r="U534" s="1"/>
      <c r="V534" s="1"/>
      <c r="W534" s="1"/>
      <c r="X534" s="1"/>
      <c r="Y534" s="1"/>
      <c r="Z534" s="1"/>
      <c r="AA534" s="1"/>
      <c r="AB534" s="1"/>
      <c r="AC534" s="1"/>
    </row>
    <row r="535" spans="12:29" ht="15">
      <c r="L535" s="1"/>
      <c r="M535" s="1"/>
      <c r="N535" s="1"/>
      <c r="O535" s="1"/>
      <c r="P535" s="1"/>
      <c r="Q535" s="1"/>
      <c r="R535" s="1"/>
      <c r="S535" s="1"/>
      <c r="T535" s="1"/>
      <c r="U535" s="1"/>
      <c r="V535" s="1"/>
      <c r="W535" s="1"/>
      <c r="X535" s="1"/>
      <c r="Y535" s="1"/>
      <c r="Z535" s="1"/>
      <c r="AA535" s="1"/>
      <c r="AB535" s="1"/>
      <c r="AC535" s="1"/>
    </row>
    <row r="536" spans="12:29" ht="15">
      <c r="L536" s="1"/>
      <c r="M536" s="1"/>
      <c r="N536" s="1"/>
      <c r="O536" s="1"/>
      <c r="P536" s="1"/>
      <c r="Q536" s="1"/>
      <c r="R536" s="1"/>
      <c r="S536" s="1"/>
      <c r="T536" s="1"/>
      <c r="U536" s="1"/>
      <c r="V536" s="1"/>
      <c r="W536" s="1"/>
      <c r="X536" s="1"/>
      <c r="Y536" s="1"/>
      <c r="Z536" s="1"/>
      <c r="AA536" s="1"/>
      <c r="AB536" s="1"/>
      <c r="AC536" s="1"/>
    </row>
    <row r="537" spans="12:29" ht="15">
      <c r="L537" s="1"/>
      <c r="M537" s="1"/>
      <c r="N537" s="1"/>
      <c r="O537" s="1"/>
      <c r="P537" s="1"/>
      <c r="Q537" s="1"/>
      <c r="R537" s="1"/>
      <c r="S537" s="1"/>
      <c r="T537" s="1"/>
      <c r="U537" s="1"/>
      <c r="V537" s="1"/>
      <c r="W537" s="1"/>
      <c r="X537" s="1"/>
      <c r="Y537" s="1"/>
      <c r="Z537" s="1"/>
      <c r="AA537" s="1"/>
      <c r="AB537" s="1"/>
      <c r="AC537" s="1"/>
    </row>
    <row r="538" spans="12:29" ht="15">
      <c r="L538" s="1"/>
      <c r="M538" s="1"/>
      <c r="N538" s="1"/>
      <c r="O538" s="1"/>
      <c r="P538" s="1"/>
      <c r="Q538" s="1"/>
      <c r="R538" s="1"/>
      <c r="S538" s="1"/>
      <c r="T538" s="1"/>
      <c r="U538" s="1"/>
      <c r="V538" s="1"/>
      <c r="W538" s="1"/>
      <c r="X538" s="1"/>
      <c r="Y538" s="1"/>
      <c r="Z538" s="1"/>
      <c r="AA538" s="1"/>
      <c r="AB538" s="1"/>
      <c r="AC538" s="1"/>
    </row>
    <row r="539" spans="12:29" ht="15">
      <c r="L539" s="1"/>
      <c r="M539" s="1"/>
      <c r="N539" s="1"/>
      <c r="O539" s="1"/>
      <c r="P539" s="1"/>
      <c r="Q539" s="1"/>
      <c r="R539" s="1"/>
      <c r="S539" s="1"/>
      <c r="T539" s="1"/>
      <c r="U539" s="1"/>
      <c r="V539" s="1"/>
      <c r="W539" s="1"/>
      <c r="X539" s="1"/>
      <c r="Y539" s="1"/>
      <c r="Z539" s="1"/>
      <c r="AA539" s="1"/>
      <c r="AB539" s="1"/>
      <c r="AC539" s="1"/>
    </row>
    <row r="540" spans="12:29" ht="15">
      <c r="L540" s="1"/>
      <c r="M540" s="1"/>
      <c r="N540" s="1"/>
      <c r="O540" s="1"/>
      <c r="P540" s="1"/>
      <c r="Q540" s="1"/>
      <c r="R540" s="1"/>
      <c r="S540" s="1"/>
      <c r="T540" s="1"/>
      <c r="U540" s="1"/>
      <c r="V540" s="1"/>
      <c r="W540" s="1"/>
      <c r="X540" s="1"/>
      <c r="Y540" s="1"/>
      <c r="Z540" s="1"/>
      <c r="AA540" s="1"/>
      <c r="AB540" s="1"/>
      <c r="AC540" s="1"/>
    </row>
    <row r="541" spans="12:29" ht="15">
      <c r="L541" s="1"/>
      <c r="M541" s="1"/>
      <c r="N541" s="1"/>
      <c r="O541" s="1"/>
      <c r="P541" s="1"/>
      <c r="Q541" s="1"/>
      <c r="R541" s="1"/>
      <c r="S541" s="1"/>
      <c r="T541" s="1"/>
      <c r="U541" s="1"/>
      <c r="V541" s="1"/>
      <c r="W541" s="1"/>
      <c r="X541" s="1"/>
      <c r="Y541" s="1"/>
      <c r="Z541" s="1"/>
      <c r="AA541" s="1"/>
      <c r="AB541" s="1"/>
      <c r="AC541" s="1"/>
    </row>
    <row r="542" spans="12:29" ht="15">
      <c r="L542" s="1"/>
      <c r="M542" s="1"/>
      <c r="N542" s="1"/>
      <c r="O542" s="1"/>
      <c r="P542" s="1"/>
      <c r="Q542" s="1"/>
      <c r="R542" s="1"/>
      <c r="S542" s="1"/>
      <c r="T542" s="1"/>
      <c r="U542" s="1"/>
      <c r="V542" s="1"/>
      <c r="W542" s="1"/>
      <c r="X542" s="1"/>
      <c r="Y542" s="1"/>
      <c r="Z542" s="1"/>
      <c r="AA542" s="1"/>
      <c r="AB542" s="1"/>
      <c r="AC542" s="1"/>
    </row>
    <row r="543" spans="12:29" ht="15">
      <c r="L543" s="1"/>
      <c r="M543" s="1"/>
      <c r="N543" s="1"/>
      <c r="O543" s="1"/>
      <c r="P543" s="1"/>
      <c r="Q543" s="1"/>
      <c r="R543" s="1"/>
      <c r="S543" s="1"/>
      <c r="T543" s="1"/>
      <c r="U543" s="1"/>
      <c r="V543" s="1"/>
      <c r="W543" s="1"/>
      <c r="X543" s="1"/>
      <c r="Y543" s="1"/>
      <c r="Z543" s="1"/>
      <c r="AA543" s="1"/>
      <c r="AB543" s="1"/>
      <c r="AC543" s="1"/>
    </row>
    <row r="544" spans="12:29" ht="15">
      <c r="L544" s="1"/>
      <c r="M544" s="1"/>
      <c r="N544" s="1"/>
      <c r="O544" s="1"/>
      <c r="P544" s="1"/>
      <c r="Q544" s="1"/>
      <c r="R544" s="1"/>
      <c r="S544" s="1"/>
      <c r="T544" s="1"/>
      <c r="U544" s="1"/>
      <c r="V544" s="1"/>
      <c r="W544" s="1"/>
      <c r="X544" s="1"/>
      <c r="Y544" s="1"/>
      <c r="Z544" s="1"/>
      <c r="AA544" s="1"/>
      <c r="AB544" s="1"/>
      <c r="AC544" s="1"/>
    </row>
    <row r="545" spans="12:29" ht="15">
      <c r="L545" s="1"/>
      <c r="M545" s="1"/>
      <c r="N545" s="1"/>
      <c r="O545" s="1"/>
      <c r="P545" s="1"/>
      <c r="Q545" s="1"/>
      <c r="R545" s="1"/>
      <c r="S545" s="1"/>
      <c r="T545" s="1"/>
      <c r="U545" s="1"/>
      <c r="V545" s="1"/>
      <c r="W545" s="1"/>
      <c r="X545" s="1"/>
      <c r="Y545" s="1"/>
      <c r="Z545" s="1"/>
      <c r="AA545" s="1"/>
      <c r="AB545" s="1"/>
      <c r="AC545" s="1"/>
    </row>
    <row r="546" spans="12:29" ht="15">
      <c r="L546" s="1"/>
      <c r="M546" s="1"/>
      <c r="N546" s="1"/>
      <c r="O546" s="1"/>
      <c r="P546" s="1"/>
      <c r="Q546" s="1"/>
      <c r="R546" s="1"/>
      <c r="S546" s="1"/>
      <c r="T546" s="1"/>
      <c r="U546" s="1"/>
      <c r="V546" s="1"/>
      <c r="W546" s="1"/>
      <c r="X546" s="1"/>
      <c r="Y546" s="1"/>
      <c r="Z546" s="1"/>
      <c r="AA546" s="1"/>
      <c r="AB546" s="1"/>
      <c r="AC546" s="1"/>
    </row>
    <row r="547" spans="12:29" ht="15">
      <c r="L547" s="1"/>
      <c r="M547" s="1"/>
      <c r="N547" s="1"/>
      <c r="O547" s="1"/>
      <c r="P547" s="1"/>
      <c r="Q547" s="1"/>
      <c r="R547" s="1"/>
      <c r="S547" s="1"/>
      <c r="T547" s="1"/>
      <c r="U547" s="1"/>
      <c r="V547" s="1"/>
      <c r="W547" s="1"/>
      <c r="X547" s="1"/>
      <c r="Y547" s="1"/>
      <c r="Z547" s="1"/>
      <c r="AA547" s="1"/>
      <c r="AB547" s="1"/>
      <c r="AC547" s="1"/>
    </row>
    <row r="548" spans="12:29" ht="15">
      <c r="L548" s="1"/>
      <c r="M548" s="1"/>
      <c r="N548" s="1"/>
      <c r="O548" s="1"/>
      <c r="P548" s="1"/>
      <c r="Q548" s="1"/>
      <c r="R548" s="1"/>
      <c r="S548" s="1"/>
      <c r="T548" s="1"/>
      <c r="U548" s="1"/>
      <c r="V548" s="1"/>
      <c r="W548" s="1"/>
      <c r="X548" s="1"/>
      <c r="Y548" s="1"/>
      <c r="Z548" s="1"/>
      <c r="AA548" s="1"/>
      <c r="AB548" s="1"/>
      <c r="AC548" s="1"/>
    </row>
    <row r="549" spans="12:29" ht="15">
      <c r="L549" s="1"/>
      <c r="M549" s="1"/>
      <c r="N549" s="1"/>
      <c r="O549" s="1"/>
      <c r="P549" s="1"/>
      <c r="Q549" s="1"/>
      <c r="R549" s="1"/>
      <c r="S549" s="1"/>
      <c r="T549" s="1"/>
      <c r="U549" s="1"/>
      <c r="V549" s="1"/>
      <c r="W549" s="1"/>
      <c r="X549" s="1"/>
      <c r="Y549" s="1"/>
      <c r="Z549" s="1"/>
      <c r="AA549" s="1"/>
      <c r="AB549" s="1"/>
      <c r="AC549" s="1"/>
    </row>
    <row r="550" spans="12:29" ht="15">
      <c r="L550" s="1"/>
      <c r="M550" s="1"/>
      <c r="N550" s="1"/>
      <c r="O550" s="1"/>
      <c r="P550" s="1"/>
      <c r="Q550" s="1"/>
      <c r="R550" s="1"/>
      <c r="S550" s="1"/>
      <c r="T550" s="1"/>
      <c r="U550" s="1"/>
      <c r="V550" s="1"/>
      <c r="W550" s="1"/>
      <c r="X550" s="1"/>
      <c r="Y550" s="1"/>
      <c r="Z550" s="1"/>
      <c r="AA550" s="1"/>
      <c r="AB550" s="1"/>
      <c r="AC550" s="1"/>
    </row>
    <row r="551" spans="12:29" ht="15">
      <c r="L551" s="1"/>
      <c r="M551" s="1"/>
      <c r="N551" s="1"/>
      <c r="O551" s="1"/>
      <c r="P551" s="1"/>
      <c r="Q551" s="1"/>
      <c r="R551" s="1"/>
      <c r="S551" s="1"/>
      <c r="T551" s="1"/>
      <c r="U551" s="1"/>
      <c r="V551" s="1"/>
      <c r="W551" s="1"/>
      <c r="X551" s="1"/>
      <c r="Y551" s="1"/>
      <c r="Z551" s="1"/>
      <c r="AA551" s="1"/>
      <c r="AB551" s="1"/>
      <c r="AC551" s="1"/>
    </row>
    <row r="552" spans="12:29" ht="15">
      <c r="L552" s="1"/>
      <c r="M552" s="1"/>
      <c r="N552" s="1"/>
      <c r="O552" s="1"/>
      <c r="P552" s="1"/>
      <c r="Q552" s="1"/>
      <c r="R552" s="1"/>
      <c r="S552" s="1"/>
      <c r="T552" s="1"/>
      <c r="U552" s="1"/>
      <c r="V552" s="1"/>
      <c r="W552" s="1"/>
      <c r="X552" s="1"/>
      <c r="Y552" s="1"/>
      <c r="Z552" s="1"/>
      <c r="AA552" s="1"/>
      <c r="AB552" s="1"/>
      <c r="AC552" s="1"/>
    </row>
    <row r="553" spans="12:29" ht="15">
      <c r="L553" s="1"/>
      <c r="M553" s="1"/>
      <c r="N553" s="1"/>
      <c r="O553" s="1"/>
      <c r="P553" s="1"/>
      <c r="Q553" s="1"/>
      <c r="R553" s="1"/>
      <c r="S553" s="1"/>
      <c r="T553" s="1"/>
      <c r="U553" s="1"/>
      <c r="V553" s="1"/>
      <c r="W553" s="1"/>
      <c r="X553" s="1"/>
      <c r="Y553" s="1"/>
      <c r="Z553" s="1"/>
      <c r="AA553" s="1"/>
      <c r="AB553" s="1"/>
      <c r="AC553" s="1"/>
    </row>
    <row r="554" spans="12:29" ht="15">
      <c r="L554" s="1"/>
      <c r="M554" s="1"/>
      <c r="N554" s="1"/>
      <c r="O554" s="1"/>
      <c r="P554" s="1"/>
      <c r="Q554" s="1"/>
      <c r="R554" s="1"/>
      <c r="S554" s="1"/>
      <c r="T554" s="1"/>
      <c r="U554" s="1"/>
      <c r="V554" s="1"/>
      <c r="W554" s="1"/>
      <c r="X554" s="1"/>
      <c r="Y554" s="1"/>
      <c r="Z554" s="1"/>
      <c r="AA554" s="1"/>
      <c r="AB554" s="1"/>
      <c r="AC554" s="1"/>
    </row>
    <row r="555" spans="12:29" ht="15">
      <c r="L555" s="1"/>
      <c r="M555" s="1"/>
      <c r="N555" s="1"/>
      <c r="O555" s="1"/>
      <c r="P555" s="1"/>
      <c r="Q555" s="1"/>
      <c r="R555" s="1"/>
      <c r="S555" s="1"/>
      <c r="T555" s="1"/>
      <c r="U555" s="1"/>
      <c r="V555" s="1"/>
      <c r="W555" s="1"/>
      <c r="X555" s="1"/>
      <c r="Y555" s="1"/>
      <c r="Z555" s="1"/>
      <c r="AA555" s="1"/>
      <c r="AB555" s="1"/>
      <c r="AC555" s="1"/>
    </row>
    <row r="556" spans="12:29" ht="15">
      <c r="L556" s="1"/>
      <c r="M556" s="1"/>
      <c r="N556" s="1"/>
      <c r="O556" s="1"/>
      <c r="P556" s="1"/>
      <c r="Q556" s="1"/>
      <c r="R556" s="1"/>
      <c r="S556" s="1"/>
      <c r="T556" s="1"/>
      <c r="U556" s="1"/>
      <c r="V556" s="1"/>
      <c r="W556" s="1"/>
      <c r="X556" s="1"/>
      <c r="Y556" s="1"/>
      <c r="Z556" s="1"/>
      <c r="AA556" s="1"/>
      <c r="AB556" s="1"/>
      <c r="AC556" s="1"/>
    </row>
    <row r="557" spans="12:29" ht="15">
      <c r="L557" s="1"/>
      <c r="M557" s="1"/>
      <c r="N557" s="1"/>
      <c r="O557" s="1"/>
      <c r="P557" s="1"/>
      <c r="Q557" s="1"/>
      <c r="R557" s="1"/>
      <c r="S557" s="1"/>
      <c r="T557" s="1"/>
      <c r="U557" s="1"/>
      <c r="V557" s="1"/>
      <c r="W557" s="1"/>
      <c r="X557" s="1"/>
      <c r="Y557" s="1"/>
      <c r="Z557" s="1"/>
      <c r="AA557" s="1"/>
      <c r="AB557" s="1"/>
      <c r="AC557" s="1"/>
    </row>
    <row r="558" spans="12:29" ht="15">
      <c r="L558" s="1"/>
      <c r="M558" s="1"/>
      <c r="N558" s="1"/>
      <c r="O558" s="1"/>
      <c r="P558" s="1"/>
      <c r="Q558" s="1"/>
      <c r="R558" s="1"/>
      <c r="S558" s="1"/>
      <c r="T558" s="1"/>
      <c r="U558" s="1"/>
      <c r="V558" s="1"/>
      <c r="W558" s="1"/>
      <c r="X558" s="1"/>
      <c r="Y558" s="1"/>
      <c r="Z558" s="1"/>
      <c r="AA558" s="1"/>
      <c r="AB558" s="1"/>
      <c r="AC558" s="1"/>
    </row>
    <row r="559" spans="12:29" ht="15">
      <c r="L559" s="1"/>
      <c r="M559" s="1"/>
      <c r="N559" s="1"/>
      <c r="O559" s="1"/>
      <c r="P559" s="1"/>
      <c r="Q559" s="1"/>
      <c r="R559" s="1"/>
      <c r="S559" s="1"/>
      <c r="T559" s="1"/>
      <c r="U559" s="1"/>
      <c r="V559" s="1"/>
      <c r="W559" s="1"/>
      <c r="X559" s="1"/>
      <c r="Y559" s="1"/>
      <c r="Z559" s="1"/>
      <c r="AA559" s="1"/>
      <c r="AB559" s="1"/>
      <c r="AC559" s="1"/>
    </row>
    <row r="560" spans="12:29" ht="15">
      <c r="L560" s="1"/>
      <c r="M560" s="1"/>
      <c r="N560" s="1"/>
      <c r="O560" s="1"/>
      <c r="P560" s="1"/>
      <c r="Q560" s="1"/>
      <c r="R560" s="1"/>
      <c r="S560" s="1"/>
      <c r="T560" s="1"/>
      <c r="U560" s="1"/>
      <c r="V560" s="1"/>
      <c r="W560" s="1"/>
      <c r="X560" s="1"/>
      <c r="Y560" s="1"/>
      <c r="Z560" s="1"/>
      <c r="AA560" s="1"/>
      <c r="AB560" s="1"/>
      <c r="AC560" s="1"/>
    </row>
    <row r="561" spans="12:29" ht="15">
      <c r="L561" s="1"/>
      <c r="M561" s="1"/>
      <c r="N561" s="1"/>
      <c r="O561" s="1"/>
      <c r="P561" s="1"/>
      <c r="Q561" s="1"/>
      <c r="R561" s="1"/>
      <c r="S561" s="1"/>
      <c r="T561" s="1"/>
      <c r="U561" s="1"/>
      <c r="V561" s="1"/>
      <c r="W561" s="1"/>
      <c r="X561" s="1"/>
      <c r="Y561" s="1"/>
      <c r="Z561" s="1"/>
      <c r="AA561" s="1"/>
      <c r="AB561" s="1"/>
      <c r="AC561" s="1"/>
    </row>
    <row r="562" spans="12:29" ht="15">
      <c r="L562" s="1"/>
      <c r="M562" s="1"/>
      <c r="N562" s="1"/>
      <c r="O562" s="1"/>
      <c r="P562" s="1"/>
      <c r="Q562" s="1"/>
      <c r="R562" s="1"/>
      <c r="S562" s="1"/>
      <c r="T562" s="1"/>
      <c r="U562" s="1"/>
      <c r="V562" s="1"/>
      <c r="W562" s="1"/>
      <c r="X562" s="1"/>
      <c r="Y562" s="1"/>
      <c r="Z562" s="1"/>
      <c r="AA562" s="1"/>
      <c r="AB562" s="1"/>
      <c r="AC562" s="1"/>
    </row>
    <row r="563" spans="12:29" ht="15">
      <c r="L563" s="1"/>
      <c r="M563" s="1"/>
      <c r="N563" s="1"/>
      <c r="O563" s="1"/>
      <c r="P563" s="1"/>
      <c r="Q563" s="1"/>
      <c r="R563" s="1"/>
      <c r="S563" s="1"/>
      <c r="T563" s="1"/>
      <c r="U563" s="1"/>
      <c r="V563" s="1"/>
      <c r="W563" s="1"/>
      <c r="X563" s="1"/>
      <c r="Y563" s="1"/>
      <c r="Z563" s="1"/>
      <c r="AA563" s="1"/>
      <c r="AB563" s="1"/>
      <c r="AC563" s="1"/>
    </row>
    <row r="564" spans="12:29" ht="15">
      <c r="L564" s="1"/>
      <c r="M564" s="1"/>
      <c r="N564" s="1"/>
      <c r="O564" s="1"/>
      <c r="P564" s="1"/>
      <c r="Q564" s="1"/>
      <c r="R564" s="1"/>
      <c r="S564" s="1"/>
      <c r="T564" s="1"/>
      <c r="U564" s="1"/>
      <c r="V564" s="1"/>
      <c r="W564" s="1"/>
      <c r="X564" s="1"/>
      <c r="Y564" s="1"/>
      <c r="Z564" s="1"/>
      <c r="AA564" s="1"/>
      <c r="AB564" s="1"/>
      <c r="AC564" s="1"/>
    </row>
    <row r="565" spans="12:29" ht="15">
      <c r="L565" s="1"/>
      <c r="M565" s="1"/>
      <c r="N565" s="1"/>
      <c r="O565" s="1"/>
      <c r="P565" s="1"/>
      <c r="Q565" s="1"/>
      <c r="R565" s="1"/>
      <c r="S565" s="1"/>
      <c r="T565" s="1"/>
      <c r="U565" s="1"/>
      <c r="V565" s="1"/>
      <c r="W565" s="1"/>
      <c r="X565" s="1"/>
      <c r="Y565" s="1"/>
      <c r="Z565" s="1"/>
      <c r="AA565" s="1"/>
      <c r="AB565" s="1"/>
      <c r="AC565" s="1"/>
    </row>
    <row r="566" spans="12:29" ht="15">
      <c r="L566" s="1"/>
      <c r="M566" s="1"/>
      <c r="N566" s="1"/>
      <c r="O566" s="1"/>
      <c r="P566" s="1"/>
      <c r="Q566" s="1"/>
      <c r="R566" s="1"/>
      <c r="S566" s="1"/>
      <c r="T566" s="1"/>
      <c r="U566" s="1"/>
      <c r="V566" s="1"/>
      <c r="W566" s="1"/>
      <c r="X566" s="1"/>
      <c r="Y566" s="1"/>
      <c r="Z566" s="1"/>
      <c r="AA566" s="1"/>
      <c r="AB566" s="1"/>
      <c r="AC566" s="1"/>
    </row>
    <row r="567" spans="12:29" ht="15">
      <c r="L567" s="1"/>
      <c r="M567" s="1"/>
      <c r="N567" s="1"/>
      <c r="O567" s="1"/>
      <c r="P567" s="1"/>
      <c r="Q567" s="1"/>
      <c r="R567" s="1"/>
      <c r="S567" s="1"/>
      <c r="T567" s="1"/>
      <c r="U567" s="1"/>
      <c r="V567" s="1"/>
      <c r="W567" s="1"/>
      <c r="X567" s="1"/>
      <c r="Y567" s="1"/>
      <c r="Z567" s="1"/>
      <c r="AA567" s="1"/>
      <c r="AB567" s="1"/>
      <c r="AC567" s="1"/>
    </row>
    <row r="568" spans="12:29" ht="15">
      <c r="L568" s="1"/>
      <c r="M568" s="1"/>
      <c r="N568" s="1"/>
      <c r="O568" s="1"/>
      <c r="P568" s="1"/>
      <c r="Q568" s="1"/>
      <c r="R568" s="1"/>
      <c r="S568" s="1"/>
      <c r="T568" s="1"/>
      <c r="U568" s="1"/>
      <c r="V568" s="1"/>
      <c r="W568" s="1"/>
      <c r="X568" s="1"/>
      <c r="Y568" s="1"/>
      <c r="Z568" s="1"/>
      <c r="AA568" s="1"/>
      <c r="AB568" s="1"/>
      <c r="AC568" s="1"/>
    </row>
    <row r="569" spans="12:29" ht="15">
      <c r="L569" s="1"/>
      <c r="M569" s="1"/>
      <c r="N569" s="1"/>
      <c r="O569" s="1"/>
      <c r="P569" s="1"/>
      <c r="Q569" s="1"/>
      <c r="R569" s="1"/>
      <c r="S569" s="1"/>
      <c r="T569" s="1"/>
      <c r="U569" s="1"/>
      <c r="V569" s="1"/>
      <c r="W569" s="1"/>
      <c r="X569" s="1"/>
      <c r="Y569" s="1"/>
      <c r="Z569" s="1"/>
      <c r="AA569" s="1"/>
      <c r="AB569" s="1"/>
      <c r="AC569" s="1"/>
    </row>
    <row r="570" spans="12:29" ht="15">
      <c r="L570" s="1"/>
      <c r="M570" s="1"/>
      <c r="N570" s="1"/>
      <c r="O570" s="1"/>
      <c r="P570" s="1"/>
      <c r="Q570" s="1"/>
      <c r="R570" s="1"/>
      <c r="S570" s="1"/>
      <c r="T570" s="1"/>
      <c r="U570" s="1"/>
      <c r="V570" s="1"/>
      <c r="W570" s="1"/>
      <c r="X570" s="1"/>
      <c r="Y570" s="1"/>
      <c r="Z570" s="1"/>
      <c r="AA570" s="1"/>
      <c r="AB570" s="1"/>
      <c r="AC570" s="1"/>
    </row>
    <row r="571" spans="12:29" ht="15">
      <c r="L571" s="1"/>
      <c r="M571" s="1"/>
      <c r="N571" s="1"/>
      <c r="O571" s="1"/>
      <c r="P571" s="1"/>
      <c r="Q571" s="1"/>
      <c r="R571" s="1"/>
      <c r="S571" s="1"/>
      <c r="T571" s="1"/>
      <c r="U571" s="1"/>
      <c r="V571" s="1"/>
      <c r="W571" s="1"/>
      <c r="X571" s="1"/>
      <c r="Y571" s="1"/>
      <c r="Z571" s="1"/>
      <c r="AA571" s="1"/>
      <c r="AB571" s="1"/>
      <c r="AC571" s="1"/>
    </row>
    <row r="572" spans="12:29" ht="15">
      <c r="L572" s="1"/>
      <c r="M572" s="1"/>
      <c r="N572" s="1"/>
      <c r="O572" s="1"/>
      <c r="P572" s="1"/>
      <c r="Q572" s="1"/>
      <c r="R572" s="1"/>
      <c r="S572" s="1"/>
      <c r="T572" s="1"/>
      <c r="U572" s="1"/>
      <c r="V572" s="1"/>
      <c r="W572" s="1"/>
      <c r="X572" s="1"/>
      <c r="Y572" s="1"/>
      <c r="Z572" s="1"/>
      <c r="AA572" s="1"/>
      <c r="AB572" s="1"/>
      <c r="AC572" s="1"/>
    </row>
    <row r="573" spans="12:29" ht="15">
      <c r="L573" s="1"/>
      <c r="M573" s="1"/>
      <c r="N573" s="1"/>
      <c r="O573" s="1"/>
      <c r="P573" s="1"/>
      <c r="Q573" s="1"/>
      <c r="R573" s="1"/>
      <c r="S573" s="1"/>
      <c r="T573" s="1"/>
      <c r="U573" s="1"/>
      <c r="V573" s="1"/>
      <c r="W573" s="1"/>
      <c r="X573" s="1"/>
      <c r="Y573" s="1"/>
      <c r="Z573" s="1"/>
      <c r="AA573" s="1"/>
      <c r="AB573" s="1"/>
      <c r="AC573" s="1"/>
    </row>
    <row r="574" spans="12:29" ht="15">
      <c r="L574" s="1"/>
      <c r="M574" s="1"/>
      <c r="N574" s="1"/>
      <c r="O574" s="1"/>
      <c r="P574" s="1"/>
      <c r="Q574" s="1"/>
      <c r="R574" s="1"/>
      <c r="S574" s="1"/>
      <c r="T574" s="1"/>
      <c r="U574" s="1"/>
      <c r="V574" s="1"/>
      <c r="W574" s="1"/>
      <c r="X574" s="1"/>
      <c r="Y574" s="1"/>
      <c r="Z574" s="1"/>
      <c r="AA574" s="1"/>
      <c r="AB574" s="1"/>
      <c r="AC574" s="1"/>
    </row>
    <row r="575" spans="12:29" ht="15">
      <c r="L575" s="1"/>
      <c r="M575" s="1"/>
      <c r="N575" s="1"/>
      <c r="O575" s="1"/>
      <c r="P575" s="1"/>
      <c r="Q575" s="1"/>
      <c r="R575" s="1"/>
      <c r="S575" s="1"/>
      <c r="T575" s="1"/>
      <c r="U575" s="1"/>
      <c r="V575" s="1"/>
      <c r="W575" s="1"/>
      <c r="X575" s="1"/>
      <c r="Y575" s="1"/>
      <c r="Z575" s="1"/>
      <c r="AA575" s="1"/>
      <c r="AB575" s="1"/>
      <c r="AC575" s="1"/>
    </row>
    <row r="576" spans="12:29" ht="15">
      <c r="L576" s="1"/>
      <c r="M576" s="1"/>
      <c r="N576" s="1"/>
      <c r="O576" s="1"/>
      <c r="P576" s="1"/>
      <c r="Q576" s="1"/>
      <c r="R576" s="1"/>
      <c r="S576" s="1"/>
      <c r="T576" s="1"/>
      <c r="U576" s="1"/>
      <c r="V576" s="1"/>
      <c r="W576" s="1"/>
      <c r="X576" s="1"/>
      <c r="Y576" s="1"/>
      <c r="Z576" s="1"/>
      <c r="AA576" s="1"/>
      <c r="AB576" s="1"/>
      <c r="AC576" s="1"/>
    </row>
    <row r="577" spans="12:29" ht="15">
      <c r="L577" s="1"/>
      <c r="M577" s="1"/>
      <c r="N577" s="1"/>
      <c r="O577" s="1"/>
      <c r="P577" s="1"/>
      <c r="Q577" s="1"/>
      <c r="R577" s="1"/>
      <c r="S577" s="1"/>
      <c r="T577" s="1"/>
      <c r="U577" s="1"/>
      <c r="V577" s="1"/>
      <c r="W577" s="1"/>
      <c r="X577" s="1"/>
      <c r="Y577" s="1"/>
      <c r="Z577" s="1"/>
      <c r="AA577" s="1"/>
      <c r="AB577" s="1"/>
      <c r="AC577" s="1"/>
    </row>
    <row r="578" spans="12:29" ht="15">
      <c r="L578" s="1"/>
      <c r="M578" s="1"/>
      <c r="N578" s="1"/>
      <c r="O578" s="1"/>
      <c r="P578" s="1"/>
      <c r="Q578" s="1"/>
      <c r="R578" s="1"/>
      <c r="S578" s="1"/>
      <c r="T578" s="1"/>
      <c r="U578" s="1"/>
      <c r="V578" s="1"/>
      <c r="W578" s="1"/>
      <c r="X578" s="1"/>
      <c r="Y578" s="1"/>
      <c r="Z578" s="1"/>
      <c r="AA578" s="1"/>
      <c r="AB578" s="1"/>
      <c r="AC578" s="1"/>
    </row>
    <row r="579" spans="12:29" ht="15">
      <c r="L579" s="1"/>
      <c r="M579" s="1"/>
      <c r="N579" s="1"/>
      <c r="O579" s="1"/>
      <c r="P579" s="1"/>
      <c r="Q579" s="1"/>
      <c r="R579" s="1"/>
      <c r="S579" s="1"/>
      <c r="T579" s="1"/>
      <c r="U579" s="1"/>
      <c r="V579" s="1"/>
      <c r="W579" s="1"/>
      <c r="X579" s="1"/>
      <c r="Y579" s="1"/>
      <c r="Z579" s="1"/>
      <c r="AA579" s="1"/>
      <c r="AB579" s="1"/>
      <c r="AC579" s="1"/>
    </row>
    <row r="580" spans="12:29" ht="15">
      <c r="L580" s="1"/>
      <c r="M580" s="1"/>
      <c r="N580" s="1"/>
      <c r="O580" s="1"/>
      <c r="P580" s="1"/>
      <c r="Q580" s="1"/>
      <c r="R580" s="1"/>
      <c r="S580" s="1"/>
      <c r="T580" s="1"/>
      <c r="U580" s="1"/>
      <c r="V580" s="1"/>
      <c r="W580" s="1"/>
      <c r="X580" s="1"/>
      <c r="Y580" s="1"/>
      <c r="Z580" s="1"/>
      <c r="AA580" s="1"/>
      <c r="AB580" s="1"/>
      <c r="AC580" s="1"/>
    </row>
    <row r="581" spans="12:29" ht="15">
      <c r="L581" s="1"/>
      <c r="M581" s="1"/>
      <c r="N581" s="1"/>
      <c r="O581" s="1"/>
      <c r="P581" s="1"/>
      <c r="Q581" s="1"/>
      <c r="R581" s="1"/>
      <c r="S581" s="1"/>
      <c r="T581" s="1"/>
      <c r="U581" s="1"/>
      <c r="V581" s="1"/>
      <c r="W581" s="1"/>
      <c r="X581" s="1"/>
      <c r="Y581" s="1"/>
      <c r="Z581" s="1"/>
      <c r="AA581" s="1"/>
      <c r="AB581" s="1"/>
      <c r="AC581" s="1"/>
    </row>
    <row r="582" spans="12:29" ht="15">
      <c r="L582" s="1"/>
      <c r="M582" s="1"/>
      <c r="N582" s="1"/>
      <c r="O582" s="1"/>
      <c r="P582" s="1"/>
      <c r="Q582" s="1"/>
      <c r="R582" s="1"/>
      <c r="S582" s="1"/>
      <c r="T582" s="1"/>
      <c r="U582" s="1"/>
      <c r="V582" s="1"/>
      <c r="W582" s="1"/>
      <c r="X582" s="1"/>
      <c r="Y582" s="1"/>
      <c r="Z582" s="1"/>
      <c r="AA582" s="1"/>
      <c r="AB582" s="1"/>
      <c r="AC582" s="1"/>
    </row>
    <row r="583" spans="12:29" ht="15">
      <c r="L583" s="1"/>
      <c r="M583" s="1"/>
      <c r="N583" s="1"/>
      <c r="O583" s="1"/>
      <c r="P583" s="1"/>
      <c r="Q583" s="1"/>
      <c r="R583" s="1"/>
      <c r="S583" s="1"/>
      <c r="T583" s="1"/>
      <c r="U583" s="1"/>
      <c r="V583" s="1"/>
      <c r="W583" s="1"/>
      <c r="X583" s="1"/>
      <c r="Y583" s="1"/>
      <c r="Z583" s="1"/>
      <c r="AA583" s="1"/>
      <c r="AB583" s="1"/>
      <c r="AC583" s="1"/>
    </row>
    <row r="584" spans="12:29" ht="15">
      <c r="L584" s="1"/>
      <c r="M584" s="1"/>
      <c r="N584" s="1"/>
      <c r="O584" s="1"/>
      <c r="P584" s="1"/>
      <c r="Q584" s="1"/>
      <c r="R584" s="1"/>
      <c r="S584" s="1"/>
      <c r="T584" s="1"/>
      <c r="U584" s="1"/>
      <c r="V584" s="1"/>
      <c r="W584" s="1"/>
      <c r="X584" s="1"/>
      <c r="Y584" s="1"/>
      <c r="Z584" s="1"/>
      <c r="AA584" s="1"/>
      <c r="AB584" s="1"/>
      <c r="AC584" s="1"/>
    </row>
    <row r="585" spans="12:29" ht="15">
      <c r="L585" s="1"/>
      <c r="M585" s="1"/>
      <c r="N585" s="1"/>
      <c r="O585" s="1"/>
      <c r="P585" s="1"/>
      <c r="Q585" s="1"/>
      <c r="R585" s="1"/>
      <c r="S585" s="1"/>
      <c r="T585" s="1"/>
      <c r="U585" s="1"/>
      <c r="V585" s="1"/>
      <c r="W585" s="1"/>
      <c r="X585" s="1"/>
      <c r="Y585" s="1"/>
      <c r="Z585" s="1"/>
      <c r="AA585" s="1"/>
      <c r="AB585" s="1"/>
      <c r="AC585" s="1"/>
    </row>
    <row r="586" spans="12:29" ht="15">
      <c r="L586" s="1"/>
      <c r="M586" s="1"/>
      <c r="N586" s="1"/>
      <c r="O586" s="1"/>
      <c r="P586" s="1"/>
      <c r="Q586" s="1"/>
      <c r="R586" s="1"/>
      <c r="S586" s="1"/>
      <c r="T586" s="1"/>
      <c r="U586" s="1"/>
      <c r="V586" s="1"/>
      <c r="W586" s="1"/>
      <c r="X586" s="1"/>
      <c r="Y586" s="1"/>
      <c r="Z586" s="1"/>
      <c r="AA586" s="1"/>
      <c r="AB586" s="1"/>
      <c r="AC586" s="1"/>
    </row>
    <row r="587" spans="12:29" ht="15">
      <c r="L587" s="1"/>
      <c r="M587" s="1"/>
      <c r="N587" s="1"/>
      <c r="O587" s="1"/>
      <c r="P587" s="1"/>
      <c r="Q587" s="1"/>
      <c r="R587" s="1"/>
      <c r="S587" s="1"/>
      <c r="T587" s="1"/>
      <c r="U587" s="1"/>
      <c r="V587" s="1"/>
      <c r="W587" s="1"/>
      <c r="X587" s="1"/>
      <c r="Y587" s="1"/>
      <c r="Z587" s="1"/>
      <c r="AA587" s="1"/>
      <c r="AB587" s="1"/>
      <c r="AC587" s="1"/>
    </row>
    <row r="588" spans="12:29" ht="15">
      <c r="L588" s="1"/>
      <c r="M588" s="1"/>
      <c r="N588" s="1"/>
      <c r="O588" s="1"/>
      <c r="P588" s="1"/>
      <c r="Q588" s="1"/>
      <c r="R588" s="1"/>
      <c r="S588" s="1"/>
      <c r="T588" s="1"/>
      <c r="U588" s="1"/>
      <c r="V588" s="1"/>
      <c r="W588" s="1"/>
      <c r="X588" s="1"/>
      <c r="Y588" s="1"/>
      <c r="Z588" s="1"/>
      <c r="AA588" s="1"/>
      <c r="AB588" s="1"/>
      <c r="AC588" s="1"/>
    </row>
    <row r="589" spans="12:29" ht="15">
      <c r="L589" s="1"/>
      <c r="M589" s="1"/>
      <c r="N589" s="1"/>
      <c r="O589" s="1"/>
      <c r="P589" s="1"/>
      <c r="Q589" s="1"/>
      <c r="R589" s="1"/>
      <c r="S589" s="1"/>
      <c r="T589" s="1"/>
      <c r="U589" s="1"/>
      <c r="V589" s="1"/>
      <c r="W589" s="1"/>
      <c r="X589" s="1"/>
      <c r="Y589" s="1"/>
      <c r="Z589" s="1"/>
      <c r="AA589" s="1"/>
      <c r="AB589" s="1"/>
      <c r="AC589" s="1"/>
    </row>
    <row r="590" spans="12:29" ht="15">
      <c r="L590" s="1"/>
      <c r="M590" s="1"/>
      <c r="N590" s="1"/>
      <c r="O590" s="1"/>
      <c r="P590" s="1"/>
      <c r="Q590" s="1"/>
      <c r="R590" s="1"/>
      <c r="S590" s="1"/>
      <c r="T590" s="1"/>
      <c r="U590" s="1"/>
      <c r="V590" s="1"/>
      <c r="W590" s="1"/>
      <c r="X590" s="1"/>
      <c r="Y590" s="1"/>
      <c r="Z590" s="1"/>
      <c r="AA590" s="1"/>
      <c r="AB590" s="1"/>
      <c r="AC590" s="1"/>
    </row>
    <row r="591" spans="12:29" ht="15">
      <c r="L591" s="1"/>
      <c r="M591" s="1"/>
      <c r="N591" s="1"/>
      <c r="O591" s="1"/>
      <c r="P591" s="1"/>
      <c r="Q591" s="1"/>
      <c r="R591" s="1"/>
      <c r="S591" s="1"/>
      <c r="T591" s="1"/>
      <c r="U591" s="1"/>
      <c r="V591" s="1"/>
      <c r="W591" s="1"/>
      <c r="X591" s="1"/>
      <c r="Y591" s="1"/>
      <c r="Z591" s="1"/>
      <c r="AA591" s="1"/>
      <c r="AB591" s="1"/>
      <c r="AC591" s="1"/>
    </row>
    <row r="592" spans="12:29" ht="15">
      <c r="L592" s="1"/>
      <c r="M592" s="1"/>
      <c r="N592" s="1"/>
      <c r="O592" s="1"/>
      <c r="P592" s="1"/>
      <c r="Q592" s="1"/>
      <c r="R592" s="1"/>
      <c r="S592" s="1"/>
      <c r="T592" s="1"/>
      <c r="U592" s="1"/>
      <c r="V592" s="1"/>
      <c r="W592" s="1"/>
      <c r="X592" s="1"/>
      <c r="Y592" s="1"/>
      <c r="Z592" s="1"/>
      <c r="AA592" s="1"/>
      <c r="AB592" s="1"/>
      <c r="AC592" s="1"/>
    </row>
    <row r="593" spans="12:29" ht="15">
      <c r="L593" s="1"/>
      <c r="M593" s="1"/>
      <c r="N593" s="1"/>
      <c r="O593" s="1"/>
      <c r="P593" s="1"/>
      <c r="Q593" s="1"/>
      <c r="R593" s="1"/>
      <c r="S593" s="1"/>
      <c r="T593" s="1"/>
      <c r="U593" s="1"/>
      <c r="V593" s="1"/>
      <c r="W593" s="1"/>
      <c r="X593" s="1"/>
      <c r="Y593" s="1"/>
      <c r="Z593" s="1"/>
      <c r="AA593" s="1"/>
      <c r="AB593" s="1"/>
      <c r="AC593" s="1"/>
    </row>
    <row r="594" spans="12:29" ht="15">
      <c r="L594" s="1"/>
      <c r="M594" s="1"/>
      <c r="N594" s="1"/>
      <c r="O594" s="1"/>
      <c r="P594" s="1"/>
      <c r="Q594" s="1"/>
      <c r="R594" s="1"/>
      <c r="S594" s="1"/>
      <c r="T594" s="1"/>
      <c r="U594" s="1"/>
      <c r="V594" s="1"/>
      <c r="W594" s="1"/>
      <c r="X594" s="1"/>
      <c r="Y594" s="1"/>
      <c r="Z594" s="1"/>
      <c r="AA594" s="1"/>
      <c r="AB594" s="1"/>
      <c r="AC594" s="1"/>
    </row>
    <row r="595" spans="12:29" ht="15">
      <c r="L595" s="1"/>
      <c r="M595" s="1"/>
      <c r="N595" s="1"/>
      <c r="O595" s="1"/>
      <c r="P595" s="1"/>
      <c r="Q595" s="1"/>
      <c r="R595" s="1"/>
      <c r="S595" s="1"/>
      <c r="T595" s="1"/>
      <c r="U595" s="1"/>
      <c r="V595" s="1"/>
      <c r="W595" s="1"/>
      <c r="X595" s="1"/>
      <c r="Y595" s="1"/>
      <c r="Z595" s="1"/>
      <c r="AA595" s="1"/>
      <c r="AB595" s="1"/>
      <c r="AC595" s="1"/>
    </row>
    <row r="596" spans="12:29" ht="15">
      <c r="L596" s="1"/>
      <c r="M596" s="1"/>
      <c r="N596" s="1"/>
      <c r="O596" s="1"/>
      <c r="P596" s="1"/>
      <c r="Q596" s="1"/>
      <c r="R596" s="1"/>
      <c r="S596" s="1"/>
      <c r="T596" s="1"/>
      <c r="U596" s="1"/>
      <c r="V596" s="1"/>
      <c r="W596" s="1"/>
      <c r="X596" s="1"/>
      <c r="Y596" s="1"/>
      <c r="Z596" s="1"/>
      <c r="AA596" s="1"/>
      <c r="AB596" s="1"/>
      <c r="AC596" s="1"/>
    </row>
    <row r="597" spans="12:29" ht="15">
      <c r="L597" s="1"/>
      <c r="M597" s="1"/>
      <c r="N597" s="1"/>
      <c r="O597" s="1"/>
      <c r="P597" s="1"/>
      <c r="Q597" s="1"/>
      <c r="R597" s="1"/>
      <c r="S597" s="1"/>
      <c r="T597" s="1"/>
      <c r="U597" s="1"/>
      <c r="V597" s="1"/>
      <c r="W597" s="1"/>
      <c r="X597" s="1"/>
      <c r="Y597" s="1"/>
      <c r="Z597" s="1"/>
      <c r="AA597" s="1"/>
      <c r="AB597" s="1"/>
      <c r="AC597" s="1"/>
    </row>
    <row r="598" spans="12:29" ht="15">
      <c r="L598" s="1"/>
      <c r="M598" s="1"/>
      <c r="N598" s="1"/>
      <c r="O598" s="1"/>
      <c r="P598" s="1"/>
      <c r="Q598" s="1"/>
      <c r="R598" s="1"/>
      <c r="S598" s="1"/>
      <c r="T598" s="1"/>
      <c r="U598" s="1"/>
      <c r="V598" s="1"/>
      <c r="W598" s="1"/>
      <c r="X598" s="1"/>
      <c r="Y598" s="1"/>
      <c r="Z598" s="1"/>
      <c r="AA598" s="1"/>
      <c r="AB598" s="1"/>
      <c r="AC598" s="1"/>
    </row>
    <row r="599" spans="12:29" ht="15">
      <c r="L599" s="1"/>
      <c r="M599" s="1"/>
      <c r="N599" s="1"/>
      <c r="O599" s="1"/>
      <c r="P599" s="1"/>
      <c r="Q599" s="1"/>
      <c r="R599" s="1"/>
      <c r="S599" s="1"/>
      <c r="T599" s="1"/>
      <c r="U599" s="1"/>
      <c r="V599" s="1"/>
      <c r="W599" s="1"/>
      <c r="X599" s="1"/>
      <c r="Y599" s="1"/>
      <c r="Z599" s="1"/>
      <c r="AA599" s="1"/>
      <c r="AB599" s="1"/>
      <c r="AC599" s="1"/>
    </row>
    <row r="600" spans="12:29" ht="15">
      <c r="L600" s="1"/>
      <c r="M600" s="1"/>
      <c r="N600" s="1"/>
      <c r="O600" s="1"/>
      <c r="P600" s="1"/>
      <c r="Q600" s="1"/>
      <c r="R600" s="1"/>
      <c r="S600" s="1"/>
      <c r="T600" s="1"/>
      <c r="U600" s="1"/>
      <c r="V600" s="1"/>
      <c r="W600" s="1"/>
      <c r="X600" s="1"/>
      <c r="Y600" s="1"/>
      <c r="Z600" s="1"/>
      <c r="AA600" s="1"/>
      <c r="AB600" s="1"/>
      <c r="AC600" s="1"/>
    </row>
    <row r="601" spans="12:29" ht="15">
      <c r="L601" s="1"/>
      <c r="M601" s="1"/>
      <c r="N601" s="1"/>
      <c r="O601" s="1"/>
      <c r="P601" s="1"/>
      <c r="Q601" s="1"/>
      <c r="R601" s="1"/>
      <c r="S601" s="1"/>
      <c r="T601" s="1"/>
      <c r="U601" s="1"/>
      <c r="V601" s="1"/>
      <c r="W601" s="1"/>
      <c r="X601" s="1"/>
      <c r="Y601" s="1"/>
      <c r="Z601" s="1"/>
      <c r="AA601" s="1"/>
      <c r="AB601" s="1"/>
      <c r="AC601" s="1"/>
    </row>
    <row r="602" spans="12:29" ht="15">
      <c r="L602" s="1"/>
      <c r="M602" s="1"/>
      <c r="N602" s="1"/>
      <c r="O602" s="1"/>
      <c r="P602" s="1"/>
      <c r="Q602" s="1"/>
      <c r="R602" s="1"/>
      <c r="S602" s="1"/>
      <c r="T602" s="1"/>
      <c r="U602" s="1"/>
      <c r="V602" s="1"/>
      <c r="W602" s="1"/>
      <c r="X602" s="1"/>
      <c r="Y602" s="1"/>
      <c r="Z602" s="1"/>
      <c r="AA602" s="1"/>
      <c r="AB602" s="1"/>
      <c r="AC602" s="1"/>
    </row>
    <row r="603" spans="12:29" ht="15">
      <c r="L603" s="1"/>
      <c r="M603" s="1"/>
      <c r="N603" s="1"/>
      <c r="O603" s="1"/>
      <c r="P603" s="1"/>
      <c r="Q603" s="1"/>
      <c r="R603" s="1"/>
      <c r="S603" s="1"/>
      <c r="T603" s="1"/>
      <c r="U603" s="1"/>
      <c r="V603" s="1"/>
      <c r="W603" s="1"/>
      <c r="X603" s="1"/>
      <c r="Y603" s="1"/>
      <c r="Z603" s="1"/>
      <c r="AA603" s="1"/>
      <c r="AB603" s="1"/>
      <c r="AC603" s="1"/>
    </row>
    <row r="604" spans="12:29" ht="15">
      <c r="L604" s="1"/>
      <c r="M604" s="1"/>
      <c r="N604" s="1"/>
      <c r="O604" s="1"/>
      <c r="P604" s="1"/>
      <c r="Q604" s="1"/>
      <c r="R604" s="1"/>
      <c r="S604" s="1"/>
      <c r="T604" s="1"/>
      <c r="U604" s="1"/>
      <c r="V604" s="1"/>
      <c r="W604" s="1"/>
      <c r="X604" s="1"/>
      <c r="Y604" s="1"/>
      <c r="Z604" s="1"/>
      <c r="AA604" s="1"/>
      <c r="AB604" s="1"/>
      <c r="AC604" s="1"/>
    </row>
    <row r="605" spans="12:29" ht="15">
      <c r="L605" s="1"/>
      <c r="M605" s="1"/>
      <c r="N605" s="1"/>
      <c r="O605" s="1"/>
      <c r="P605" s="1"/>
      <c r="Q605" s="1"/>
      <c r="R605" s="1"/>
      <c r="S605" s="1"/>
      <c r="T605" s="1"/>
      <c r="U605" s="1"/>
      <c r="V605" s="1"/>
      <c r="W605" s="1"/>
      <c r="X605" s="1"/>
      <c r="Y605" s="1"/>
      <c r="Z605" s="1"/>
      <c r="AA605" s="1"/>
      <c r="AB605" s="1"/>
      <c r="AC605" s="1"/>
    </row>
    <row r="606" spans="12:29" ht="15">
      <c r="L606" s="1"/>
      <c r="M606" s="1"/>
      <c r="N606" s="1"/>
      <c r="O606" s="1"/>
      <c r="P606" s="1"/>
      <c r="Q606" s="1"/>
      <c r="R606" s="1"/>
      <c r="S606" s="1"/>
      <c r="T606" s="1"/>
      <c r="U606" s="1"/>
      <c r="V606" s="1"/>
      <c r="W606" s="1"/>
      <c r="X606" s="1"/>
      <c r="Y606" s="1"/>
      <c r="Z606" s="1"/>
      <c r="AA606" s="1"/>
      <c r="AB606" s="1"/>
      <c r="AC606" s="1"/>
    </row>
    <row r="607" spans="12:29" ht="15">
      <c r="L607" s="1"/>
      <c r="M607" s="1"/>
      <c r="N607" s="1"/>
      <c r="O607" s="1"/>
      <c r="P607" s="1"/>
      <c r="Q607" s="1"/>
      <c r="R607" s="1"/>
      <c r="S607" s="1"/>
      <c r="T607" s="1"/>
      <c r="U607" s="1"/>
      <c r="V607" s="1"/>
      <c r="W607" s="1"/>
      <c r="X607" s="1"/>
      <c r="Y607" s="1"/>
      <c r="Z607" s="1"/>
      <c r="AA607" s="1"/>
      <c r="AB607" s="1"/>
      <c r="AC607" s="1"/>
    </row>
    <row r="608" spans="12:29" ht="15">
      <c r="L608" s="1"/>
      <c r="M608" s="1"/>
      <c r="N608" s="1"/>
      <c r="O608" s="1"/>
      <c r="P608" s="1"/>
      <c r="Q608" s="1"/>
      <c r="R608" s="1"/>
      <c r="S608" s="1"/>
      <c r="T608" s="1"/>
      <c r="U608" s="1"/>
      <c r="V608" s="1"/>
      <c r="W608" s="1"/>
      <c r="X608" s="1"/>
      <c r="Y608" s="1"/>
      <c r="Z608" s="1"/>
      <c r="AA608" s="1"/>
      <c r="AB608" s="1"/>
      <c r="AC608" s="1"/>
    </row>
    <row r="609" spans="12:29" ht="15">
      <c r="L609" s="1"/>
      <c r="M609" s="1"/>
      <c r="N609" s="1"/>
      <c r="O609" s="1"/>
      <c r="P609" s="1"/>
      <c r="Q609" s="1"/>
      <c r="R609" s="1"/>
      <c r="S609" s="1"/>
      <c r="T609" s="1"/>
      <c r="U609" s="1"/>
      <c r="V609" s="1"/>
      <c r="W609" s="1"/>
      <c r="X609" s="1"/>
      <c r="Y609" s="1"/>
      <c r="Z609" s="1"/>
      <c r="AA609" s="1"/>
      <c r="AB609" s="1"/>
      <c r="AC609" s="1"/>
    </row>
    <row r="610" spans="12:29" ht="15">
      <c r="L610" s="1"/>
      <c r="M610" s="1"/>
      <c r="N610" s="1"/>
      <c r="O610" s="1"/>
      <c r="P610" s="1"/>
      <c r="Q610" s="1"/>
      <c r="R610" s="1"/>
      <c r="S610" s="1"/>
      <c r="T610" s="1"/>
      <c r="U610" s="1"/>
      <c r="V610" s="1"/>
      <c r="W610" s="1"/>
      <c r="X610" s="1"/>
      <c r="Y610" s="1"/>
      <c r="Z610" s="1"/>
      <c r="AA610" s="1"/>
      <c r="AB610" s="1"/>
      <c r="AC610" s="1"/>
    </row>
    <row r="611" spans="12:29" ht="15">
      <c r="L611" s="1"/>
      <c r="M611" s="1"/>
      <c r="N611" s="1"/>
      <c r="O611" s="1"/>
      <c r="P611" s="1"/>
      <c r="Q611" s="1"/>
      <c r="R611" s="1"/>
      <c r="S611" s="1"/>
      <c r="T611" s="1"/>
      <c r="U611" s="1"/>
      <c r="V611" s="1"/>
      <c r="W611" s="1"/>
      <c r="X611" s="1"/>
      <c r="Y611" s="1"/>
      <c r="Z611" s="1"/>
      <c r="AA611" s="1"/>
      <c r="AB611" s="1"/>
      <c r="AC611" s="1"/>
    </row>
    <row r="612" spans="12:29" ht="15">
      <c r="L612" s="1"/>
      <c r="M612" s="1"/>
      <c r="N612" s="1"/>
      <c r="O612" s="1"/>
      <c r="P612" s="1"/>
      <c r="Q612" s="1"/>
      <c r="R612" s="1"/>
      <c r="S612" s="1"/>
      <c r="T612" s="1"/>
      <c r="U612" s="1"/>
      <c r="V612" s="1"/>
      <c r="W612" s="1"/>
      <c r="X612" s="1"/>
      <c r="Y612" s="1"/>
      <c r="Z612" s="1"/>
      <c r="AA612" s="1"/>
      <c r="AB612" s="1"/>
      <c r="AC612" s="1"/>
    </row>
    <row r="613" spans="12:29" ht="15">
      <c r="L613" s="1"/>
      <c r="M613" s="1"/>
      <c r="N613" s="1"/>
      <c r="O613" s="1"/>
      <c r="P613" s="1"/>
      <c r="Q613" s="1"/>
      <c r="R613" s="1"/>
      <c r="S613" s="1"/>
      <c r="T613" s="1"/>
      <c r="U613" s="1"/>
      <c r="V613" s="1"/>
      <c r="W613" s="1"/>
      <c r="X613" s="1"/>
      <c r="Y613" s="1"/>
      <c r="Z613" s="1"/>
      <c r="AA613" s="1"/>
      <c r="AB613" s="1"/>
      <c r="AC613" s="1"/>
    </row>
    <row r="614" spans="12:29" ht="15">
      <c r="L614" s="1"/>
      <c r="M614" s="1"/>
      <c r="N614" s="1"/>
      <c r="O614" s="1"/>
      <c r="P614" s="1"/>
      <c r="Q614" s="1"/>
      <c r="R614" s="1"/>
      <c r="S614" s="1"/>
      <c r="T614" s="1"/>
      <c r="U614" s="1"/>
      <c r="V614" s="1"/>
      <c r="W614" s="1"/>
      <c r="X614" s="1"/>
      <c r="Y614" s="1"/>
      <c r="Z614" s="1"/>
      <c r="AA614" s="1"/>
      <c r="AB614" s="1"/>
      <c r="AC614" s="1"/>
    </row>
    <row r="615" spans="12:29" ht="15">
      <c r="L615" s="1"/>
      <c r="M615" s="1"/>
      <c r="N615" s="1"/>
      <c r="O615" s="1"/>
      <c r="P615" s="1"/>
      <c r="Q615" s="1"/>
      <c r="R615" s="1"/>
      <c r="S615" s="1"/>
      <c r="T615" s="1"/>
      <c r="U615" s="1"/>
      <c r="V615" s="1"/>
      <c r="W615" s="1"/>
      <c r="X615" s="1"/>
      <c r="Y615" s="1"/>
      <c r="Z615" s="1"/>
      <c r="AA615" s="1"/>
      <c r="AB615" s="1"/>
      <c r="AC615" s="1"/>
    </row>
    <row r="616" spans="12:29" ht="15">
      <c r="L616" s="1"/>
      <c r="M616" s="1"/>
      <c r="N616" s="1"/>
      <c r="O616" s="1"/>
      <c r="P616" s="1"/>
      <c r="Q616" s="1"/>
      <c r="R616" s="1"/>
      <c r="S616" s="1"/>
      <c r="T616" s="1"/>
      <c r="U616" s="1"/>
      <c r="V616" s="1"/>
      <c r="W616" s="1"/>
      <c r="X616" s="1"/>
      <c r="Y616" s="1"/>
      <c r="Z616" s="1"/>
      <c r="AA616" s="1"/>
      <c r="AB616" s="1"/>
      <c r="AC616" s="1"/>
    </row>
    <row r="617" spans="12:29" ht="15">
      <c r="L617" s="1"/>
      <c r="M617" s="1"/>
      <c r="N617" s="1"/>
      <c r="O617" s="1"/>
      <c r="P617" s="1"/>
      <c r="Q617" s="1"/>
      <c r="R617" s="1"/>
      <c r="S617" s="1"/>
      <c r="T617" s="1"/>
      <c r="U617" s="1"/>
      <c r="V617" s="1"/>
      <c r="W617" s="1"/>
      <c r="X617" s="1"/>
      <c r="Y617" s="1"/>
      <c r="Z617" s="1"/>
      <c r="AA617" s="1"/>
      <c r="AB617" s="1"/>
      <c r="AC617" s="1"/>
    </row>
    <row r="618" spans="12:29" ht="15">
      <c r="L618" s="1"/>
      <c r="M618" s="1"/>
      <c r="N618" s="1"/>
      <c r="O618" s="1"/>
      <c r="P618" s="1"/>
      <c r="Q618" s="1"/>
      <c r="R618" s="1"/>
      <c r="S618" s="1"/>
      <c r="T618" s="1"/>
      <c r="U618" s="1"/>
      <c r="V618" s="1"/>
      <c r="W618" s="1"/>
      <c r="X618" s="1"/>
      <c r="Y618" s="1"/>
      <c r="Z618" s="1"/>
      <c r="AA618" s="1"/>
      <c r="AB618" s="1"/>
      <c r="AC618" s="1"/>
    </row>
    <row r="619" spans="12:29" ht="15">
      <c r="L619" s="1"/>
      <c r="M619" s="1"/>
      <c r="N619" s="1"/>
      <c r="O619" s="1"/>
      <c r="P619" s="1"/>
      <c r="Q619" s="1"/>
      <c r="R619" s="1"/>
      <c r="S619" s="1"/>
      <c r="T619" s="1"/>
      <c r="U619" s="1"/>
      <c r="V619" s="1"/>
      <c r="W619" s="1"/>
      <c r="X619" s="1"/>
      <c r="Y619" s="1"/>
      <c r="Z619" s="1"/>
      <c r="AA619" s="1"/>
      <c r="AB619" s="1"/>
      <c r="AC619" s="1"/>
    </row>
    <row r="620" spans="12:29" ht="15">
      <c r="L620" s="1"/>
      <c r="M620" s="1"/>
      <c r="N620" s="1"/>
      <c r="O620" s="1"/>
      <c r="P620" s="1"/>
      <c r="Q620" s="1"/>
      <c r="R620" s="1"/>
      <c r="S620" s="1"/>
      <c r="T620" s="1"/>
      <c r="U620" s="1"/>
      <c r="V620" s="1"/>
      <c r="W620" s="1"/>
      <c r="X620" s="1"/>
      <c r="Y620" s="1"/>
      <c r="Z620" s="1"/>
      <c r="AA620" s="1"/>
      <c r="AB620" s="1"/>
      <c r="AC620" s="1"/>
    </row>
    <row r="621" spans="12:29" ht="15">
      <c r="L621" s="1"/>
      <c r="M621" s="1"/>
      <c r="N621" s="1"/>
      <c r="O621" s="1"/>
      <c r="P621" s="1"/>
      <c r="Q621" s="1"/>
      <c r="R621" s="1"/>
      <c r="S621" s="1"/>
      <c r="T621" s="1"/>
      <c r="U621" s="1"/>
      <c r="V621" s="1"/>
      <c r="W621" s="1"/>
      <c r="X621" s="1"/>
      <c r="Y621" s="1"/>
      <c r="Z621" s="1"/>
      <c r="AA621" s="1"/>
      <c r="AB621" s="1"/>
      <c r="AC621" s="1"/>
    </row>
    <row r="622" spans="12:29" ht="15">
      <c r="L622" s="1"/>
      <c r="M622" s="1"/>
      <c r="N622" s="1"/>
      <c r="O622" s="1"/>
      <c r="P622" s="1"/>
      <c r="Q622" s="1"/>
      <c r="R622" s="1"/>
      <c r="S622" s="1"/>
      <c r="T622" s="1"/>
      <c r="U622" s="1"/>
      <c r="V622" s="1"/>
      <c r="W622" s="1"/>
      <c r="X622" s="1"/>
      <c r="Y622" s="1"/>
      <c r="Z622" s="1"/>
      <c r="AA622" s="1"/>
      <c r="AB622" s="1"/>
      <c r="AC622" s="1"/>
    </row>
    <row r="623" spans="12:29" ht="15">
      <c r="L623" s="1"/>
      <c r="M623" s="1"/>
      <c r="N623" s="1"/>
      <c r="O623" s="1"/>
      <c r="P623" s="1"/>
      <c r="Q623" s="1"/>
      <c r="R623" s="1"/>
      <c r="S623" s="1"/>
      <c r="T623" s="1"/>
      <c r="U623" s="1"/>
      <c r="V623" s="1"/>
      <c r="W623" s="1"/>
      <c r="X623" s="1"/>
      <c r="Y623" s="1"/>
      <c r="Z623" s="1"/>
      <c r="AA623" s="1"/>
      <c r="AB623" s="1"/>
      <c r="AC623" s="1"/>
    </row>
    <row r="624" spans="12:29" ht="15">
      <c r="L624" s="1"/>
      <c r="M624" s="1"/>
      <c r="N624" s="1"/>
      <c r="O624" s="1"/>
      <c r="P624" s="1"/>
      <c r="Q624" s="1"/>
      <c r="R624" s="1"/>
      <c r="S624" s="1"/>
      <c r="T624" s="1"/>
      <c r="U624" s="1"/>
      <c r="V624" s="1"/>
      <c r="W624" s="1"/>
      <c r="X624" s="1"/>
      <c r="Y624" s="1"/>
      <c r="Z624" s="1"/>
      <c r="AA624" s="1"/>
      <c r="AB624" s="1"/>
      <c r="AC624" s="1"/>
    </row>
    <row r="625" spans="12:29" ht="15">
      <c r="L625" s="1"/>
      <c r="M625" s="1"/>
      <c r="N625" s="1"/>
      <c r="O625" s="1"/>
      <c r="P625" s="1"/>
      <c r="Q625" s="1"/>
      <c r="R625" s="1"/>
      <c r="S625" s="1"/>
      <c r="T625" s="1"/>
      <c r="U625" s="1"/>
      <c r="V625" s="1"/>
      <c r="W625" s="1"/>
      <c r="X625" s="1"/>
      <c r="Y625" s="1"/>
      <c r="Z625" s="1"/>
      <c r="AA625" s="1"/>
      <c r="AB625" s="1"/>
      <c r="AC625" s="1"/>
    </row>
    <row r="626" spans="12:29" ht="15">
      <c r="L626" s="1"/>
      <c r="M626" s="1"/>
      <c r="N626" s="1"/>
      <c r="O626" s="1"/>
      <c r="P626" s="1"/>
      <c r="Q626" s="1"/>
      <c r="R626" s="1"/>
      <c r="S626" s="1"/>
      <c r="T626" s="1"/>
      <c r="U626" s="1"/>
      <c r="V626" s="1"/>
      <c r="W626" s="1"/>
      <c r="X626" s="1"/>
      <c r="Y626" s="1"/>
      <c r="Z626" s="1"/>
      <c r="AA626" s="1"/>
      <c r="AB626" s="1"/>
      <c r="AC626" s="1"/>
    </row>
    <row r="627" spans="12:29" ht="15">
      <c r="L627" s="1"/>
      <c r="M627" s="1"/>
      <c r="N627" s="1"/>
      <c r="O627" s="1"/>
      <c r="P627" s="1"/>
      <c r="Q627" s="1"/>
      <c r="R627" s="1"/>
      <c r="S627" s="1"/>
      <c r="T627" s="1"/>
      <c r="U627" s="1"/>
      <c r="V627" s="1"/>
      <c r="W627" s="1"/>
      <c r="X627" s="1"/>
      <c r="Y627" s="1"/>
      <c r="Z627" s="1"/>
      <c r="AA627" s="1"/>
      <c r="AB627" s="1"/>
      <c r="AC627" s="1"/>
    </row>
    <row r="628" spans="12:29" ht="15">
      <c r="L628" s="1"/>
      <c r="M628" s="1"/>
      <c r="N628" s="1"/>
      <c r="O628" s="1"/>
      <c r="P628" s="1"/>
      <c r="Q628" s="1"/>
      <c r="R628" s="1"/>
      <c r="S628" s="1"/>
      <c r="T628" s="1"/>
      <c r="U628" s="1"/>
      <c r="V628" s="1"/>
      <c r="W628" s="1"/>
      <c r="X628" s="1"/>
      <c r="Y628" s="1"/>
      <c r="Z628" s="1"/>
      <c r="AA628" s="1"/>
      <c r="AB628" s="1"/>
      <c r="AC628" s="1"/>
    </row>
    <row r="629" spans="12:29" ht="15">
      <c r="L629" s="1"/>
      <c r="M629" s="1"/>
      <c r="N629" s="1"/>
      <c r="O629" s="1"/>
      <c r="P629" s="1"/>
      <c r="Q629" s="1"/>
      <c r="R629" s="1"/>
      <c r="S629" s="1"/>
      <c r="T629" s="1"/>
      <c r="U629" s="1"/>
      <c r="V629" s="1"/>
      <c r="W629" s="1"/>
      <c r="X629" s="1"/>
      <c r="Y629" s="1"/>
      <c r="Z629" s="1"/>
      <c r="AA629" s="1"/>
      <c r="AB629" s="1"/>
      <c r="AC629" s="1"/>
    </row>
    <row r="630" spans="12:29" ht="15">
      <c r="L630" s="1"/>
      <c r="M630" s="1"/>
      <c r="N630" s="1"/>
      <c r="O630" s="1"/>
      <c r="P630" s="1"/>
      <c r="Q630" s="1"/>
      <c r="R630" s="1"/>
      <c r="S630" s="1"/>
      <c r="T630" s="1"/>
      <c r="U630" s="1"/>
      <c r="V630" s="1"/>
      <c r="W630" s="1"/>
      <c r="X630" s="1"/>
      <c r="Y630" s="1"/>
      <c r="Z630" s="1"/>
      <c r="AA630" s="1"/>
      <c r="AB630" s="1"/>
      <c r="AC630" s="1"/>
    </row>
    <row r="631" spans="12:29" ht="15">
      <c r="L631" s="1"/>
      <c r="M631" s="1"/>
      <c r="N631" s="1"/>
      <c r="O631" s="1"/>
      <c r="P631" s="1"/>
      <c r="Q631" s="1"/>
      <c r="R631" s="1"/>
      <c r="S631" s="1"/>
      <c r="T631" s="1"/>
      <c r="U631" s="1"/>
      <c r="V631" s="1"/>
      <c r="W631" s="1"/>
      <c r="X631" s="1"/>
      <c r="Y631" s="1"/>
      <c r="Z631" s="1"/>
      <c r="AA631" s="1"/>
      <c r="AB631" s="1"/>
      <c r="AC631" s="1"/>
    </row>
    <row r="632" spans="12:29" ht="15">
      <c r="L632" s="1"/>
      <c r="M632" s="1"/>
      <c r="N632" s="1"/>
      <c r="O632" s="1"/>
      <c r="P632" s="1"/>
      <c r="Q632" s="1"/>
      <c r="R632" s="1"/>
      <c r="S632" s="1"/>
      <c r="T632" s="1"/>
      <c r="U632" s="1"/>
      <c r="V632" s="1"/>
      <c r="W632" s="1"/>
      <c r="X632" s="1"/>
      <c r="Y632" s="1"/>
      <c r="Z632" s="1"/>
      <c r="AA632" s="1"/>
      <c r="AB632" s="1"/>
      <c r="AC632" s="1"/>
    </row>
    <row r="633" spans="12:29" ht="15">
      <c r="L633" s="1"/>
      <c r="M633" s="1"/>
      <c r="N633" s="1"/>
      <c r="O633" s="1"/>
      <c r="P633" s="1"/>
      <c r="Q633" s="1"/>
      <c r="R633" s="1"/>
      <c r="S633" s="1"/>
      <c r="T633" s="1"/>
      <c r="U633" s="1"/>
      <c r="V633" s="1"/>
      <c r="W633" s="1"/>
      <c r="X633" s="1"/>
      <c r="Y633" s="1"/>
      <c r="Z633" s="1"/>
      <c r="AA633" s="1"/>
      <c r="AB633" s="1"/>
      <c r="AC633" s="1"/>
    </row>
    <row r="634" spans="12:29" ht="15">
      <c r="L634" s="1"/>
      <c r="M634" s="1"/>
      <c r="N634" s="1"/>
      <c r="O634" s="1"/>
      <c r="P634" s="1"/>
      <c r="Q634" s="1"/>
      <c r="R634" s="1"/>
      <c r="S634" s="1"/>
      <c r="T634" s="1"/>
      <c r="U634" s="1"/>
      <c r="V634" s="1"/>
      <c r="W634" s="1"/>
      <c r="X634" s="1"/>
      <c r="Y634" s="1"/>
      <c r="Z634" s="1"/>
      <c r="AA634" s="1"/>
      <c r="AB634" s="1"/>
      <c r="AC634" s="1"/>
    </row>
    <row r="635" spans="12:29" ht="15">
      <c r="L635" s="1"/>
      <c r="M635" s="1"/>
      <c r="N635" s="1"/>
      <c r="O635" s="1"/>
      <c r="P635" s="1"/>
      <c r="Q635" s="1"/>
      <c r="R635" s="1"/>
      <c r="S635" s="1"/>
      <c r="T635" s="1"/>
      <c r="U635" s="1"/>
      <c r="V635" s="1"/>
      <c r="W635" s="1"/>
      <c r="X635" s="1"/>
      <c r="Y635" s="1"/>
      <c r="Z635" s="1"/>
      <c r="AA635" s="1"/>
      <c r="AB635" s="1"/>
      <c r="AC635" s="1"/>
    </row>
    <row r="636" spans="12:29" ht="15">
      <c r="L636" s="1"/>
      <c r="M636" s="1"/>
      <c r="N636" s="1"/>
      <c r="O636" s="1"/>
      <c r="P636" s="1"/>
      <c r="Q636" s="1"/>
      <c r="R636" s="1"/>
      <c r="S636" s="1"/>
      <c r="T636" s="1"/>
      <c r="U636" s="1"/>
      <c r="V636" s="1"/>
      <c r="W636" s="1"/>
      <c r="X636" s="1"/>
      <c r="Y636" s="1"/>
      <c r="Z636" s="1"/>
      <c r="AA636" s="1"/>
      <c r="AB636" s="1"/>
      <c r="AC636" s="1"/>
    </row>
    <row r="637" spans="12:29" ht="15">
      <c r="L637" s="1"/>
      <c r="M637" s="1"/>
      <c r="N637" s="1"/>
      <c r="O637" s="1"/>
      <c r="P637" s="1"/>
      <c r="Q637" s="1"/>
      <c r="R637" s="1"/>
      <c r="S637" s="1"/>
      <c r="T637" s="1"/>
      <c r="U637" s="1"/>
      <c r="V637" s="1"/>
      <c r="W637" s="1"/>
      <c r="X637" s="1"/>
      <c r="Y637" s="1"/>
      <c r="Z637" s="1"/>
      <c r="AA637" s="1"/>
      <c r="AB637" s="1"/>
      <c r="AC637" s="1"/>
    </row>
    <row r="638" spans="12:29" ht="15">
      <c r="L638" s="1"/>
      <c r="M638" s="1"/>
      <c r="N638" s="1"/>
      <c r="O638" s="1"/>
      <c r="P638" s="1"/>
      <c r="Q638" s="1"/>
      <c r="R638" s="1"/>
      <c r="S638" s="1"/>
      <c r="T638" s="1"/>
      <c r="U638" s="1"/>
      <c r="V638" s="1"/>
      <c r="W638" s="1"/>
      <c r="X638" s="1"/>
      <c r="Y638" s="1"/>
      <c r="Z638" s="1"/>
      <c r="AA638" s="1"/>
      <c r="AB638" s="1"/>
      <c r="AC638" s="1"/>
    </row>
    <row r="639" spans="12:29" ht="15">
      <c r="L639" s="1"/>
      <c r="M639" s="1"/>
      <c r="N639" s="1"/>
      <c r="O639" s="1"/>
      <c r="P639" s="1"/>
      <c r="Q639" s="1"/>
      <c r="R639" s="1"/>
      <c r="S639" s="1"/>
      <c r="T639" s="1"/>
      <c r="U639" s="1"/>
      <c r="V639" s="1"/>
      <c r="W639" s="1"/>
      <c r="X639" s="1"/>
      <c r="Y639" s="1"/>
      <c r="Z639" s="1"/>
      <c r="AA639" s="1"/>
      <c r="AB639" s="1"/>
      <c r="AC639" s="1"/>
    </row>
    <row r="640" spans="12:29" ht="15">
      <c r="L640" s="1"/>
      <c r="M640" s="1"/>
      <c r="N640" s="1"/>
      <c r="O640" s="1"/>
      <c r="P640" s="1"/>
      <c r="Q640" s="1"/>
      <c r="R640" s="1"/>
      <c r="S640" s="1"/>
      <c r="T640" s="1"/>
      <c r="U640" s="1"/>
      <c r="V640" s="1"/>
      <c r="W640" s="1"/>
      <c r="X640" s="1"/>
      <c r="Y640" s="1"/>
      <c r="Z640" s="1"/>
      <c r="AA640" s="1"/>
      <c r="AB640" s="1"/>
      <c r="AC640" s="1"/>
    </row>
    <row r="641" spans="12:29" ht="15">
      <c r="L641" s="1"/>
      <c r="M641" s="1"/>
      <c r="N641" s="1"/>
      <c r="O641" s="1"/>
      <c r="P641" s="1"/>
      <c r="Q641" s="1"/>
      <c r="R641" s="1"/>
      <c r="S641" s="1"/>
      <c r="T641" s="1"/>
      <c r="U641" s="1"/>
      <c r="V641" s="1"/>
      <c r="W641" s="1"/>
      <c r="X641" s="1"/>
      <c r="Y641" s="1"/>
      <c r="Z641" s="1"/>
      <c r="AA641" s="1"/>
      <c r="AB641" s="1"/>
      <c r="AC641" s="1"/>
    </row>
    <row r="642" spans="12:29" ht="15">
      <c r="L642" s="1"/>
      <c r="M642" s="1"/>
      <c r="N642" s="1"/>
      <c r="O642" s="1"/>
      <c r="P642" s="1"/>
      <c r="Q642" s="1"/>
      <c r="R642" s="1"/>
      <c r="S642" s="1"/>
      <c r="T642" s="1"/>
      <c r="U642" s="1"/>
      <c r="V642" s="1"/>
      <c r="W642" s="1"/>
      <c r="X642" s="1"/>
      <c r="Y642" s="1"/>
      <c r="Z642" s="1"/>
      <c r="AA642" s="1"/>
      <c r="AB642" s="1"/>
      <c r="AC642" s="1"/>
    </row>
    <row r="643" spans="12:29" ht="15">
      <c r="L643" s="1"/>
      <c r="M643" s="1"/>
      <c r="N643" s="1"/>
      <c r="O643" s="1"/>
      <c r="P643" s="1"/>
      <c r="Q643" s="1"/>
      <c r="R643" s="1"/>
      <c r="S643" s="1"/>
      <c r="T643" s="1"/>
      <c r="U643" s="1"/>
      <c r="V643" s="1"/>
      <c r="W643" s="1"/>
      <c r="X643" s="1"/>
      <c r="Y643" s="1"/>
      <c r="Z643" s="1"/>
      <c r="AA643" s="1"/>
      <c r="AB643" s="1"/>
      <c r="AC643" s="1"/>
    </row>
    <row r="644" spans="12:29" ht="15">
      <c r="L644" s="1"/>
      <c r="M644" s="1"/>
      <c r="N644" s="1"/>
      <c r="O644" s="1"/>
      <c r="P644" s="1"/>
      <c r="Q644" s="1"/>
      <c r="R644" s="1"/>
      <c r="S644" s="1"/>
      <c r="T644" s="1"/>
      <c r="U644" s="1"/>
      <c r="V644" s="1"/>
      <c r="W644" s="1"/>
      <c r="X644" s="1"/>
      <c r="Y644" s="1"/>
      <c r="Z644" s="1"/>
      <c r="AA644" s="1"/>
      <c r="AB644" s="1"/>
      <c r="AC644" s="1"/>
    </row>
    <row r="645" spans="12:29" ht="15">
      <c r="L645" s="1"/>
      <c r="M645" s="1"/>
      <c r="N645" s="1"/>
      <c r="O645" s="1"/>
      <c r="P645" s="1"/>
      <c r="Q645" s="1"/>
      <c r="R645" s="1"/>
      <c r="S645" s="1"/>
      <c r="T645" s="1"/>
      <c r="U645" s="1"/>
      <c r="V645" s="1"/>
      <c r="W645" s="1"/>
      <c r="X645" s="1"/>
      <c r="Y645" s="1"/>
      <c r="Z645" s="1"/>
      <c r="AA645" s="1"/>
      <c r="AB645" s="1"/>
      <c r="AC645" s="1"/>
    </row>
    <row r="646" spans="12:29" ht="15">
      <c r="L646" s="1"/>
      <c r="M646" s="1"/>
      <c r="N646" s="1"/>
      <c r="O646" s="1"/>
      <c r="P646" s="1"/>
      <c r="Q646" s="1"/>
      <c r="R646" s="1"/>
      <c r="S646" s="1"/>
      <c r="T646" s="1"/>
      <c r="U646" s="1"/>
      <c r="V646" s="1"/>
      <c r="W646" s="1"/>
      <c r="X646" s="1"/>
      <c r="Y646" s="1"/>
      <c r="Z646" s="1"/>
      <c r="AA646" s="1"/>
      <c r="AB646" s="1"/>
      <c r="AC646" s="1"/>
    </row>
    <row r="647" spans="12:29" ht="15">
      <c r="L647" s="1"/>
      <c r="M647" s="1"/>
      <c r="N647" s="1"/>
      <c r="O647" s="1"/>
      <c r="P647" s="1"/>
      <c r="Q647" s="1"/>
      <c r="R647" s="1"/>
      <c r="S647" s="1"/>
      <c r="T647" s="1"/>
      <c r="U647" s="1"/>
      <c r="V647" s="1"/>
      <c r="W647" s="1"/>
      <c r="X647" s="1"/>
      <c r="Y647" s="1"/>
      <c r="Z647" s="1"/>
      <c r="AA647" s="1"/>
      <c r="AB647" s="1"/>
      <c r="AC647" s="1"/>
    </row>
    <row r="648" spans="12:29" ht="15">
      <c r="L648" s="1"/>
      <c r="M648" s="1"/>
      <c r="N648" s="1"/>
      <c r="O648" s="1"/>
      <c r="P648" s="1"/>
      <c r="Q648" s="1"/>
      <c r="R648" s="1"/>
      <c r="S648" s="1"/>
      <c r="T648" s="1"/>
      <c r="U648" s="1"/>
      <c r="V648" s="1"/>
      <c r="W648" s="1"/>
      <c r="X648" s="1"/>
      <c r="Y648" s="1"/>
      <c r="Z648" s="1"/>
      <c r="AA648" s="1"/>
      <c r="AB648" s="1"/>
      <c r="AC648" s="1"/>
    </row>
    <row r="649" spans="12:29" ht="15">
      <c r="L649" s="1"/>
      <c r="M649" s="1"/>
      <c r="N649" s="1"/>
      <c r="O649" s="1"/>
      <c r="P649" s="1"/>
      <c r="Q649" s="1"/>
      <c r="R649" s="1"/>
      <c r="S649" s="1"/>
      <c r="T649" s="1"/>
      <c r="U649" s="1"/>
      <c r="V649" s="1"/>
      <c r="W649" s="1"/>
      <c r="X649" s="1"/>
      <c r="Y649" s="1"/>
      <c r="Z649" s="1"/>
      <c r="AA649" s="1"/>
      <c r="AB649" s="1"/>
      <c r="AC649" s="1"/>
    </row>
    <row r="650" spans="12:29" ht="15">
      <c r="L650" s="1"/>
      <c r="M650" s="1"/>
      <c r="N650" s="1"/>
      <c r="O650" s="1"/>
      <c r="P650" s="1"/>
      <c r="Q650" s="1"/>
      <c r="R650" s="1"/>
      <c r="S650" s="1"/>
      <c r="T650" s="1"/>
      <c r="U650" s="1"/>
      <c r="V650" s="1"/>
      <c r="W650" s="1"/>
      <c r="X650" s="1"/>
      <c r="Y650" s="1"/>
      <c r="Z650" s="1"/>
      <c r="AA650" s="1"/>
      <c r="AB650" s="1"/>
      <c r="AC650" s="1"/>
    </row>
    <row r="651" spans="12:29" ht="15">
      <c r="L651" s="1"/>
      <c r="M651" s="1"/>
      <c r="N651" s="1"/>
      <c r="O651" s="1"/>
      <c r="P651" s="1"/>
      <c r="Q651" s="1"/>
      <c r="R651" s="1"/>
      <c r="S651" s="1"/>
      <c r="T651" s="1"/>
      <c r="U651" s="1"/>
      <c r="V651" s="1"/>
      <c r="W651" s="1"/>
      <c r="X651" s="1"/>
      <c r="Y651" s="1"/>
      <c r="Z651" s="1"/>
      <c r="AA651" s="1"/>
      <c r="AB651" s="1"/>
      <c r="AC651" s="1"/>
    </row>
    <row r="652" spans="12:29" ht="15">
      <c r="L652" s="1"/>
      <c r="M652" s="1"/>
      <c r="N652" s="1"/>
      <c r="O652" s="1"/>
      <c r="P652" s="1"/>
      <c r="Q652" s="1"/>
      <c r="R652" s="1"/>
      <c r="S652" s="1"/>
      <c r="T652" s="1"/>
      <c r="U652" s="1"/>
      <c r="V652" s="1"/>
      <c r="W652" s="1"/>
      <c r="X652" s="1"/>
      <c r="Y652" s="1"/>
      <c r="Z652" s="1"/>
      <c r="AA652" s="1"/>
      <c r="AB652" s="1"/>
      <c r="AC652" s="1"/>
    </row>
    <row r="653" spans="12:29" ht="15">
      <c r="L653" s="1"/>
      <c r="M653" s="1"/>
      <c r="N653" s="1"/>
      <c r="O653" s="1"/>
      <c r="P653" s="1"/>
      <c r="Q653" s="1"/>
      <c r="R653" s="1"/>
      <c r="S653" s="1"/>
      <c r="T653" s="1"/>
      <c r="U653" s="1"/>
      <c r="V653" s="1"/>
      <c r="W653" s="1"/>
      <c r="X653" s="1"/>
      <c r="Y653" s="1"/>
      <c r="Z653" s="1"/>
      <c r="AA653" s="1"/>
      <c r="AB653" s="1"/>
      <c r="AC653" s="1"/>
    </row>
    <row r="654" spans="12:29" ht="15">
      <c r="L654" s="1"/>
      <c r="M654" s="1"/>
      <c r="N654" s="1"/>
      <c r="O654" s="1"/>
      <c r="P654" s="1"/>
      <c r="Q654" s="1"/>
      <c r="R654" s="1"/>
      <c r="S654" s="1"/>
      <c r="T654" s="1"/>
      <c r="U654" s="1"/>
      <c r="V654" s="1"/>
      <c r="W654" s="1"/>
      <c r="X654" s="1"/>
      <c r="Y654" s="1"/>
      <c r="Z654" s="1"/>
      <c r="AA654" s="1"/>
      <c r="AB654" s="1"/>
      <c r="AC654" s="1"/>
    </row>
    <row r="655" spans="12:29" ht="15">
      <c r="L655" s="1"/>
      <c r="M655" s="1"/>
      <c r="N655" s="1"/>
      <c r="O655" s="1"/>
      <c r="P655" s="1"/>
      <c r="Q655" s="1"/>
      <c r="R655" s="1"/>
      <c r="S655" s="1"/>
      <c r="T655" s="1"/>
      <c r="U655" s="1"/>
      <c r="V655" s="1"/>
      <c r="W655" s="1"/>
      <c r="X655" s="1"/>
      <c r="Y655" s="1"/>
      <c r="Z655" s="1"/>
      <c r="AA655" s="1"/>
      <c r="AB655" s="1"/>
      <c r="AC655" s="1"/>
    </row>
    <row r="656" spans="12:29" ht="15">
      <c r="L656" s="1"/>
      <c r="M656" s="1"/>
      <c r="N656" s="1"/>
      <c r="O656" s="1"/>
      <c r="P656" s="1"/>
      <c r="Q656" s="1"/>
      <c r="R656" s="1"/>
      <c r="S656" s="1"/>
      <c r="T656" s="1"/>
      <c r="U656" s="1"/>
      <c r="V656" s="1"/>
      <c r="W656" s="1"/>
      <c r="X656" s="1"/>
      <c r="Y656" s="1"/>
      <c r="Z656" s="1"/>
      <c r="AA656" s="1"/>
      <c r="AB656" s="1"/>
      <c r="AC656" s="1"/>
    </row>
    <row r="657" spans="12:29" ht="15">
      <c r="L657" s="1"/>
      <c r="M657" s="1"/>
      <c r="N657" s="1"/>
      <c r="O657" s="1"/>
      <c r="P657" s="1"/>
      <c r="Q657" s="1"/>
      <c r="R657" s="1"/>
      <c r="S657" s="1"/>
      <c r="T657" s="1"/>
      <c r="U657" s="1"/>
      <c r="V657" s="1"/>
      <c r="W657" s="1"/>
      <c r="X657" s="1"/>
      <c r="Y657" s="1"/>
      <c r="Z657" s="1"/>
      <c r="AA657" s="1"/>
      <c r="AB657" s="1"/>
      <c r="AC657" s="1"/>
    </row>
    <row r="658" spans="12:29" ht="15">
      <c r="L658" s="1"/>
      <c r="M658" s="1"/>
      <c r="N658" s="1"/>
      <c r="O658" s="1"/>
      <c r="P658" s="1"/>
      <c r="Q658" s="1"/>
      <c r="R658" s="1"/>
      <c r="S658" s="1"/>
      <c r="T658" s="1"/>
      <c r="U658" s="1"/>
      <c r="V658" s="1"/>
      <c r="W658" s="1"/>
      <c r="X658" s="1"/>
      <c r="Y658" s="1"/>
      <c r="Z658" s="1"/>
      <c r="AA658" s="1"/>
      <c r="AB658" s="1"/>
      <c r="AC658" s="1"/>
    </row>
    <row r="659" spans="12:29" ht="15">
      <c r="L659" s="1"/>
      <c r="M659" s="1"/>
      <c r="N659" s="1"/>
      <c r="O659" s="1"/>
      <c r="P659" s="1"/>
      <c r="Q659" s="1"/>
      <c r="R659" s="1"/>
      <c r="S659" s="1"/>
      <c r="T659" s="1"/>
      <c r="U659" s="1"/>
      <c r="V659" s="1"/>
      <c r="W659" s="1"/>
      <c r="X659" s="1"/>
      <c r="Y659" s="1"/>
      <c r="Z659" s="1"/>
      <c r="AA659" s="1"/>
      <c r="AB659" s="1"/>
      <c r="AC659" s="1"/>
    </row>
    <row r="660" spans="12:29" ht="15">
      <c r="L660" s="1"/>
      <c r="M660" s="1"/>
      <c r="N660" s="1"/>
      <c r="O660" s="1"/>
      <c r="P660" s="1"/>
      <c r="Q660" s="1"/>
      <c r="R660" s="1"/>
      <c r="S660" s="1"/>
      <c r="T660" s="1"/>
      <c r="U660" s="1"/>
      <c r="V660" s="1"/>
      <c r="W660" s="1"/>
      <c r="X660" s="1"/>
      <c r="Y660" s="1"/>
      <c r="Z660" s="1"/>
      <c r="AA660" s="1"/>
      <c r="AB660" s="1"/>
      <c r="AC660" s="1"/>
    </row>
    <row r="661" spans="12:29" ht="15">
      <c r="L661" s="1"/>
      <c r="M661" s="1"/>
      <c r="N661" s="1"/>
      <c r="O661" s="1"/>
      <c r="P661" s="1"/>
      <c r="Q661" s="1"/>
      <c r="R661" s="1"/>
      <c r="S661" s="1"/>
      <c r="T661" s="1"/>
      <c r="U661" s="1"/>
      <c r="V661" s="1"/>
      <c r="W661" s="1"/>
      <c r="X661" s="1"/>
      <c r="Y661" s="1"/>
      <c r="Z661" s="1"/>
      <c r="AA661" s="1"/>
      <c r="AB661" s="1"/>
      <c r="AC661" s="1"/>
    </row>
    <row r="662" spans="12:29" ht="15">
      <c r="L662" s="1"/>
      <c r="M662" s="1"/>
      <c r="N662" s="1"/>
      <c r="O662" s="1"/>
      <c r="P662" s="1"/>
      <c r="Q662" s="1"/>
      <c r="R662" s="1"/>
      <c r="S662" s="1"/>
      <c r="T662" s="1"/>
      <c r="U662" s="1"/>
      <c r="V662" s="1"/>
      <c r="W662" s="1"/>
      <c r="X662" s="1"/>
      <c r="Y662" s="1"/>
      <c r="Z662" s="1"/>
      <c r="AA662" s="1"/>
      <c r="AB662" s="1"/>
      <c r="AC662" s="1"/>
    </row>
    <row r="663" spans="12:29" ht="15">
      <c r="L663" s="1"/>
      <c r="M663" s="1"/>
      <c r="N663" s="1"/>
      <c r="O663" s="1"/>
      <c r="P663" s="1"/>
      <c r="Q663" s="1"/>
      <c r="R663" s="1"/>
      <c r="S663" s="1"/>
      <c r="T663" s="1"/>
      <c r="U663" s="1"/>
      <c r="V663" s="1"/>
      <c r="W663" s="1"/>
      <c r="X663" s="1"/>
      <c r="Y663" s="1"/>
      <c r="Z663" s="1"/>
      <c r="AA663" s="1"/>
      <c r="AB663" s="1"/>
      <c r="AC663" s="1"/>
    </row>
    <row r="664" spans="12:29" ht="15">
      <c r="L664" s="1"/>
      <c r="M664" s="1"/>
      <c r="N664" s="1"/>
      <c r="O664" s="1"/>
      <c r="P664" s="1"/>
      <c r="Q664" s="1"/>
      <c r="R664" s="1"/>
      <c r="S664" s="1"/>
      <c r="T664" s="1"/>
      <c r="U664" s="1"/>
      <c r="V664" s="1"/>
      <c r="W664" s="1"/>
      <c r="X664" s="1"/>
      <c r="Y664" s="1"/>
      <c r="Z664" s="1"/>
      <c r="AA664" s="1"/>
      <c r="AB664" s="1"/>
      <c r="AC664" s="1"/>
    </row>
    <row r="665" spans="12:29" ht="15">
      <c r="L665" s="1"/>
      <c r="M665" s="1"/>
      <c r="N665" s="1"/>
      <c r="O665" s="1"/>
      <c r="P665" s="1"/>
      <c r="Q665" s="1"/>
      <c r="R665" s="1"/>
      <c r="S665" s="1"/>
      <c r="T665" s="1"/>
      <c r="U665" s="1"/>
      <c r="V665" s="1"/>
      <c r="W665" s="1"/>
      <c r="X665" s="1"/>
      <c r="Y665" s="1"/>
      <c r="Z665" s="1"/>
      <c r="AA665" s="1"/>
      <c r="AB665" s="1"/>
      <c r="AC665" s="1"/>
    </row>
    <row r="666" spans="12:29" ht="15">
      <c r="L666" s="1"/>
      <c r="M666" s="1"/>
      <c r="N666" s="1"/>
      <c r="O666" s="1"/>
      <c r="P666" s="1"/>
      <c r="Q666" s="1"/>
      <c r="R666" s="1"/>
      <c r="S666" s="1"/>
      <c r="T666" s="1"/>
      <c r="U666" s="1"/>
      <c r="V666" s="1"/>
      <c r="W666" s="1"/>
      <c r="X666" s="1"/>
      <c r="Y666" s="1"/>
      <c r="Z666" s="1"/>
      <c r="AA666" s="1"/>
      <c r="AB666" s="1"/>
      <c r="AC666" s="1"/>
    </row>
    <row r="667" spans="12:29" ht="15">
      <c r="L667" s="1"/>
      <c r="M667" s="1"/>
      <c r="N667" s="1"/>
      <c r="O667" s="1"/>
      <c r="P667" s="1"/>
      <c r="Q667" s="1"/>
      <c r="R667" s="1"/>
      <c r="S667" s="1"/>
      <c r="T667" s="1"/>
      <c r="U667" s="1"/>
      <c r="V667" s="1"/>
      <c r="W667" s="1"/>
      <c r="X667" s="1"/>
      <c r="Y667" s="1"/>
      <c r="Z667" s="1"/>
      <c r="AA667" s="1"/>
      <c r="AB667" s="1"/>
      <c r="AC667" s="1"/>
    </row>
    <row r="668" spans="12:29" ht="15">
      <c r="L668" s="1"/>
      <c r="M668" s="1"/>
      <c r="N668" s="1"/>
      <c r="O668" s="1"/>
      <c r="P668" s="1"/>
      <c r="Q668" s="1"/>
      <c r="R668" s="1"/>
      <c r="S668" s="1"/>
      <c r="T668" s="1"/>
      <c r="U668" s="1"/>
      <c r="V668" s="1"/>
      <c r="W668" s="1"/>
      <c r="X668" s="1"/>
      <c r="Y668" s="1"/>
      <c r="Z668" s="1"/>
      <c r="AA668" s="1"/>
      <c r="AB668" s="1"/>
      <c r="AC668" s="1"/>
    </row>
    <row r="669" spans="12:29" ht="15">
      <c r="L669" s="1"/>
      <c r="M669" s="1"/>
      <c r="N669" s="1"/>
      <c r="O669" s="1"/>
      <c r="P669" s="1"/>
      <c r="Q669" s="1"/>
      <c r="R669" s="1"/>
      <c r="S669" s="1"/>
      <c r="T669" s="1"/>
      <c r="U669" s="1"/>
      <c r="V669" s="1"/>
      <c r="W669" s="1"/>
      <c r="X669" s="1"/>
      <c r="Y669" s="1"/>
      <c r="Z669" s="1"/>
      <c r="AA669" s="1"/>
      <c r="AB669" s="1"/>
      <c r="AC669" s="1"/>
    </row>
    <row r="670" spans="12:29" ht="15">
      <c r="L670" s="1"/>
      <c r="M670" s="1"/>
      <c r="N670" s="1"/>
      <c r="O670" s="1"/>
      <c r="P670" s="1"/>
      <c r="Q670" s="1"/>
      <c r="R670" s="1"/>
      <c r="S670" s="1"/>
      <c r="T670" s="1"/>
      <c r="U670" s="1"/>
      <c r="V670" s="1"/>
      <c r="W670" s="1"/>
      <c r="X670" s="1"/>
      <c r="Y670" s="1"/>
      <c r="Z670" s="1"/>
      <c r="AA670" s="1"/>
      <c r="AB670" s="1"/>
      <c r="AC670" s="1"/>
    </row>
    <row r="671" spans="12:29" ht="15">
      <c r="L671" s="1"/>
      <c r="M671" s="1"/>
      <c r="N671" s="1"/>
      <c r="O671" s="1"/>
      <c r="P671" s="1"/>
      <c r="Q671" s="1"/>
      <c r="R671" s="1"/>
      <c r="S671" s="1"/>
      <c r="T671" s="1"/>
      <c r="U671" s="1"/>
      <c r="V671" s="1"/>
      <c r="W671" s="1"/>
      <c r="X671" s="1"/>
      <c r="Y671" s="1"/>
      <c r="Z671" s="1"/>
      <c r="AA671" s="1"/>
      <c r="AB671" s="1"/>
      <c r="AC671" s="1"/>
    </row>
    <row r="672" spans="12:29" ht="15">
      <c r="L672" s="1"/>
      <c r="M672" s="1"/>
      <c r="N672" s="1"/>
      <c r="O672" s="1"/>
      <c r="P672" s="1"/>
      <c r="Q672" s="1"/>
      <c r="R672" s="1"/>
      <c r="S672" s="1"/>
      <c r="T672" s="1"/>
      <c r="U672" s="1"/>
      <c r="V672" s="1"/>
      <c r="W672" s="1"/>
      <c r="X672" s="1"/>
      <c r="Y672" s="1"/>
      <c r="Z672" s="1"/>
      <c r="AA672" s="1"/>
      <c r="AB672" s="1"/>
      <c r="AC672" s="1"/>
    </row>
    <row r="673" spans="12:29" ht="15">
      <c r="L673" s="1"/>
      <c r="M673" s="1"/>
      <c r="N673" s="1"/>
      <c r="O673" s="1"/>
      <c r="P673" s="1"/>
      <c r="Q673" s="1"/>
      <c r="R673" s="1"/>
      <c r="S673" s="1"/>
      <c r="T673" s="1"/>
      <c r="U673" s="1"/>
      <c r="V673" s="1"/>
      <c r="W673" s="1"/>
      <c r="X673" s="1"/>
      <c r="Y673" s="1"/>
      <c r="Z673" s="1"/>
      <c r="AA673" s="1"/>
      <c r="AB673" s="1"/>
      <c r="AC673" s="1"/>
    </row>
    <row r="674" spans="12:29" ht="15">
      <c r="L674" s="1"/>
      <c r="M674" s="1"/>
      <c r="N674" s="1"/>
      <c r="O674" s="1"/>
      <c r="P674" s="1"/>
      <c r="Q674" s="1"/>
      <c r="R674" s="1"/>
      <c r="S674" s="1"/>
      <c r="T674" s="1"/>
      <c r="U674" s="1"/>
      <c r="V674" s="1"/>
      <c r="W674" s="1"/>
      <c r="X674" s="1"/>
      <c r="Y674" s="1"/>
      <c r="Z674" s="1"/>
      <c r="AA674" s="1"/>
      <c r="AB674" s="1"/>
      <c r="AC674" s="1"/>
    </row>
    <row r="675" spans="12:29" ht="15">
      <c r="L675" s="1"/>
      <c r="M675" s="1"/>
      <c r="N675" s="1"/>
      <c r="O675" s="1"/>
      <c r="P675" s="1"/>
      <c r="Q675" s="1"/>
      <c r="R675" s="1"/>
      <c r="S675" s="1"/>
      <c r="T675" s="1"/>
      <c r="U675" s="1"/>
      <c r="V675" s="1"/>
      <c r="W675" s="1"/>
      <c r="X675" s="1"/>
      <c r="Y675" s="1"/>
      <c r="Z675" s="1"/>
      <c r="AA675" s="1"/>
      <c r="AB675" s="1"/>
      <c r="AC675" s="1"/>
    </row>
    <row r="676" spans="12:29" ht="15">
      <c r="L676" s="1"/>
      <c r="M676" s="1"/>
      <c r="N676" s="1"/>
      <c r="O676" s="1"/>
      <c r="P676" s="1"/>
      <c r="Q676" s="1"/>
      <c r="R676" s="1"/>
      <c r="S676" s="1"/>
      <c r="T676" s="1"/>
      <c r="U676" s="1"/>
      <c r="V676" s="1"/>
      <c r="W676" s="1"/>
      <c r="X676" s="1"/>
      <c r="Y676" s="1"/>
      <c r="Z676" s="1"/>
      <c r="AA676" s="1"/>
      <c r="AB676" s="1"/>
      <c r="AC676" s="1"/>
    </row>
    <row r="677" spans="12:29" ht="15">
      <c r="L677" s="1"/>
      <c r="M677" s="1"/>
      <c r="N677" s="1"/>
      <c r="O677" s="1"/>
      <c r="P677" s="1"/>
      <c r="Q677" s="1"/>
      <c r="R677" s="1"/>
      <c r="S677" s="1"/>
      <c r="T677" s="1"/>
      <c r="U677" s="1"/>
      <c r="V677" s="1"/>
      <c r="W677" s="1"/>
      <c r="X677" s="1"/>
      <c r="Y677" s="1"/>
      <c r="Z677" s="1"/>
      <c r="AA677" s="1"/>
      <c r="AB677" s="1"/>
      <c r="AC677" s="1"/>
    </row>
    <row r="678" spans="12:29" ht="15">
      <c r="L678" s="1"/>
      <c r="M678" s="1"/>
      <c r="N678" s="1"/>
      <c r="O678" s="1"/>
      <c r="P678" s="1"/>
      <c r="Q678" s="1"/>
      <c r="R678" s="1"/>
      <c r="S678" s="1"/>
      <c r="T678" s="1"/>
      <c r="U678" s="1"/>
      <c r="V678" s="1"/>
      <c r="W678" s="1"/>
      <c r="X678" s="1"/>
      <c r="Y678" s="1"/>
      <c r="Z678" s="1"/>
      <c r="AA678" s="1"/>
      <c r="AB678" s="1"/>
      <c r="AC678" s="1"/>
    </row>
    <row r="679" spans="12:29" ht="15">
      <c r="L679" s="1"/>
      <c r="M679" s="1"/>
      <c r="N679" s="1"/>
      <c r="O679" s="1"/>
      <c r="P679" s="1"/>
      <c r="Q679" s="1"/>
      <c r="R679" s="1"/>
      <c r="S679" s="1"/>
      <c r="T679" s="1"/>
      <c r="U679" s="1"/>
      <c r="V679" s="1"/>
      <c r="W679" s="1"/>
      <c r="X679" s="1"/>
      <c r="Y679" s="1"/>
      <c r="Z679" s="1"/>
      <c r="AA679" s="1"/>
      <c r="AB679" s="1"/>
      <c r="AC679" s="1"/>
    </row>
    <row r="680" spans="12:29" ht="15">
      <c r="L680" s="1"/>
      <c r="M680" s="1"/>
      <c r="N680" s="1"/>
      <c r="O680" s="1"/>
      <c r="P680" s="1"/>
      <c r="Q680" s="1"/>
      <c r="R680" s="1"/>
      <c r="S680" s="1"/>
      <c r="T680" s="1"/>
      <c r="U680" s="1"/>
      <c r="V680" s="1"/>
      <c r="W680" s="1"/>
      <c r="X680" s="1"/>
      <c r="Y680" s="1"/>
      <c r="Z680" s="1"/>
      <c r="AA680" s="1"/>
      <c r="AB680" s="1"/>
      <c r="AC680" s="1"/>
    </row>
    <row r="681" spans="12:29" ht="15">
      <c r="L681" s="1"/>
      <c r="M681" s="1"/>
      <c r="N681" s="1"/>
      <c r="O681" s="1"/>
      <c r="P681" s="1"/>
      <c r="Q681" s="1"/>
      <c r="R681" s="1"/>
      <c r="S681" s="1"/>
      <c r="T681" s="1"/>
      <c r="U681" s="1"/>
      <c r="V681" s="1"/>
      <c r="W681" s="1"/>
      <c r="X681" s="1"/>
      <c r="Y681" s="1"/>
      <c r="Z681" s="1"/>
      <c r="AA681" s="1"/>
      <c r="AB681" s="1"/>
      <c r="AC681" s="1"/>
    </row>
    <row r="682" spans="12:29" ht="15">
      <c r="L682" s="1"/>
      <c r="M682" s="1"/>
      <c r="N682" s="1"/>
      <c r="O682" s="1"/>
      <c r="P682" s="1"/>
      <c r="Q682" s="1"/>
      <c r="R682" s="1"/>
      <c r="S682" s="1"/>
      <c r="T682" s="1"/>
      <c r="U682" s="1"/>
      <c r="V682" s="1"/>
      <c r="W682" s="1"/>
      <c r="X682" s="1"/>
      <c r="Y682" s="1"/>
      <c r="Z682" s="1"/>
      <c r="AA682" s="1"/>
      <c r="AB682" s="1"/>
      <c r="AC682" s="1"/>
    </row>
    <row r="683" spans="12:29" ht="15">
      <c r="L683" s="1"/>
      <c r="M683" s="1"/>
      <c r="N683" s="1"/>
      <c r="O683" s="1"/>
      <c r="P683" s="1"/>
      <c r="Q683" s="1"/>
      <c r="R683" s="1"/>
      <c r="S683" s="1"/>
      <c r="T683" s="1"/>
      <c r="U683" s="1"/>
      <c r="V683" s="1"/>
      <c r="W683" s="1"/>
      <c r="X683" s="1"/>
      <c r="Y683" s="1"/>
      <c r="Z683" s="1"/>
      <c r="AA683" s="1"/>
      <c r="AB683" s="1"/>
      <c r="AC683" s="1"/>
    </row>
    <row r="684" spans="12:29" ht="15">
      <c r="L684" s="1"/>
      <c r="M684" s="1"/>
      <c r="N684" s="1"/>
      <c r="O684" s="1"/>
      <c r="P684" s="1"/>
      <c r="Q684" s="1"/>
      <c r="R684" s="1"/>
      <c r="S684" s="1"/>
      <c r="T684" s="1"/>
      <c r="U684" s="1"/>
      <c r="V684" s="1"/>
      <c r="W684" s="1"/>
      <c r="X684" s="1"/>
      <c r="Y684" s="1"/>
      <c r="Z684" s="1"/>
      <c r="AA684" s="1"/>
      <c r="AB684" s="1"/>
      <c r="AC684" s="1"/>
    </row>
    <row r="685" spans="12:29" ht="15">
      <c r="L685" s="1"/>
      <c r="M685" s="1"/>
      <c r="N685" s="1"/>
      <c r="O685" s="1"/>
      <c r="P685" s="1"/>
      <c r="Q685" s="1"/>
      <c r="R685" s="1"/>
      <c r="S685" s="1"/>
      <c r="T685" s="1"/>
      <c r="U685" s="1"/>
      <c r="V685" s="1"/>
      <c r="W685" s="1"/>
      <c r="X685" s="1"/>
      <c r="Y685" s="1"/>
      <c r="Z685" s="1"/>
      <c r="AA685" s="1"/>
      <c r="AB685" s="1"/>
      <c r="AC685" s="1"/>
    </row>
    <row r="686" spans="12:29" ht="15">
      <c r="L686" s="1"/>
      <c r="M686" s="1"/>
      <c r="N686" s="1"/>
      <c r="O686" s="1"/>
      <c r="P686" s="1"/>
      <c r="Q686" s="1"/>
      <c r="R686" s="1"/>
      <c r="S686" s="1"/>
      <c r="T686" s="1"/>
      <c r="U686" s="1"/>
      <c r="V686" s="1"/>
      <c r="W686" s="1"/>
      <c r="X686" s="1"/>
      <c r="Y686" s="1"/>
      <c r="Z686" s="1"/>
      <c r="AA686" s="1"/>
      <c r="AB686" s="1"/>
      <c r="AC686" s="1"/>
    </row>
    <row r="687" spans="12:29" ht="15">
      <c r="L687" s="1"/>
      <c r="M687" s="1"/>
      <c r="N687" s="1"/>
      <c r="O687" s="1"/>
      <c r="P687" s="1"/>
      <c r="Q687" s="1"/>
      <c r="R687" s="1"/>
      <c r="S687" s="1"/>
      <c r="T687" s="1"/>
      <c r="U687" s="1"/>
      <c r="V687" s="1"/>
      <c r="W687" s="1"/>
      <c r="X687" s="1"/>
      <c r="Y687" s="1"/>
      <c r="Z687" s="1"/>
      <c r="AA687" s="1"/>
      <c r="AB687" s="1"/>
      <c r="AC687" s="1"/>
    </row>
    <row r="688" spans="12:29" ht="15">
      <c r="L688" s="1"/>
      <c r="M688" s="1"/>
      <c r="N688" s="1"/>
      <c r="O688" s="1"/>
      <c r="P688" s="1"/>
      <c r="Q688" s="1"/>
      <c r="R688" s="1"/>
      <c r="S688" s="1"/>
      <c r="T688" s="1"/>
      <c r="U688" s="1"/>
      <c r="V688" s="1"/>
      <c r="W688" s="1"/>
      <c r="X688" s="1"/>
      <c r="Y688" s="1"/>
      <c r="Z688" s="1"/>
      <c r="AA688" s="1"/>
      <c r="AB688" s="1"/>
      <c r="AC688" s="1"/>
    </row>
    <row r="689" spans="12:29" ht="15">
      <c r="L689" s="1"/>
      <c r="M689" s="1"/>
      <c r="N689" s="1"/>
      <c r="O689" s="1"/>
      <c r="P689" s="1"/>
      <c r="Q689" s="1"/>
      <c r="R689" s="1"/>
      <c r="S689" s="1"/>
      <c r="T689" s="1"/>
      <c r="U689" s="1"/>
      <c r="V689" s="1"/>
      <c r="W689" s="1"/>
      <c r="X689" s="1"/>
      <c r="Y689" s="1"/>
      <c r="Z689" s="1"/>
      <c r="AA689" s="1"/>
      <c r="AB689" s="1"/>
      <c r="AC689" s="1"/>
    </row>
    <row r="690" spans="12:29" ht="15">
      <c r="L690" s="1"/>
      <c r="M690" s="1"/>
      <c r="N690" s="1"/>
      <c r="O690" s="1"/>
      <c r="P690" s="1"/>
      <c r="Q690" s="1"/>
      <c r="R690" s="1"/>
      <c r="S690" s="1"/>
      <c r="T690" s="1"/>
      <c r="U690" s="1"/>
      <c r="V690" s="1"/>
      <c r="W690" s="1"/>
      <c r="X690" s="1"/>
      <c r="Y690" s="1"/>
      <c r="Z690" s="1"/>
      <c r="AA690" s="1"/>
      <c r="AB690" s="1"/>
      <c r="AC690" s="1"/>
    </row>
    <row r="691" spans="12:29" ht="15">
      <c r="L691" s="1"/>
      <c r="M691" s="1"/>
      <c r="N691" s="1"/>
      <c r="O691" s="1"/>
      <c r="P691" s="1"/>
      <c r="Q691" s="1"/>
      <c r="R691" s="1"/>
      <c r="S691" s="1"/>
      <c r="T691" s="1"/>
      <c r="U691" s="1"/>
      <c r="V691" s="1"/>
      <c r="W691" s="1"/>
      <c r="X691" s="1"/>
      <c r="Y691" s="1"/>
      <c r="Z691" s="1"/>
      <c r="AA691" s="1"/>
      <c r="AB691" s="1"/>
      <c r="AC691" s="1"/>
    </row>
    <row r="692" spans="12:29" ht="15">
      <c r="L692" s="1"/>
      <c r="M692" s="1"/>
      <c r="N692" s="1"/>
      <c r="O692" s="1"/>
      <c r="P692" s="1"/>
      <c r="Q692" s="1"/>
      <c r="R692" s="1"/>
      <c r="S692" s="1"/>
      <c r="T692" s="1"/>
      <c r="U692" s="1"/>
      <c r="V692" s="1"/>
      <c r="W692" s="1"/>
      <c r="X692" s="1"/>
      <c r="Y692" s="1"/>
      <c r="Z692" s="1"/>
      <c r="AA692" s="1"/>
      <c r="AB692" s="1"/>
      <c r="AC692" s="1"/>
    </row>
    <row r="693" spans="12:29" ht="15">
      <c r="L693" s="1"/>
      <c r="M693" s="1"/>
      <c r="N693" s="1"/>
      <c r="O693" s="1"/>
      <c r="P693" s="1"/>
      <c r="Q693" s="1"/>
      <c r="R693" s="1"/>
      <c r="S693" s="1"/>
      <c r="T693" s="1"/>
      <c r="U693" s="1"/>
      <c r="V693" s="1"/>
      <c r="W693" s="1"/>
      <c r="X693" s="1"/>
      <c r="Y693" s="1"/>
      <c r="Z693" s="1"/>
      <c r="AA693" s="1"/>
      <c r="AB693" s="1"/>
      <c r="AC693" s="1"/>
    </row>
    <row r="694" spans="12:29" ht="15">
      <c r="L694" s="1"/>
      <c r="M694" s="1"/>
      <c r="N694" s="1"/>
      <c r="O694" s="1"/>
      <c r="P694" s="1"/>
      <c r="Q694" s="1"/>
      <c r="R694" s="1"/>
      <c r="S694" s="1"/>
      <c r="T694" s="1"/>
      <c r="U694" s="1"/>
      <c r="V694" s="1"/>
      <c r="W694" s="1"/>
      <c r="X694" s="1"/>
      <c r="Y694" s="1"/>
      <c r="Z694" s="1"/>
      <c r="AA694" s="1"/>
      <c r="AB694" s="1"/>
      <c r="AC694" s="1"/>
    </row>
    <row r="695" spans="12:29" ht="15">
      <c r="L695" s="1"/>
      <c r="M695" s="1"/>
      <c r="N695" s="1"/>
      <c r="O695" s="1"/>
      <c r="P695" s="1"/>
      <c r="Q695" s="1"/>
      <c r="R695" s="1"/>
      <c r="S695" s="1"/>
      <c r="T695" s="1"/>
      <c r="U695" s="1"/>
      <c r="V695" s="1"/>
      <c r="W695" s="1"/>
      <c r="X695" s="1"/>
      <c r="Y695" s="1"/>
      <c r="Z695" s="1"/>
      <c r="AA695" s="1"/>
      <c r="AB695" s="1"/>
      <c r="AC695" s="1"/>
    </row>
    <row r="696" spans="12:29" ht="15">
      <c r="L696" s="1"/>
      <c r="M696" s="1"/>
      <c r="N696" s="1"/>
      <c r="O696" s="1"/>
      <c r="P696" s="1"/>
      <c r="Q696" s="1"/>
      <c r="R696" s="1"/>
      <c r="S696" s="1"/>
      <c r="T696" s="1"/>
      <c r="U696" s="1"/>
      <c r="V696" s="1"/>
      <c r="W696" s="1"/>
      <c r="X696" s="1"/>
      <c r="Y696" s="1"/>
      <c r="Z696" s="1"/>
      <c r="AA696" s="1"/>
      <c r="AB696" s="1"/>
      <c r="AC696" s="1"/>
    </row>
    <row r="697" spans="12:29" ht="15">
      <c r="L697" s="1"/>
      <c r="M697" s="1"/>
      <c r="N697" s="1"/>
      <c r="O697" s="1"/>
      <c r="P697" s="1"/>
      <c r="Q697" s="1"/>
      <c r="R697" s="1"/>
      <c r="S697" s="1"/>
      <c r="T697" s="1"/>
      <c r="U697" s="1"/>
      <c r="V697" s="1"/>
      <c r="W697" s="1"/>
      <c r="X697" s="1"/>
      <c r="Y697" s="1"/>
      <c r="Z697" s="1"/>
      <c r="AA697" s="1"/>
      <c r="AB697" s="1"/>
      <c r="AC697" s="1"/>
    </row>
    <row r="698" spans="12:29" ht="15">
      <c r="L698" s="1"/>
      <c r="M698" s="1"/>
      <c r="N698" s="1"/>
      <c r="O698" s="1"/>
      <c r="P698" s="1"/>
      <c r="Q698" s="1"/>
      <c r="R698" s="1"/>
      <c r="S698" s="1"/>
      <c r="T698" s="1"/>
      <c r="U698" s="1"/>
      <c r="V698" s="1"/>
      <c r="W698" s="1"/>
      <c r="X698" s="1"/>
      <c r="Y698" s="1"/>
      <c r="Z698" s="1"/>
      <c r="AA698" s="1"/>
      <c r="AB698" s="1"/>
      <c r="AC698" s="1"/>
    </row>
    <row r="699" spans="12:29" ht="15">
      <c r="L699" s="1"/>
      <c r="M699" s="1"/>
      <c r="N699" s="1"/>
      <c r="O699" s="1"/>
      <c r="P699" s="1"/>
      <c r="Q699" s="1"/>
      <c r="R699" s="1"/>
      <c r="S699" s="1"/>
      <c r="T699" s="1"/>
      <c r="U699" s="1"/>
      <c r="V699" s="1"/>
      <c r="W699" s="1"/>
      <c r="X699" s="1"/>
      <c r="Y699" s="1"/>
      <c r="Z699" s="1"/>
      <c r="AA699" s="1"/>
      <c r="AB699" s="1"/>
      <c r="AC699" s="1"/>
    </row>
    <row r="700" spans="12:29" ht="15">
      <c r="L700" s="1"/>
      <c r="M700" s="1"/>
      <c r="N700" s="1"/>
      <c r="O700" s="1"/>
      <c r="P700" s="1"/>
      <c r="Q700" s="1"/>
      <c r="R700" s="1"/>
      <c r="S700" s="1"/>
      <c r="T700" s="1"/>
      <c r="U700" s="1"/>
      <c r="V700" s="1"/>
      <c r="W700" s="1"/>
      <c r="X700" s="1"/>
      <c r="Y700" s="1"/>
      <c r="Z700" s="1"/>
      <c r="AA700" s="1"/>
      <c r="AB700" s="1"/>
      <c r="AC700" s="1"/>
    </row>
    <row r="701" spans="12:29" ht="15">
      <c r="L701" s="1"/>
      <c r="M701" s="1"/>
      <c r="N701" s="1"/>
      <c r="O701" s="1"/>
      <c r="P701" s="1"/>
      <c r="Q701" s="1"/>
      <c r="R701" s="1"/>
      <c r="S701" s="1"/>
      <c r="T701" s="1"/>
      <c r="U701" s="1"/>
      <c r="V701" s="1"/>
      <c r="W701" s="1"/>
      <c r="X701" s="1"/>
      <c r="Y701" s="1"/>
      <c r="Z701" s="1"/>
      <c r="AA701" s="1"/>
      <c r="AB701" s="1"/>
      <c r="AC701" s="1"/>
    </row>
    <row r="702" spans="12:29" ht="15">
      <c r="L702" s="1"/>
      <c r="M702" s="1"/>
      <c r="N702" s="1"/>
      <c r="O702" s="1"/>
      <c r="P702" s="1"/>
      <c r="Q702" s="1"/>
      <c r="R702" s="1"/>
      <c r="S702" s="1"/>
      <c r="T702" s="1"/>
      <c r="U702" s="1"/>
      <c r="V702" s="1"/>
      <c r="W702" s="1"/>
      <c r="X702" s="1"/>
      <c r="Y702" s="1"/>
      <c r="Z702" s="1"/>
      <c r="AA702" s="1"/>
      <c r="AB702" s="1"/>
      <c r="AC702" s="1"/>
    </row>
    <row r="703" spans="12:29" ht="15">
      <c r="L703" s="1"/>
      <c r="M703" s="1"/>
      <c r="N703" s="1"/>
      <c r="O703" s="1"/>
      <c r="P703" s="1"/>
      <c r="Q703" s="1"/>
      <c r="R703" s="1"/>
      <c r="S703" s="1"/>
      <c r="T703" s="1"/>
      <c r="U703" s="1"/>
      <c r="V703" s="1"/>
      <c r="W703" s="1"/>
      <c r="X703" s="1"/>
      <c r="Y703" s="1"/>
      <c r="Z703" s="1"/>
      <c r="AA703" s="1"/>
      <c r="AB703" s="1"/>
      <c r="AC703" s="1"/>
    </row>
    <row r="704" spans="12:29" ht="15">
      <c r="L704" s="1"/>
      <c r="M704" s="1"/>
      <c r="N704" s="1"/>
      <c r="O704" s="1"/>
      <c r="P704" s="1"/>
      <c r="Q704" s="1"/>
      <c r="R704" s="1"/>
      <c r="S704" s="1"/>
      <c r="T704" s="1"/>
      <c r="U704" s="1"/>
      <c r="V704" s="1"/>
      <c r="W704" s="1"/>
      <c r="X704" s="1"/>
      <c r="Y704" s="1"/>
      <c r="Z704" s="1"/>
      <c r="AA704" s="1"/>
      <c r="AB704" s="1"/>
      <c r="AC704" s="1"/>
    </row>
    <row r="705" spans="12:29" ht="15">
      <c r="L705" s="1"/>
      <c r="M705" s="1"/>
      <c r="N705" s="1"/>
      <c r="O705" s="1"/>
      <c r="P705" s="1"/>
      <c r="Q705" s="1"/>
      <c r="R705" s="1"/>
      <c r="S705" s="1"/>
      <c r="T705" s="1"/>
      <c r="U705" s="1"/>
      <c r="V705" s="1"/>
      <c r="W705" s="1"/>
      <c r="X705" s="1"/>
      <c r="Y705" s="1"/>
      <c r="Z705" s="1"/>
      <c r="AA705" s="1"/>
      <c r="AB705" s="1"/>
      <c r="AC705" s="1"/>
    </row>
    <row r="706" spans="12:29" ht="15">
      <c r="L706" s="1"/>
      <c r="M706" s="1"/>
      <c r="N706" s="1"/>
      <c r="O706" s="1"/>
      <c r="P706" s="1"/>
      <c r="Q706" s="1"/>
      <c r="R706" s="1"/>
      <c r="S706" s="1"/>
      <c r="T706" s="1"/>
      <c r="U706" s="1"/>
      <c r="V706" s="1"/>
      <c r="W706" s="1"/>
      <c r="X706" s="1"/>
      <c r="Y706" s="1"/>
      <c r="Z706" s="1"/>
      <c r="AA706" s="1"/>
      <c r="AB706" s="1"/>
      <c r="AC706" s="1"/>
    </row>
    <row r="707" spans="12:29" ht="15">
      <c r="L707" s="1"/>
      <c r="M707" s="1"/>
      <c r="N707" s="1"/>
      <c r="O707" s="1"/>
      <c r="P707" s="1"/>
      <c r="Q707" s="1"/>
      <c r="R707" s="1"/>
      <c r="S707" s="1"/>
      <c r="T707" s="1"/>
      <c r="U707" s="1"/>
      <c r="V707" s="1"/>
      <c r="W707" s="1"/>
      <c r="X707" s="1"/>
      <c r="Y707" s="1"/>
      <c r="Z707" s="1"/>
      <c r="AA707" s="1"/>
      <c r="AB707" s="1"/>
      <c r="AC707" s="1"/>
    </row>
    <row r="708" spans="12:29" ht="15">
      <c r="L708" s="1"/>
      <c r="M708" s="1"/>
      <c r="N708" s="1"/>
      <c r="O708" s="1"/>
      <c r="P708" s="1"/>
      <c r="Q708" s="1"/>
      <c r="R708" s="1"/>
      <c r="S708" s="1"/>
      <c r="T708" s="1"/>
      <c r="U708" s="1"/>
      <c r="V708" s="1"/>
      <c r="W708" s="1"/>
      <c r="X708" s="1"/>
      <c r="Y708" s="1"/>
      <c r="Z708" s="1"/>
      <c r="AA708" s="1"/>
      <c r="AB708" s="1"/>
      <c r="AC708" s="1"/>
    </row>
    <row r="709" spans="12:29" ht="15">
      <c r="L709" s="1"/>
      <c r="M709" s="1"/>
      <c r="N709" s="1"/>
      <c r="O709" s="1"/>
      <c r="P709" s="1"/>
      <c r="Q709" s="1"/>
      <c r="R709" s="1"/>
      <c r="S709" s="1"/>
      <c r="T709" s="1"/>
      <c r="U709" s="1"/>
      <c r="V709" s="1"/>
      <c r="W709" s="1"/>
      <c r="X709" s="1"/>
      <c r="Y709" s="1"/>
      <c r="Z709" s="1"/>
      <c r="AA709" s="1"/>
      <c r="AB709" s="1"/>
      <c r="AC709" s="1"/>
    </row>
    <row r="710" spans="12:29" ht="15">
      <c r="L710" s="1"/>
      <c r="M710" s="1"/>
      <c r="N710" s="1"/>
      <c r="O710" s="1"/>
      <c r="P710" s="1"/>
      <c r="Q710" s="1"/>
      <c r="R710" s="1"/>
      <c r="S710" s="1"/>
      <c r="T710" s="1"/>
      <c r="U710" s="1"/>
      <c r="V710" s="1"/>
      <c r="W710" s="1"/>
      <c r="X710" s="1"/>
      <c r="Y710" s="1"/>
      <c r="Z710" s="1"/>
      <c r="AA710" s="1"/>
      <c r="AB710" s="1"/>
      <c r="AC710" s="1"/>
    </row>
    <row r="711" spans="12:29" ht="15">
      <c r="L711" s="1"/>
      <c r="M711" s="1"/>
      <c r="N711" s="1"/>
      <c r="O711" s="1"/>
      <c r="P711" s="1"/>
      <c r="Q711" s="1"/>
      <c r="R711" s="1"/>
      <c r="S711" s="1"/>
      <c r="T711" s="1"/>
      <c r="U711" s="1"/>
      <c r="V711" s="1"/>
      <c r="W711" s="1"/>
      <c r="X711" s="1"/>
      <c r="Y711" s="1"/>
      <c r="Z711" s="1"/>
      <c r="AA711" s="1"/>
      <c r="AB711" s="1"/>
      <c r="AC711" s="1"/>
    </row>
    <row r="712" spans="12:29" ht="15">
      <c r="L712" s="1"/>
      <c r="M712" s="1"/>
      <c r="N712" s="1"/>
      <c r="O712" s="1"/>
      <c r="P712" s="1"/>
      <c r="Q712" s="1"/>
      <c r="R712" s="1"/>
      <c r="S712" s="1"/>
      <c r="T712" s="1"/>
      <c r="U712" s="1"/>
      <c r="V712" s="1"/>
      <c r="W712" s="1"/>
      <c r="X712" s="1"/>
      <c r="Y712" s="1"/>
      <c r="Z712" s="1"/>
      <c r="AA712" s="1"/>
      <c r="AB712" s="1"/>
      <c r="AC712" s="1"/>
    </row>
    <row r="713" spans="12:29" ht="15">
      <c r="L713" s="1"/>
      <c r="M713" s="1"/>
      <c r="N713" s="1"/>
      <c r="O713" s="1"/>
      <c r="P713" s="1"/>
      <c r="Q713" s="1"/>
      <c r="R713" s="1"/>
      <c r="S713" s="1"/>
      <c r="T713" s="1"/>
      <c r="U713" s="1"/>
      <c r="V713" s="1"/>
      <c r="W713" s="1"/>
      <c r="X713" s="1"/>
      <c r="Y713" s="1"/>
      <c r="Z713" s="1"/>
      <c r="AA713" s="1"/>
      <c r="AB713" s="1"/>
      <c r="AC713" s="1"/>
    </row>
    <row r="714" spans="12:29" ht="15">
      <c r="L714" s="1"/>
      <c r="M714" s="1"/>
      <c r="N714" s="1"/>
      <c r="O714" s="1"/>
      <c r="P714" s="1"/>
      <c r="Q714" s="1"/>
      <c r="R714" s="1"/>
      <c r="S714" s="1"/>
      <c r="T714" s="1"/>
      <c r="U714" s="1"/>
      <c r="V714" s="1"/>
      <c r="W714" s="1"/>
      <c r="X714" s="1"/>
      <c r="Y714" s="1"/>
      <c r="Z714" s="1"/>
      <c r="AA714" s="1"/>
      <c r="AB714" s="1"/>
      <c r="AC714" s="1"/>
    </row>
    <row r="715" spans="12:29" ht="15">
      <c r="L715" s="1"/>
      <c r="M715" s="1"/>
      <c r="N715" s="1"/>
      <c r="O715" s="1"/>
      <c r="P715" s="1"/>
      <c r="Q715" s="1"/>
      <c r="R715" s="1"/>
      <c r="S715" s="1"/>
      <c r="T715" s="1"/>
      <c r="U715" s="1"/>
      <c r="V715" s="1"/>
      <c r="W715" s="1"/>
      <c r="X715" s="1"/>
      <c r="Y715" s="1"/>
      <c r="Z715" s="1"/>
      <c r="AA715" s="1"/>
      <c r="AB715" s="1"/>
      <c r="AC715" s="1"/>
    </row>
    <row r="716" spans="12:29" ht="15">
      <c r="L716" s="1"/>
      <c r="M716" s="1"/>
      <c r="N716" s="1"/>
      <c r="O716" s="1"/>
      <c r="P716" s="1"/>
      <c r="Q716" s="1"/>
      <c r="R716" s="1"/>
      <c r="S716" s="1"/>
      <c r="T716" s="1"/>
      <c r="U716" s="1"/>
      <c r="V716" s="1"/>
      <c r="W716" s="1"/>
      <c r="X716" s="1"/>
      <c r="Y716" s="1"/>
      <c r="Z716" s="1"/>
      <c r="AA716" s="1"/>
      <c r="AB716" s="1"/>
      <c r="AC716" s="1"/>
    </row>
    <row r="717" spans="12:29" ht="15">
      <c r="L717" s="1"/>
      <c r="M717" s="1"/>
      <c r="N717" s="1"/>
      <c r="O717" s="1"/>
      <c r="P717" s="1"/>
      <c r="Q717" s="1"/>
      <c r="R717" s="1"/>
      <c r="S717" s="1"/>
      <c r="T717" s="1"/>
      <c r="U717" s="1"/>
      <c r="V717" s="1"/>
      <c r="W717" s="1"/>
      <c r="X717" s="1"/>
      <c r="Y717" s="1"/>
      <c r="Z717" s="1"/>
      <c r="AA717" s="1"/>
      <c r="AB717" s="1"/>
      <c r="AC717" s="1"/>
    </row>
    <row r="718" spans="12:29" ht="15">
      <c r="L718" s="1"/>
      <c r="M718" s="1"/>
      <c r="N718" s="1"/>
      <c r="O718" s="1"/>
      <c r="P718" s="1"/>
      <c r="Q718" s="1"/>
      <c r="R718" s="1"/>
      <c r="S718" s="1"/>
      <c r="T718" s="1"/>
      <c r="U718" s="1"/>
      <c r="V718" s="1"/>
      <c r="W718" s="1"/>
      <c r="X718" s="1"/>
      <c r="Y718" s="1"/>
      <c r="Z718" s="1"/>
      <c r="AA718" s="1"/>
      <c r="AB718" s="1"/>
      <c r="AC718" s="1"/>
    </row>
    <row r="719" spans="12:29" ht="15">
      <c r="L719" s="1"/>
      <c r="M719" s="1"/>
      <c r="N719" s="1"/>
      <c r="O719" s="1"/>
      <c r="P719" s="1"/>
      <c r="Q719" s="1"/>
      <c r="R719" s="1"/>
      <c r="S719" s="1"/>
      <c r="T719" s="1"/>
      <c r="U719" s="1"/>
      <c r="V719" s="1"/>
      <c r="W719" s="1"/>
      <c r="X719" s="1"/>
      <c r="Y719" s="1"/>
      <c r="Z719" s="1"/>
      <c r="AA719" s="1"/>
      <c r="AB719" s="1"/>
      <c r="AC719" s="1"/>
    </row>
    <row r="720" spans="12:29" ht="15">
      <c r="L720" s="1"/>
      <c r="M720" s="1"/>
      <c r="N720" s="1"/>
      <c r="O720" s="1"/>
      <c r="P720" s="1"/>
      <c r="Q720" s="1"/>
      <c r="R720" s="1"/>
      <c r="S720" s="1"/>
      <c r="T720" s="1"/>
      <c r="U720" s="1"/>
      <c r="V720" s="1"/>
      <c r="W720" s="1"/>
      <c r="X720" s="1"/>
      <c r="Y720" s="1"/>
      <c r="Z720" s="1"/>
      <c r="AA720" s="1"/>
      <c r="AB720" s="1"/>
      <c r="AC720" s="1"/>
    </row>
    <row r="721" spans="12:29" ht="15">
      <c r="L721" s="1"/>
      <c r="M721" s="1"/>
      <c r="N721" s="1"/>
      <c r="O721" s="1"/>
      <c r="P721" s="1"/>
      <c r="Q721" s="1"/>
      <c r="R721" s="1"/>
      <c r="S721" s="1"/>
      <c r="T721" s="1"/>
      <c r="U721" s="1"/>
      <c r="V721" s="1"/>
      <c r="W721" s="1"/>
      <c r="X721" s="1"/>
      <c r="Y721" s="1"/>
      <c r="Z721" s="1"/>
      <c r="AA721" s="1"/>
      <c r="AB721" s="1"/>
      <c r="AC721" s="1"/>
    </row>
    <row r="722" spans="12:29" ht="15">
      <c r="L722" s="1"/>
      <c r="M722" s="1"/>
      <c r="N722" s="1"/>
      <c r="O722" s="1"/>
      <c r="P722" s="1"/>
      <c r="Q722" s="1"/>
      <c r="R722" s="1"/>
      <c r="S722" s="1"/>
      <c r="T722" s="1"/>
      <c r="U722" s="1"/>
      <c r="V722" s="1"/>
      <c r="W722" s="1"/>
      <c r="X722" s="1"/>
      <c r="Y722" s="1"/>
      <c r="Z722" s="1"/>
      <c r="AA722" s="1"/>
      <c r="AB722" s="1"/>
      <c r="AC722" s="1"/>
    </row>
    <row r="723" spans="12:29" ht="15">
      <c r="L723" s="1"/>
      <c r="M723" s="1"/>
      <c r="N723" s="1"/>
      <c r="O723" s="1"/>
      <c r="P723" s="1"/>
      <c r="Q723" s="1"/>
      <c r="R723" s="1"/>
      <c r="S723" s="1"/>
      <c r="T723" s="1"/>
      <c r="U723" s="1"/>
      <c r="V723" s="1"/>
      <c r="W723" s="1"/>
      <c r="X723" s="1"/>
      <c r="Y723" s="1"/>
      <c r="Z723" s="1"/>
      <c r="AA723" s="1"/>
      <c r="AB723" s="1"/>
      <c r="AC723" s="1"/>
    </row>
    <row r="724" spans="12:29" ht="15">
      <c r="L724" s="1"/>
      <c r="M724" s="1"/>
      <c r="N724" s="1"/>
      <c r="O724" s="1"/>
      <c r="P724" s="1"/>
      <c r="Q724" s="1"/>
      <c r="R724" s="1"/>
      <c r="S724" s="1"/>
      <c r="T724" s="1"/>
      <c r="U724" s="1"/>
      <c r="V724" s="1"/>
      <c r="W724" s="1"/>
      <c r="X724" s="1"/>
      <c r="Y724" s="1"/>
      <c r="Z724" s="1"/>
      <c r="AA724" s="1"/>
      <c r="AB724" s="1"/>
      <c r="AC724" s="1"/>
    </row>
    <row r="725" spans="12:29" ht="15">
      <c r="L725" s="1"/>
      <c r="M725" s="1"/>
      <c r="N725" s="1"/>
      <c r="O725" s="1"/>
      <c r="P725" s="1"/>
      <c r="Q725" s="1"/>
      <c r="R725" s="1"/>
      <c r="S725" s="1"/>
      <c r="T725" s="1"/>
      <c r="U725" s="1"/>
      <c r="V725" s="1"/>
      <c r="W725" s="1"/>
      <c r="X725" s="1"/>
      <c r="Y725" s="1"/>
      <c r="Z725" s="1"/>
      <c r="AA725" s="1"/>
      <c r="AB725" s="1"/>
      <c r="AC725" s="1"/>
    </row>
    <row r="726" spans="12:29" ht="15">
      <c r="L726" s="1"/>
      <c r="M726" s="1"/>
      <c r="N726" s="1"/>
      <c r="O726" s="1"/>
      <c r="P726" s="1"/>
      <c r="Q726" s="1"/>
      <c r="R726" s="1"/>
      <c r="S726" s="1"/>
      <c r="T726" s="1"/>
      <c r="U726" s="1"/>
      <c r="V726" s="1"/>
      <c r="W726" s="1"/>
      <c r="X726" s="1"/>
      <c r="Y726" s="1"/>
      <c r="Z726" s="1"/>
      <c r="AA726" s="1"/>
      <c r="AB726" s="1"/>
      <c r="AC726" s="1"/>
    </row>
    <row r="727" spans="12:29" ht="15">
      <c r="L727" s="1"/>
      <c r="M727" s="1"/>
      <c r="N727" s="1"/>
      <c r="O727" s="1"/>
      <c r="P727" s="1"/>
      <c r="Q727" s="1"/>
      <c r="R727" s="1"/>
      <c r="S727" s="1"/>
      <c r="T727" s="1"/>
      <c r="U727" s="1"/>
      <c r="V727" s="1"/>
      <c r="W727" s="1"/>
      <c r="X727" s="1"/>
      <c r="Y727" s="1"/>
      <c r="Z727" s="1"/>
      <c r="AA727" s="1"/>
      <c r="AB727" s="1"/>
      <c r="AC727" s="1"/>
    </row>
    <row r="728" spans="12:29" ht="15">
      <c r="L728" s="1"/>
      <c r="M728" s="1"/>
      <c r="N728" s="1"/>
      <c r="O728" s="1"/>
      <c r="P728" s="1"/>
      <c r="Q728" s="1"/>
      <c r="R728" s="1"/>
      <c r="S728" s="1"/>
      <c r="T728" s="1"/>
      <c r="U728" s="1"/>
      <c r="V728" s="1"/>
      <c r="W728" s="1"/>
      <c r="X728" s="1"/>
      <c r="Y728" s="1"/>
      <c r="Z728" s="1"/>
      <c r="AA728" s="1"/>
      <c r="AB728" s="1"/>
      <c r="AC728" s="1"/>
    </row>
    <row r="729" spans="12:29" ht="15">
      <c r="L729" s="1"/>
      <c r="M729" s="1"/>
      <c r="N729" s="1"/>
      <c r="O729" s="1"/>
      <c r="P729" s="1"/>
      <c r="Q729" s="1"/>
      <c r="R729" s="1"/>
      <c r="S729" s="1"/>
      <c r="T729" s="1"/>
      <c r="U729" s="1"/>
      <c r="V729" s="1"/>
      <c r="W729" s="1"/>
      <c r="X729" s="1"/>
      <c r="Y729" s="1"/>
      <c r="Z729" s="1"/>
      <c r="AA729" s="1"/>
      <c r="AB729" s="1"/>
      <c r="AC729" s="1"/>
    </row>
    <row r="730" spans="12:29" ht="15">
      <c r="L730" s="1"/>
      <c r="M730" s="1"/>
      <c r="N730" s="1"/>
      <c r="O730" s="1"/>
      <c r="P730" s="1"/>
      <c r="Q730" s="1"/>
      <c r="R730" s="1"/>
      <c r="S730" s="1"/>
      <c r="T730" s="1"/>
      <c r="U730" s="1"/>
      <c r="V730" s="1"/>
      <c r="W730" s="1"/>
      <c r="X730" s="1"/>
      <c r="Y730" s="1"/>
      <c r="Z730" s="1"/>
      <c r="AA730" s="1"/>
      <c r="AB730" s="1"/>
      <c r="AC730" s="1"/>
    </row>
    <row r="731" spans="12:29" ht="15">
      <c r="L731" s="1"/>
      <c r="M731" s="1"/>
      <c r="N731" s="1"/>
      <c r="O731" s="1"/>
      <c r="P731" s="1"/>
      <c r="Q731" s="1"/>
      <c r="R731" s="1"/>
      <c r="S731" s="1"/>
      <c r="T731" s="1"/>
      <c r="U731" s="1"/>
      <c r="V731" s="1"/>
      <c r="W731" s="1"/>
      <c r="X731" s="1"/>
      <c r="Y731" s="1"/>
      <c r="Z731" s="1"/>
      <c r="AA731" s="1"/>
      <c r="AB731" s="1"/>
      <c r="AC731" s="1"/>
    </row>
    <row r="732" spans="12:29" ht="15">
      <c r="L732" s="1"/>
      <c r="M732" s="1"/>
      <c r="N732" s="1"/>
      <c r="O732" s="1"/>
      <c r="P732" s="1"/>
      <c r="Q732" s="1"/>
      <c r="R732" s="1"/>
      <c r="S732" s="1"/>
      <c r="T732" s="1"/>
      <c r="U732" s="1"/>
      <c r="V732" s="1"/>
      <c r="W732" s="1"/>
      <c r="X732" s="1"/>
      <c r="Y732" s="1"/>
      <c r="Z732" s="1"/>
      <c r="AA732" s="1"/>
      <c r="AB732" s="1"/>
      <c r="AC732" s="1"/>
    </row>
    <row r="733" spans="12:29" ht="15">
      <c r="L733" s="1"/>
      <c r="M733" s="1"/>
      <c r="N733" s="1"/>
      <c r="O733" s="1"/>
      <c r="P733" s="1"/>
      <c r="Q733" s="1"/>
      <c r="R733" s="1"/>
      <c r="S733" s="1"/>
      <c r="T733" s="1"/>
      <c r="U733" s="1"/>
      <c r="V733" s="1"/>
      <c r="W733" s="1"/>
      <c r="X733" s="1"/>
      <c r="Y733" s="1"/>
      <c r="Z733" s="1"/>
      <c r="AA733" s="1"/>
      <c r="AB733" s="1"/>
      <c r="AC733" s="1"/>
    </row>
    <row r="734" spans="12:29" ht="15">
      <c r="L734" s="1"/>
      <c r="M734" s="1"/>
      <c r="N734" s="1"/>
      <c r="O734" s="1"/>
      <c r="P734" s="1"/>
      <c r="Q734" s="1"/>
      <c r="R734" s="1"/>
      <c r="S734" s="1"/>
      <c r="T734" s="1"/>
      <c r="U734" s="1"/>
      <c r="V734" s="1"/>
      <c r="W734" s="1"/>
      <c r="X734" s="1"/>
      <c r="Y734" s="1"/>
      <c r="Z734" s="1"/>
      <c r="AA734" s="1"/>
      <c r="AB734" s="1"/>
      <c r="AC734" s="1"/>
    </row>
    <row r="735" spans="12:29" ht="15">
      <c r="L735" s="1"/>
      <c r="M735" s="1"/>
      <c r="N735" s="1"/>
      <c r="O735" s="1"/>
      <c r="P735" s="1"/>
      <c r="Q735" s="1"/>
      <c r="R735" s="1"/>
      <c r="S735" s="1"/>
      <c r="T735" s="1"/>
      <c r="U735" s="1"/>
      <c r="V735" s="1"/>
      <c r="W735" s="1"/>
      <c r="X735" s="1"/>
      <c r="Y735" s="1"/>
      <c r="Z735" s="1"/>
      <c r="AA735" s="1"/>
      <c r="AB735" s="1"/>
      <c r="AC735" s="1"/>
    </row>
    <row r="736" spans="12:29" ht="15">
      <c r="L736" s="1"/>
      <c r="M736" s="1"/>
      <c r="N736" s="1"/>
      <c r="O736" s="1"/>
      <c r="P736" s="1"/>
      <c r="Q736" s="1"/>
      <c r="R736" s="1"/>
      <c r="S736" s="1"/>
      <c r="T736" s="1"/>
      <c r="U736" s="1"/>
      <c r="V736" s="1"/>
      <c r="W736" s="1"/>
      <c r="X736" s="1"/>
      <c r="Y736" s="1"/>
      <c r="Z736" s="1"/>
      <c r="AA736" s="1"/>
      <c r="AB736" s="1"/>
      <c r="AC736" s="1"/>
    </row>
    <row r="737" spans="12:29" ht="15">
      <c r="L737" s="1"/>
      <c r="M737" s="1"/>
      <c r="N737" s="1"/>
      <c r="O737" s="1"/>
      <c r="P737" s="1"/>
      <c r="Q737" s="1"/>
      <c r="R737" s="1"/>
      <c r="S737" s="1"/>
      <c r="T737" s="1"/>
      <c r="U737" s="1"/>
      <c r="V737" s="1"/>
      <c r="W737" s="1"/>
      <c r="X737" s="1"/>
      <c r="Y737" s="1"/>
      <c r="Z737" s="1"/>
      <c r="AA737" s="1"/>
      <c r="AB737" s="1"/>
      <c r="AC737" s="1"/>
    </row>
    <row r="738" spans="12:29" ht="15">
      <c r="L738" s="1"/>
      <c r="M738" s="1"/>
      <c r="N738" s="1"/>
      <c r="O738" s="1"/>
      <c r="P738" s="1"/>
      <c r="Q738" s="1"/>
      <c r="R738" s="1"/>
      <c r="S738" s="1"/>
      <c r="T738" s="1"/>
      <c r="U738" s="1"/>
      <c r="V738" s="1"/>
      <c r="W738" s="1"/>
      <c r="X738" s="1"/>
      <c r="Y738" s="1"/>
      <c r="Z738" s="1"/>
      <c r="AA738" s="1"/>
      <c r="AB738" s="1"/>
      <c r="AC738" s="1"/>
    </row>
    <row r="739" spans="12:29" ht="15">
      <c r="L739" s="1"/>
      <c r="M739" s="1"/>
      <c r="N739" s="1"/>
      <c r="O739" s="1"/>
      <c r="P739" s="1"/>
      <c r="Q739" s="1"/>
      <c r="R739" s="1"/>
      <c r="S739" s="1"/>
      <c r="T739" s="1"/>
      <c r="U739" s="1"/>
      <c r="V739" s="1"/>
      <c r="W739" s="1"/>
      <c r="X739" s="1"/>
      <c r="Y739" s="1"/>
      <c r="Z739" s="1"/>
      <c r="AA739" s="1"/>
      <c r="AB739" s="1"/>
      <c r="AC739" s="1"/>
    </row>
    <row r="740" spans="12:29" ht="15">
      <c r="L740" s="1"/>
      <c r="M740" s="1"/>
      <c r="N740" s="1"/>
      <c r="O740" s="1"/>
      <c r="P740" s="1"/>
      <c r="Q740" s="1"/>
      <c r="R740" s="1"/>
      <c r="S740" s="1"/>
      <c r="T740" s="1"/>
      <c r="U740" s="1"/>
      <c r="V740" s="1"/>
      <c r="W740" s="1"/>
      <c r="X740" s="1"/>
      <c r="Y740" s="1"/>
      <c r="Z740" s="1"/>
      <c r="AA740" s="1"/>
      <c r="AB740" s="1"/>
      <c r="AC740" s="1"/>
    </row>
    <row r="741" spans="12:29" ht="15">
      <c r="L741" s="1"/>
      <c r="M741" s="1"/>
      <c r="N741" s="1"/>
      <c r="O741" s="1"/>
      <c r="P741" s="1"/>
      <c r="Q741" s="1"/>
      <c r="R741" s="1"/>
      <c r="S741" s="1"/>
      <c r="T741" s="1"/>
      <c r="U741" s="1"/>
      <c r="V741" s="1"/>
      <c r="W741" s="1"/>
      <c r="X741" s="1"/>
      <c r="Y741" s="1"/>
      <c r="Z741" s="1"/>
      <c r="AA741" s="1"/>
      <c r="AB741" s="1"/>
      <c r="AC741" s="1"/>
    </row>
    <row r="742" spans="12:29" ht="15">
      <c r="L742" s="1"/>
      <c r="M742" s="1"/>
      <c r="N742" s="1"/>
      <c r="O742" s="1"/>
      <c r="P742" s="1"/>
      <c r="Q742" s="1"/>
      <c r="R742" s="1"/>
      <c r="S742" s="1"/>
      <c r="T742" s="1"/>
      <c r="U742" s="1"/>
      <c r="V742" s="1"/>
      <c r="W742" s="1"/>
      <c r="X742" s="1"/>
      <c r="Y742" s="1"/>
      <c r="Z742" s="1"/>
      <c r="AA742" s="1"/>
      <c r="AB742" s="1"/>
      <c r="AC742" s="1"/>
    </row>
    <row r="743" spans="12:29" ht="15">
      <c r="L743" s="1"/>
      <c r="M743" s="1"/>
      <c r="N743" s="1"/>
      <c r="O743" s="1"/>
      <c r="P743" s="1"/>
      <c r="Q743" s="1"/>
      <c r="R743" s="1"/>
      <c r="S743" s="1"/>
      <c r="T743" s="1"/>
      <c r="U743" s="1"/>
      <c r="V743" s="1"/>
      <c r="W743" s="1"/>
      <c r="X743" s="1"/>
      <c r="Y743" s="1"/>
      <c r="Z743" s="1"/>
      <c r="AA743" s="1"/>
      <c r="AB743" s="1"/>
      <c r="AC743" s="1"/>
    </row>
  </sheetData>
  <mergeCells count="24">
    <mergeCell ref="B85:H85"/>
    <mergeCell ref="B80:H80"/>
    <mergeCell ref="B81:H81"/>
    <mergeCell ref="B82:H82"/>
    <mergeCell ref="B83:H83"/>
    <mergeCell ref="B84:H84"/>
    <mergeCell ref="B151:H151"/>
    <mergeCell ref="B113:H113"/>
    <mergeCell ref="B114:H114"/>
    <mergeCell ref="B115:H115"/>
    <mergeCell ref="B116:H116"/>
    <mergeCell ref="B117:H117"/>
    <mergeCell ref="B118:H118"/>
    <mergeCell ref="B146:H146"/>
    <mergeCell ref="B147:H147"/>
    <mergeCell ref="B148:H148"/>
    <mergeCell ref="B149:H149"/>
    <mergeCell ref="B150:H150"/>
    <mergeCell ref="B184:H184"/>
    <mergeCell ref="B179:H179"/>
    <mergeCell ref="B180:H180"/>
    <mergeCell ref="B181:H181"/>
    <mergeCell ref="B182:H182"/>
    <mergeCell ref="B183:H183"/>
  </mergeCells>
  <hyperlinks>
    <hyperlink ref="B83" r:id="rId1" display="http://sitiodea.com/siscipa/index.html"/>
    <hyperlink ref="B149" r:id="rId2" display="http://sitiodea.com/siscipa/index.html"/>
    <hyperlink ref="B4" r:id="rId3" display="http://siea.minagri.gob.pe/siea/?q=publicaciones/anuario-estadistico-de-insumos-y-servicios-agrarios"/>
    <hyperlink ref="B50" r:id="rId4" display="http://frenteweb.minagri.gob.pe/sisca/"/>
    <hyperlink ref="B16" r:id="rId5" display="http://frenteweb.minagri.gob.pe/sisca/"/>
  </hyperlinks>
  <printOptions/>
  <pageMargins left="0.7" right="0.7" top="0.75" bottom="0.75" header="0.3" footer="0.3"/>
  <pageSetup orientation="portrait" paperSize="9"/>
  <drawing r:id="rId8"/>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EC3E6"/>
  </sheetPr>
  <dimension ref="A1:I31"/>
  <sheetViews>
    <sheetView workbookViewId="0" topLeftCell="A1">
      <selection activeCell="B22" sqref="B22"/>
    </sheetView>
  </sheetViews>
  <sheetFormatPr defaultColWidth="11.421875" defaultRowHeight="15"/>
  <cols>
    <col min="1" max="1" width="19.421875" style="103" customWidth="1"/>
    <col min="2" max="2" width="46.8515625" style="103" customWidth="1"/>
    <col min="3" max="13" width="11.421875" style="103" customWidth="1"/>
    <col min="14" max="16384" width="11.421875" style="1" customWidth="1"/>
  </cols>
  <sheetData>
    <row r="1" spans="1:9" ht="15">
      <c r="A1" s="161" t="s">
        <v>80</v>
      </c>
      <c r="B1" s="162" t="s">
        <v>348</v>
      </c>
      <c r="D1" s="6"/>
      <c r="E1" s="507" t="s">
        <v>989</v>
      </c>
      <c r="F1" s="6"/>
      <c r="G1" s="6"/>
      <c r="H1" s="6"/>
      <c r="I1" s="6"/>
    </row>
    <row r="2" spans="1:9" ht="25.5">
      <c r="A2" s="161" t="s">
        <v>81</v>
      </c>
      <c r="B2" s="152" t="s">
        <v>568</v>
      </c>
      <c r="D2" s="6"/>
      <c r="E2" s="6"/>
      <c r="F2" s="6"/>
      <c r="G2" s="6"/>
      <c r="H2" s="6"/>
      <c r="I2" s="6"/>
    </row>
    <row r="3" spans="1:9" ht="12.75">
      <c r="A3" s="161" t="s">
        <v>82</v>
      </c>
      <c r="B3" s="154" t="s">
        <v>567</v>
      </c>
      <c r="D3" s="6"/>
      <c r="E3" s="6"/>
      <c r="F3" s="6"/>
      <c r="G3" s="6"/>
      <c r="H3" s="6"/>
      <c r="I3" s="6"/>
    </row>
    <row r="4" spans="1:9" ht="12.75">
      <c r="A4" s="161" t="s">
        <v>83</v>
      </c>
      <c r="B4" s="156">
        <v>44056</v>
      </c>
      <c r="D4" s="6"/>
      <c r="E4" s="6"/>
      <c r="F4" s="6"/>
      <c r="G4" s="6"/>
      <c r="H4" s="6"/>
      <c r="I4" s="6"/>
    </row>
    <row r="5" spans="1:2" ht="38.25">
      <c r="A5" s="161" t="s">
        <v>84</v>
      </c>
      <c r="B5" s="565" t="s">
        <v>1046</v>
      </c>
    </row>
    <row r="6" spans="1:2" ht="15">
      <c r="A6" s="163" t="s">
        <v>41</v>
      </c>
      <c r="B6" s="163" t="s">
        <v>349</v>
      </c>
    </row>
    <row r="7" spans="1:2" ht="15">
      <c r="A7" s="164" t="s">
        <v>194</v>
      </c>
      <c r="B7" s="165">
        <f>SUM(B8:B31)</f>
        <v>419564</v>
      </c>
    </row>
    <row r="8" spans="1:2" ht="15">
      <c r="A8" s="166" t="s">
        <v>49</v>
      </c>
      <c r="B8" s="146">
        <f>'3C4_3C5 INFO BASE'!D21</f>
        <v>41567</v>
      </c>
    </row>
    <row r="9" spans="1:2" ht="15">
      <c r="A9" s="166" t="s">
        <v>321</v>
      </c>
      <c r="B9" s="146">
        <f>'3C4_3C5 INFO BASE'!D22</f>
        <v>6795</v>
      </c>
    </row>
    <row r="10" spans="1:2" ht="15">
      <c r="A10" s="166" t="s">
        <v>50</v>
      </c>
      <c r="B10" s="146">
        <f>'3C4_3C5 INFO BASE'!D23</f>
        <v>0</v>
      </c>
    </row>
    <row r="11" spans="1:2" ht="15">
      <c r="A11" s="166" t="s">
        <v>51</v>
      </c>
      <c r="B11" s="146">
        <f>'3C4_3C5 INFO BASE'!D24</f>
        <v>19939</v>
      </c>
    </row>
    <row r="12" spans="1:2" ht="15">
      <c r="A12" s="166" t="s">
        <v>52</v>
      </c>
      <c r="B12" s="146">
        <f>'3C4_3C5 INFO BASE'!D25</f>
        <v>80</v>
      </c>
    </row>
    <row r="13" spans="1:2" ht="15">
      <c r="A13" s="166" t="s">
        <v>53</v>
      </c>
      <c r="B13" s="146">
        <f>'3C4_3C5 INFO BASE'!D26</f>
        <v>24886</v>
      </c>
    </row>
    <row r="14" spans="1:2" ht="15">
      <c r="A14" s="166" t="s">
        <v>54</v>
      </c>
      <c r="B14" s="146">
        <f>'3C4_3C5 INFO BASE'!D27</f>
        <v>1476</v>
      </c>
    </row>
    <row r="15" spans="1:2" ht="15">
      <c r="A15" s="166" t="s">
        <v>55</v>
      </c>
      <c r="B15" s="146">
        <f>'3C4_3C5 INFO BASE'!D28</f>
        <v>0</v>
      </c>
    </row>
    <row r="16" spans="1:2" ht="15">
      <c r="A16" s="166" t="s">
        <v>56</v>
      </c>
      <c r="B16" s="146">
        <f>'3C4_3C5 INFO BASE'!D29</f>
        <v>9151</v>
      </c>
    </row>
    <row r="17" spans="1:2" ht="15">
      <c r="A17" s="166" t="s">
        <v>57</v>
      </c>
      <c r="B17" s="146">
        <f>'3C4_3C5 INFO BASE'!D30</f>
        <v>0</v>
      </c>
    </row>
    <row r="18" spans="1:2" ht="15">
      <c r="A18" s="166" t="s">
        <v>58</v>
      </c>
      <c r="B18" s="146">
        <f>'3C4_3C5 INFO BASE'!D31</f>
        <v>1214</v>
      </c>
    </row>
    <row r="19" spans="1:2" ht="15">
      <c r="A19" s="166" t="s">
        <v>59</v>
      </c>
      <c r="B19" s="146">
        <f>'3C4_3C5 INFO BASE'!D32</f>
        <v>32857</v>
      </c>
    </row>
    <row r="20" spans="1:2" ht="15">
      <c r="A20" s="166" t="s">
        <v>60</v>
      </c>
      <c r="B20" s="146">
        <f>'3C4_3C5 INFO BASE'!D33</f>
        <v>49831</v>
      </c>
    </row>
    <row r="21" spans="1:2" ht="15">
      <c r="A21" s="166" t="s">
        <v>61</v>
      </c>
      <c r="B21" s="146">
        <f>'3C4_3C5 INFO BASE'!D34</f>
        <v>0</v>
      </c>
    </row>
    <row r="22" spans="1:2" ht="15">
      <c r="A22" s="166" t="s">
        <v>62</v>
      </c>
      <c r="B22" s="146">
        <f>'3C4_3C5 INFO BASE'!D35</f>
        <v>33046</v>
      </c>
    </row>
    <row r="23" spans="1:2" ht="15">
      <c r="A23" s="166" t="s">
        <v>63</v>
      </c>
      <c r="B23" s="146">
        <f>'3C4_3C5 INFO BASE'!D36</f>
        <v>2559</v>
      </c>
    </row>
    <row r="24" spans="1:2" ht="15">
      <c r="A24" s="166" t="s">
        <v>64</v>
      </c>
      <c r="B24" s="146">
        <f>'3C4_3C5 INFO BASE'!D37</f>
        <v>0</v>
      </c>
    </row>
    <row r="25" spans="1:2" ht="15">
      <c r="A25" s="166" t="s">
        <v>65</v>
      </c>
      <c r="B25" s="146">
        <f>'3C4_3C5 INFO BASE'!D38</f>
        <v>2777</v>
      </c>
    </row>
    <row r="26" spans="1:2" ht="15">
      <c r="A26" s="166" t="s">
        <v>66</v>
      </c>
      <c r="B26" s="146">
        <f>'3C4_3C5 INFO BASE'!D39</f>
        <v>67373</v>
      </c>
    </row>
    <row r="27" spans="1:2" ht="15">
      <c r="A27" s="166" t="s">
        <v>67</v>
      </c>
      <c r="B27" s="146">
        <f>'3C4_3C5 INFO BASE'!D40</f>
        <v>283</v>
      </c>
    </row>
    <row r="28" spans="1:2" ht="15">
      <c r="A28" s="166" t="s">
        <v>68</v>
      </c>
      <c r="B28" s="146">
        <f>'3C4_3C5 INFO BASE'!D41</f>
        <v>101255</v>
      </c>
    </row>
    <row r="29" spans="1:2" ht="15">
      <c r="A29" s="166" t="s">
        <v>69</v>
      </c>
      <c r="B29" s="146">
        <f>'3C4_3C5 INFO BASE'!D42</f>
        <v>0</v>
      </c>
    </row>
    <row r="30" spans="1:2" ht="15">
      <c r="A30" s="166" t="s">
        <v>70</v>
      </c>
      <c r="B30" s="146">
        <f>'3C4_3C5 INFO BASE'!D43</f>
        <v>14654</v>
      </c>
    </row>
    <row r="31" spans="1:2" ht="15">
      <c r="A31" s="166" t="s">
        <v>71</v>
      </c>
      <c r="B31" s="146">
        <f>'3C4_3C5 INFO BASE'!D44</f>
        <v>9821</v>
      </c>
    </row>
  </sheetData>
  <hyperlinks>
    <hyperlink ref="B3" r:id="rId1" display="http://siea.minagri.gob.pe/siea/?q=publicaciones/anuario-de-produccion-pecuaria"/>
  </hyperlinks>
  <printOptions/>
  <pageMargins left="0.7" right="0.7" top="0.75" bottom="0.75" header="0.3" footer="0.3"/>
  <pageSetup orientation="portrait" paperSize="9"/>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36699"/>
  </sheetPr>
  <dimension ref="A1:T171"/>
  <sheetViews>
    <sheetView workbookViewId="0" topLeftCell="A53">
      <selection activeCell="H53" sqref="H53"/>
    </sheetView>
  </sheetViews>
  <sheetFormatPr defaultColWidth="10.8515625" defaultRowHeight="15"/>
  <cols>
    <col min="1" max="1" width="17.140625" style="103" customWidth="1"/>
    <col min="2" max="2" width="17.00390625" style="103" bestFit="1" customWidth="1"/>
    <col min="3" max="3" width="18.57421875" style="103" bestFit="1" customWidth="1"/>
    <col min="4" max="4" width="17.00390625" style="103" bestFit="1" customWidth="1"/>
    <col min="5" max="5" width="12.28125" style="103" bestFit="1" customWidth="1"/>
    <col min="6" max="6" width="11.421875" style="103" bestFit="1" customWidth="1"/>
    <col min="7" max="9" width="11.7109375" style="103" bestFit="1" customWidth="1"/>
    <col min="10" max="10" width="13.7109375" style="103" bestFit="1" customWidth="1"/>
    <col min="11" max="11" width="12.7109375" style="103" bestFit="1" customWidth="1"/>
    <col min="12" max="12" width="13.28125" style="103" bestFit="1" customWidth="1"/>
    <col min="13" max="13" width="12.28125" style="103" bestFit="1" customWidth="1"/>
    <col min="14" max="29" width="10.8515625" style="103" customWidth="1"/>
  </cols>
  <sheetData>
    <row r="1" spans="1:12" ht="12.75">
      <c r="A1" s="1197" t="s">
        <v>1036</v>
      </c>
      <c r="B1" s="1197"/>
      <c r="C1" s="1197"/>
      <c r="D1" s="1197"/>
      <c r="E1" s="1197"/>
      <c r="F1" s="1197"/>
      <c r="G1" s="1197"/>
      <c r="H1" s="1197"/>
      <c r="I1" s="1197"/>
      <c r="J1" s="1197"/>
      <c r="K1" s="1197"/>
      <c r="L1" s="167"/>
    </row>
    <row r="2" spans="1:18" ht="25.5">
      <c r="A2" s="105" t="s">
        <v>41</v>
      </c>
      <c r="B2" s="105" t="s">
        <v>48</v>
      </c>
      <c r="C2" s="105" t="s">
        <v>46</v>
      </c>
      <c r="D2" s="105" t="s">
        <v>45</v>
      </c>
      <c r="E2" s="105" t="s">
        <v>72</v>
      </c>
      <c r="F2" s="105" t="s">
        <v>150</v>
      </c>
      <c r="G2" s="105" t="s">
        <v>47</v>
      </c>
      <c r="H2" s="105" t="s">
        <v>43</v>
      </c>
      <c r="I2" s="105" t="s">
        <v>44</v>
      </c>
      <c r="J2" s="105" t="s">
        <v>42</v>
      </c>
      <c r="K2" s="105" t="s">
        <v>74</v>
      </c>
      <c r="M2" s="508" t="s">
        <v>989</v>
      </c>
      <c r="N2" s="6"/>
      <c r="O2" s="6"/>
      <c r="P2" s="6"/>
      <c r="Q2" s="6"/>
      <c r="R2" s="6"/>
    </row>
    <row r="3" spans="1:18" ht="25.5">
      <c r="A3" s="105" t="s">
        <v>76</v>
      </c>
      <c r="B3" s="107">
        <f aca="true" t="shared" si="0" ref="B3:K3">SUM(B4:B27)</f>
        <v>5535455</v>
      </c>
      <c r="C3" s="107">
        <f t="shared" si="0"/>
        <v>11450659</v>
      </c>
      <c r="D3" s="107">
        <f t="shared" si="0"/>
        <v>1879713</v>
      </c>
      <c r="E3" s="107">
        <f t="shared" si="0"/>
        <v>526290.5573110435</v>
      </c>
      <c r="F3" s="107">
        <f t="shared" si="0"/>
        <v>590007.7086570447</v>
      </c>
      <c r="G3" s="107">
        <f t="shared" si="0"/>
        <v>904700.4246575341</v>
      </c>
      <c r="H3" s="107">
        <f t="shared" si="0"/>
        <v>4319229</v>
      </c>
      <c r="I3" s="107">
        <f t="shared" si="0"/>
        <v>1105017</v>
      </c>
      <c r="J3" s="107">
        <f t="shared" si="0"/>
        <v>49559797.50249963</v>
      </c>
      <c r="K3" s="107">
        <f t="shared" si="0"/>
        <v>3584640.1025886</v>
      </c>
      <c r="M3" s="6"/>
      <c r="N3" s="6"/>
      <c r="O3" s="6"/>
      <c r="P3" s="6"/>
      <c r="Q3" s="6"/>
      <c r="R3" s="6"/>
    </row>
    <row r="4" spans="1:18" ht="12.75">
      <c r="A4" s="108" t="s">
        <v>85</v>
      </c>
      <c r="B4" s="109">
        <f>'3A1_3A2_3C6 INFO BASE'!H9</f>
        <v>246360</v>
      </c>
      <c r="C4" s="109">
        <f>'3A1_3A2_3C6 INFO BASE'!F9</f>
        <v>29054</v>
      </c>
      <c r="D4" s="109">
        <f>'3A1_3A2_3C6 INFO BASE'!E9</f>
        <v>12572</v>
      </c>
      <c r="E4" s="117">
        <f>'3A1_3A2_3C6 INFO BASE'!B42</f>
        <v>27291.8051828901</v>
      </c>
      <c r="F4" s="117">
        <f>'3A1_3A2_3C6 INFO BASE'!C42</f>
        <v>12505.2608769127</v>
      </c>
      <c r="G4" s="109">
        <f>'3A1_3A2_3C6 INFO BASE'!G9*'FACTORES DE CONVERSIÓN'!$C$47/365</f>
        <v>24308.794520547945</v>
      </c>
      <c r="H4" s="110">
        <f>'3A1_3A2_3C6 INFO BASE'!C9</f>
        <v>0</v>
      </c>
      <c r="I4" s="110">
        <f>'3A1_3A2_3C6 INFO BASE'!D9</f>
        <v>0</v>
      </c>
      <c r="J4" s="117">
        <f>'3A1_3A2_3C6 INFO BASE'!B9*('FACTORES DE CONVERSIÓN'!$C$35*'FACTORES DE CONVERSIÓN'!$C$48/365+'FACTORES DE CONVERSIÓN'!$C$36+'FACTORES DE CONVERSIÓN'!$C$37+'FACTORES DE CONVERSIÓN'!$C$39*'FACTORES DE CONVERSIÓN'!$C$49/365+'FACTORES DE CONVERSIÓN'!$C$40)</f>
        <v>460834.3412794803</v>
      </c>
      <c r="K4" s="117">
        <f>'3A1_3A2_3C6 INFO BASE'!D42*'FACTORES DE CONVERSIÓN'!$C$50/365</f>
        <v>88553.7607945421</v>
      </c>
      <c r="M4" s="6"/>
      <c r="N4" s="6"/>
      <c r="O4" s="6"/>
      <c r="P4" s="6"/>
      <c r="Q4" s="6"/>
      <c r="R4" s="6"/>
    </row>
    <row r="5" spans="1:18" ht="12.75">
      <c r="A5" s="108" t="s">
        <v>86</v>
      </c>
      <c r="B5" s="109">
        <f>'3A1_3A2_3C6 INFO BASE'!H10</f>
        <v>309475</v>
      </c>
      <c r="C5" s="109">
        <f>'3A1_3A2_3C6 INFO BASE'!F10</f>
        <v>672817</v>
      </c>
      <c r="D5" s="109">
        <f>'3A1_3A2_3C6 INFO BASE'!E10</f>
        <v>177602</v>
      </c>
      <c r="E5" s="117">
        <f>'3A1_3A2_3C6 INFO BASE'!B43</f>
        <v>39392.5068150095</v>
      </c>
      <c r="F5" s="117">
        <f>'3A1_3A2_3C6 INFO BASE'!C43</f>
        <v>80381.1944326083</v>
      </c>
      <c r="G5" s="109">
        <f>'3A1_3A2_3C6 INFO BASE'!G10*'FACTORES DE CONVERSIÓN'!$C$47/365</f>
        <v>50059.397260273974</v>
      </c>
      <c r="H5" s="110">
        <f>'3A1_3A2_3C6 INFO BASE'!C10</f>
        <v>10201</v>
      </c>
      <c r="I5" s="110">
        <f>'3A1_3A2_3C6 INFO BASE'!D10</f>
        <v>0</v>
      </c>
      <c r="J5" s="117">
        <f>'3A1_3A2_3C6 INFO BASE'!B10*('FACTORES DE CONVERSIÓN'!$C$35*'FACTORES DE CONVERSIÓN'!$C$48/365+'FACTORES DE CONVERSIÓN'!$C$36+'FACTORES DE CONVERSIÓN'!$C$37+'FACTORES DE CONVERSIÓN'!$C$39*'FACTORES DE CONVERSIÓN'!$C$49/365+'FACTORES DE CONVERSIÓN'!$C$40)</f>
        <v>823652.4627877419</v>
      </c>
      <c r="K5" s="117">
        <f>'3A1_3A2_3C6 INFO BASE'!D43*'FACTORES DE CONVERSIÓN'!$C$50/365</f>
        <v>474256.23171486903</v>
      </c>
      <c r="M5" s="6"/>
      <c r="N5" s="6"/>
      <c r="O5" s="6"/>
      <c r="P5" s="6"/>
      <c r="Q5" s="6"/>
      <c r="R5" s="6"/>
    </row>
    <row r="6" spans="1:18" ht="12.75">
      <c r="A6" s="108" t="s">
        <v>87</v>
      </c>
      <c r="B6" s="109">
        <f>'3A1_3A2_3C6 INFO BASE'!H11</f>
        <v>295400</v>
      </c>
      <c r="C6" s="109">
        <f>'3A1_3A2_3C6 INFO BASE'!F11</f>
        <v>461957</v>
      </c>
      <c r="D6" s="109">
        <f>'3A1_3A2_3C6 INFO BASE'!E11</f>
        <v>111584</v>
      </c>
      <c r="E6" s="117">
        <f>'3A1_3A2_3C6 INFO BASE'!B44</f>
        <v>82161.5741304738</v>
      </c>
      <c r="F6" s="117">
        <f>'3A1_3A2_3C6 INFO BASE'!C44</f>
        <v>10629.8721710901</v>
      </c>
      <c r="G6" s="109">
        <f>'3A1_3A2_3C6 INFO BASE'!G11*'FACTORES DE CONVERSIÓN'!$C$47/365</f>
        <v>36944.46575342466</v>
      </c>
      <c r="H6" s="110">
        <f>'3A1_3A2_3C6 INFO BASE'!C11</f>
        <v>216265</v>
      </c>
      <c r="I6" s="110">
        <f>'3A1_3A2_3C6 INFO BASE'!D11</f>
        <v>73479</v>
      </c>
      <c r="J6" s="117">
        <f>'3A1_3A2_3C6 INFO BASE'!B11*('FACTORES DE CONVERSIÓN'!$C$35*'FACTORES DE CONVERSIÓN'!$C$48/365+'FACTORES DE CONVERSIÓN'!$C$36+'FACTORES DE CONVERSIÓN'!$C$37+'FACTORES DE CONVERSIÓN'!$C$39*'FACTORES DE CONVERSIÓN'!$C$49/365+'FACTORES DE CONVERSIÓN'!$C$40)</f>
        <v>97527.082813162</v>
      </c>
      <c r="K6" s="117">
        <f>'3A1_3A2_3C6 INFO BASE'!D44*'FACTORES DE CONVERSIÓN'!$C$50/365</f>
        <v>296954.42271461507</v>
      </c>
      <c r="M6" s="6"/>
      <c r="N6" s="6"/>
      <c r="O6" s="6"/>
      <c r="P6" s="6"/>
      <c r="Q6" s="6"/>
      <c r="R6" s="6"/>
    </row>
    <row r="7" spans="1:18" ht="12.75">
      <c r="A7" s="108" t="s">
        <v>88</v>
      </c>
      <c r="B7" s="109">
        <f>'3A1_3A2_3C6 INFO BASE'!H12</f>
        <v>222440</v>
      </c>
      <c r="C7" s="109">
        <f>'3A1_3A2_3C6 INFO BASE'!F12</f>
        <v>209159</v>
      </c>
      <c r="D7" s="109">
        <f>'3A1_3A2_3C6 INFO BASE'!E12</f>
        <v>19062</v>
      </c>
      <c r="E7" s="117">
        <f>'3A1_3A2_3C6 INFO BASE'!B45</f>
        <v>7725.21118704614</v>
      </c>
      <c r="F7" s="117">
        <f>'3A1_3A2_3C6 INFO BASE'!C45</f>
        <v>17834.9052283941</v>
      </c>
      <c r="G7" s="109">
        <f>'3A1_3A2_3C6 INFO BASE'!G12*'FACTORES DE CONVERSIÓN'!$C$47/365</f>
        <v>26325.08219178082</v>
      </c>
      <c r="H7" s="110">
        <f>'3A1_3A2_3C6 INFO BASE'!C12</f>
        <v>430271</v>
      </c>
      <c r="I7" s="110">
        <f>'3A1_3A2_3C6 INFO BASE'!D12</f>
        <v>91070</v>
      </c>
      <c r="J7" s="117">
        <f>'3A1_3A2_3C6 INFO BASE'!B12*('FACTORES DE CONVERSIÓN'!$C$35*'FACTORES DE CONVERSIÓN'!$C$48/365+'FACTORES DE CONVERSIÓN'!$C$36+'FACTORES DE CONVERSIÓN'!$C$37+'FACTORES DE CONVERSIÓN'!$C$39*'FACTORES DE CONVERSIÓN'!$C$49/365+'FACTORES DE CONVERSIÓN'!$C$40)</f>
        <v>5904275.771162265</v>
      </c>
      <c r="K7" s="117">
        <f>'3A1_3A2_3C6 INFO BASE'!D45*'FACTORES DE CONVERSIÓN'!$C$50/365</f>
        <v>122070.19925370847</v>
      </c>
      <c r="M7" s="6"/>
      <c r="N7" s="6"/>
      <c r="O7" s="6"/>
      <c r="P7" s="6"/>
      <c r="Q7" s="6"/>
      <c r="R7" s="6"/>
    </row>
    <row r="8" spans="1:18" ht="12.75">
      <c r="A8" s="108" t="s">
        <v>89</v>
      </c>
      <c r="B8" s="109">
        <f>'3A1_3A2_3C6 INFO BASE'!H13</f>
        <v>430076</v>
      </c>
      <c r="C8" s="109">
        <f>'3A1_3A2_3C6 INFO BASE'!F13</f>
        <v>798698</v>
      </c>
      <c r="D8" s="109">
        <f>'3A1_3A2_3C6 INFO BASE'!E13</f>
        <v>208978</v>
      </c>
      <c r="E8" s="117">
        <f>'3A1_3A2_3C6 INFO BASE'!B46</f>
        <v>33843.8962767069</v>
      </c>
      <c r="F8" s="117">
        <f>'3A1_3A2_3C6 INFO BASE'!C46</f>
        <v>36128.5077219631</v>
      </c>
      <c r="G8" s="109">
        <f>'3A1_3A2_3C6 INFO BASE'!G13*'FACTORES DE CONVERSIÓN'!$C$47/365</f>
        <v>26337.45205479452</v>
      </c>
      <c r="H8" s="110">
        <f>'3A1_3A2_3C6 INFO BASE'!C13</f>
        <v>255377</v>
      </c>
      <c r="I8" s="110">
        <f>'3A1_3A2_3C6 INFO BASE'!D13</f>
        <v>95020</v>
      </c>
      <c r="J8" s="117">
        <f>'3A1_3A2_3C6 INFO BASE'!B13*('FACTORES DE CONVERSIÓN'!$C$35*'FACTORES DE CONVERSIÓN'!$C$48/365+'FACTORES DE CONVERSIÓN'!$C$36+'FACTORES DE CONVERSIÓN'!$C$37+'FACTORES DE CONVERSIÓN'!$C$39*'FACTORES DE CONVERSIÓN'!$C$49/365+'FACTORES DE CONVERSIÓN'!$C$40)</f>
        <v>265236.23781951703</v>
      </c>
      <c r="K8" s="117">
        <f>'3A1_3A2_3C6 INFO BASE'!D46*'FACTORES DE CONVERSIÓN'!$C$50/365</f>
        <v>148782.43066613202</v>
      </c>
      <c r="M8" s="6"/>
      <c r="N8" s="6"/>
      <c r="O8" s="6"/>
      <c r="P8" s="6"/>
      <c r="Q8" s="6"/>
      <c r="R8" s="6"/>
    </row>
    <row r="9" spans="1:11" ht="12.75">
      <c r="A9" s="108" t="s">
        <v>90</v>
      </c>
      <c r="B9" s="109">
        <f>'3A1_3A2_3C6 INFO BASE'!H14</f>
        <v>657561</v>
      </c>
      <c r="C9" s="109">
        <f>'3A1_3A2_3C6 INFO BASE'!F14</f>
        <v>465641</v>
      </c>
      <c r="D9" s="109">
        <f>'3A1_3A2_3C6 INFO BASE'!E14</f>
        <v>96193</v>
      </c>
      <c r="E9" s="117">
        <f>'3A1_3A2_3C6 INFO BASE'!B47</f>
        <v>49645.8663327273</v>
      </c>
      <c r="F9" s="117">
        <f>'3A1_3A2_3C6 INFO BASE'!C47</f>
        <v>81874.132611628</v>
      </c>
      <c r="G9" s="109">
        <f>'3A1_3A2_3C6 INFO BASE'!G14*'FACTORES DE CONVERSIÓN'!$C$47/365</f>
        <v>82693.1095890411</v>
      </c>
      <c r="H9" s="110">
        <f>'3A1_3A2_3C6 INFO BASE'!C14</f>
        <v>1150</v>
      </c>
      <c r="I9" s="110">
        <f>'3A1_3A2_3C6 INFO BASE'!D14</f>
        <v>0</v>
      </c>
      <c r="J9" s="117">
        <f>'3A1_3A2_3C6 INFO BASE'!B14*('FACTORES DE CONVERSIÓN'!$C$35*'FACTORES DE CONVERSIÓN'!$C$48/365+'FACTORES DE CONVERSIÓN'!$C$36+'FACTORES DE CONVERSIÓN'!$C$37+'FACTORES DE CONVERSIÓN'!$C$39*'FACTORES DE CONVERSIÓN'!$C$49/365+'FACTORES DE CONVERSIÓN'!$C$40)</f>
        <v>281788.2942804689</v>
      </c>
      <c r="K9" s="117">
        <f>'3A1_3A2_3C6 INFO BASE'!D47*'FACTORES DE CONVERSIÓN'!$C$50/365</f>
        <v>695572.2259794592</v>
      </c>
    </row>
    <row r="10" spans="1:11" ht="12.75">
      <c r="A10" s="108" t="s">
        <v>91</v>
      </c>
      <c r="B10" s="109">
        <f>'3A1_3A2_3C6 INFO BASE'!H15</f>
        <v>417960</v>
      </c>
      <c r="C10" s="109">
        <f>'3A1_3A2_3C6 INFO BASE'!F15</f>
        <v>1419506</v>
      </c>
      <c r="D10" s="109">
        <f>'3A1_3A2_3C6 INFO BASE'!E15</f>
        <v>37608</v>
      </c>
      <c r="E10" s="117">
        <f>'3A1_3A2_3C6 INFO BASE'!B48</f>
        <v>64631.1749964218</v>
      </c>
      <c r="F10" s="117">
        <f>'3A1_3A2_3C6 INFO BASE'!C48</f>
        <v>40806.3524343615</v>
      </c>
      <c r="G10" s="109">
        <f>'3A1_3A2_3C6 INFO BASE'!G15*'FACTORES DE CONVERSIÓN'!$C$47/365</f>
        <v>46279.68493150685</v>
      </c>
      <c r="H10" s="110">
        <f>'3A1_3A2_3C6 INFO BASE'!C15</f>
        <v>610184</v>
      </c>
      <c r="I10" s="110">
        <f>'3A1_3A2_3C6 INFO BASE'!D15</f>
        <v>139859</v>
      </c>
      <c r="J10" s="117">
        <f>'3A1_3A2_3C6 INFO BASE'!B15*('FACTORES DE CONVERSIÓN'!$C$35*'FACTORES DE CONVERSIÓN'!$C$48/365+'FACTORES DE CONVERSIÓN'!$C$36+'FACTORES DE CONVERSIÓN'!$C$37+'FACTORES DE CONVERSIÓN'!$C$39*'FACTORES DE CONVERSIÓN'!$C$49/365+'FACTORES DE CONVERSIÓN'!$C$40)</f>
        <v>376992.4462646519</v>
      </c>
      <c r="K10" s="117">
        <f>'3A1_3A2_3C6 INFO BASE'!D48*'FACTORES DE CONVERSIÓN'!$C$50/365</f>
        <v>492730.08798657695</v>
      </c>
    </row>
    <row r="11" spans="1:11" ht="12.75">
      <c r="A11" s="108" t="s">
        <v>92</v>
      </c>
      <c r="B11" s="109">
        <f>'3A1_3A2_3C6 INFO BASE'!H16</f>
        <v>175772</v>
      </c>
      <c r="C11" s="109">
        <f>'3A1_3A2_3C6 INFO BASE'!F16</f>
        <v>704935</v>
      </c>
      <c r="D11" s="109">
        <f>'3A1_3A2_3C6 INFO BASE'!E16</f>
        <v>180188</v>
      </c>
      <c r="E11" s="117">
        <f>'3A1_3A2_3C6 INFO BASE'!B49</f>
        <v>21285.4872187218</v>
      </c>
      <c r="F11" s="117">
        <f>'3A1_3A2_3C6 INFO BASE'!C49</f>
        <v>19801.9489079818</v>
      </c>
      <c r="G11" s="109">
        <f>'3A1_3A2_3C6 INFO BASE'!G16*'FACTORES DE CONVERSIÓN'!$C$47/365</f>
        <v>39393.12328767123</v>
      </c>
      <c r="H11" s="110">
        <f>'3A1_3A2_3C6 INFO BASE'!C16</f>
        <v>273249</v>
      </c>
      <c r="I11" s="110">
        <f>'3A1_3A2_3C6 INFO BASE'!D16</f>
        <v>131758</v>
      </c>
      <c r="J11" s="117">
        <f>'3A1_3A2_3C6 INFO BASE'!B16*('FACTORES DE CONVERSIÓN'!$C$35*'FACTORES DE CONVERSIÓN'!$C$48/365+'FACTORES DE CONVERSIÓN'!$C$36+'FACTORES DE CONVERSIÓN'!$C$37+'FACTORES DE CONVERSIÓN'!$C$39*'FACTORES DE CONVERSIÓN'!$C$49/365+'FACTORES DE CONVERSIÓN'!$C$40)</f>
        <v>120378.42163536225</v>
      </c>
      <c r="K11" s="117">
        <f>'3A1_3A2_3C6 INFO BASE'!D49*'FACTORES DE CONVERSIÓN'!$C$50/365</f>
        <v>91141.24987279282</v>
      </c>
    </row>
    <row r="12" spans="1:11" ht="12.75">
      <c r="A12" s="108" t="s">
        <v>93</v>
      </c>
      <c r="B12" s="109">
        <f>'3A1_3A2_3C6 INFO BASE'!H17</f>
        <v>290400</v>
      </c>
      <c r="C12" s="109">
        <f>'3A1_3A2_3C6 INFO BASE'!F17</f>
        <v>634318</v>
      </c>
      <c r="D12" s="109">
        <f>'3A1_3A2_3C6 INFO BASE'!E17</f>
        <v>102064</v>
      </c>
      <c r="E12" s="117">
        <f>'3A1_3A2_3C6 INFO BASE'!B50</f>
        <v>39975.2989071898</v>
      </c>
      <c r="F12" s="117">
        <f>'3A1_3A2_3C6 INFO BASE'!C50</f>
        <v>35256.3125261291</v>
      </c>
      <c r="G12" s="109">
        <f>'3A1_3A2_3C6 INFO BASE'!G17*'FACTORES DE CONVERSIÓN'!$C$47/365</f>
        <v>116195.30136986301</v>
      </c>
      <c r="H12" s="110">
        <f>'3A1_3A2_3C6 INFO BASE'!C17</f>
        <v>6967</v>
      </c>
      <c r="I12" s="110">
        <f>'3A1_3A2_3C6 INFO BASE'!D17</f>
        <v>3450</v>
      </c>
      <c r="J12" s="117">
        <f>'3A1_3A2_3C6 INFO BASE'!B17*('FACTORES DE CONVERSIÓN'!$C$35*'FACTORES DE CONVERSIÓN'!$C$48/365+'FACTORES DE CONVERSIÓN'!$C$36+'FACTORES DE CONVERSIÓN'!$C$37+'FACTORES DE CONVERSIÓN'!$C$39*'FACTORES DE CONVERSIÓN'!$C$49/365+'FACTORES DE CONVERSIÓN'!$C$40)</f>
        <v>550166.3445840983</v>
      </c>
      <c r="K12" s="117">
        <f>'3A1_3A2_3C6 INFO BASE'!D50*'FACTORES DE CONVERSIÓN'!$C$50/365</f>
        <v>176408.93993980807</v>
      </c>
    </row>
    <row r="13" spans="1:11" ht="12.75">
      <c r="A13" s="108" t="s">
        <v>94</v>
      </c>
      <c r="B13" s="109">
        <f>'3A1_3A2_3C6 INFO BASE'!H18</f>
        <v>47321</v>
      </c>
      <c r="C13" s="109">
        <f>'3A1_3A2_3C6 INFO BASE'!F18</f>
        <v>28131</v>
      </c>
      <c r="D13" s="109">
        <f>'3A1_3A2_3C6 INFO BASE'!E18</f>
        <v>78936</v>
      </c>
      <c r="E13" s="117">
        <f>'3A1_3A2_3C6 INFO BASE'!B51</f>
        <v>2797.64452073827</v>
      </c>
      <c r="F13" s="117">
        <f>'3A1_3A2_3C6 INFO BASE'!C51</f>
        <v>3424.04913614219</v>
      </c>
      <c r="G13" s="109">
        <f>'3A1_3A2_3C6 INFO BASE'!G18*'FACTORES DE CONVERSIÓN'!$C$47/365</f>
        <v>14817.945205479453</v>
      </c>
      <c r="H13" s="110">
        <f>'3A1_3A2_3C6 INFO BASE'!C18</f>
        <v>0</v>
      </c>
      <c r="I13" s="110">
        <f>'3A1_3A2_3C6 INFO BASE'!D18</f>
        <v>0</v>
      </c>
      <c r="J13" s="117">
        <f>'3A1_3A2_3C6 INFO BASE'!B18*('FACTORES DE CONVERSIÓN'!$C$35*'FACTORES DE CONVERSIÓN'!$C$48/365+'FACTORES DE CONVERSIÓN'!$C$36+'FACTORES DE CONVERSIÓN'!$C$37+'FACTORES DE CONVERSIÓN'!$C$39*'FACTORES DE CONVERSIÓN'!$C$49/365+'FACTORES DE CONVERSIÓN'!$C$40)</f>
        <v>4236193.485044485</v>
      </c>
      <c r="K13" s="117">
        <f>'3A1_3A2_3C6 INFO BASE'!D51*'FACTORES DE CONVERSIÓN'!$C$50/365</f>
        <v>14536.86494571153</v>
      </c>
    </row>
    <row r="14" spans="1:11" ht="12.75">
      <c r="A14" s="108" t="s">
        <v>95</v>
      </c>
      <c r="B14" s="109">
        <f>'3A1_3A2_3C6 INFO BASE'!H19</f>
        <v>296450</v>
      </c>
      <c r="C14" s="109">
        <f>'3A1_3A2_3C6 INFO BASE'!F19</f>
        <v>1234318</v>
      </c>
      <c r="D14" s="109">
        <f>'3A1_3A2_3C6 INFO BASE'!E19</f>
        <v>10187</v>
      </c>
      <c r="E14" s="117">
        <f>'3A1_3A2_3C6 INFO BASE'!B52</f>
        <v>10521.2279782036</v>
      </c>
      <c r="F14" s="117">
        <f>'3A1_3A2_3C6 INFO BASE'!C52</f>
        <v>29382.7778525028</v>
      </c>
      <c r="G14" s="109">
        <f>'3A1_3A2_3C6 INFO BASE'!G19*'FACTORES DE CONVERSIÓN'!$C$47/365</f>
        <v>44476.561643835616</v>
      </c>
      <c r="H14" s="110">
        <f>'3A1_3A2_3C6 INFO BASE'!C19</f>
        <v>82535</v>
      </c>
      <c r="I14" s="110">
        <f>'3A1_3A2_3C6 INFO BASE'!D19</f>
        <v>52868</v>
      </c>
      <c r="J14" s="117">
        <f>'3A1_3A2_3C6 INFO BASE'!B19*('FACTORES DE CONVERSIÓN'!$C$35*'FACTORES DE CONVERSIÓN'!$C$48/365+'FACTORES DE CONVERSIÓN'!$C$36+'FACTORES DE CONVERSIÓN'!$C$37+'FACTORES DE CONVERSIÓN'!$C$39*'FACTORES DE CONVERSIÓN'!$C$49/365+'FACTORES DE CONVERSIÓN'!$C$40)</f>
        <v>1115732.3615026127</v>
      </c>
      <c r="K14" s="117">
        <f>'3A1_3A2_3C6 INFO BASE'!D52*'FACTORES DE CONVERSIÓN'!$C$50/365</f>
        <v>253515.31403352166</v>
      </c>
    </row>
    <row r="15" spans="1:11" ht="12.75">
      <c r="A15" s="108" t="s">
        <v>96</v>
      </c>
      <c r="B15" s="109">
        <f>'3A1_3A2_3C6 INFO BASE'!H20</f>
        <v>255857</v>
      </c>
      <c r="C15" s="109">
        <f>'3A1_3A2_3C6 INFO BASE'!F20</f>
        <v>357814</v>
      </c>
      <c r="D15" s="109">
        <f>'3A1_3A2_3C6 INFO BASE'!E20</f>
        <v>108605</v>
      </c>
      <c r="E15" s="117">
        <f>'3A1_3A2_3C6 INFO BASE'!B53</f>
        <v>40434.5145349209</v>
      </c>
      <c r="F15" s="117">
        <f>'3A1_3A2_3C6 INFO BASE'!C53</f>
        <v>52367.0920036767</v>
      </c>
      <c r="G15" s="109">
        <f>'3A1_3A2_3C6 INFO BASE'!G20*'FACTORES DE CONVERSIÓN'!$C$47/365</f>
        <v>45138.78082191781</v>
      </c>
      <c r="H15" s="110">
        <f>'3A1_3A2_3C6 INFO BASE'!C20</f>
        <v>7999</v>
      </c>
      <c r="I15" s="110">
        <f>'3A1_3A2_3C6 INFO BASE'!D20</f>
        <v>0</v>
      </c>
      <c r="J15" s="117">
        <f>'3A1_3A2_3C6 INFO BASE'!B20*('FACTORES DE CONVERSIÓN'!$C$35*'FACTORES DE CONVERSIÓN'!$C$48/365+'FACTORES DE CONVERSIÓN'!$C$36+'FACTORES DE CONVERSIÓN'!$C$37+'FACTORES DE CONVERSIÓN'!$C$39*'FACTORES DE CONVERSIÓN'!$C$49/365+'FACTORES DE CONVERSIÓN'!$C$40)</f>
        <v>8230005.202570259</v>
      </c>
      <c r="K15" s="117">
        <f>'3A1_3A2_3C6 INFO BASE'!D53*'FACTORES DE CONVERSIÓN'!$C$50/365</f>
        <v>193403.46868427758</v>
      </c>
    </row>
    <row r="16" spans="1:11" ht="12.75">
      <c r="A16" s="108" t="s">
        <v>97</v>
      </c>
      <c r="B16" s="109">
        <f>'3A1_3A2_3C6 INFO BASE'!H21</f>
        <v>86344</v>
      </c>
      <c r="C16" s="109">
        <f>'3A1_3A2_3C6 INFO BASE'!F21</f>
        <v>82685</v>
      </c>
      <c r="D16" s="109">
        <f>'3A1_3A2_3C6 INFO BASE'!E21</f>
        <v>83968</v>
      </c>
      <c r="E16" s="117">
        <f>'3A1_3A2_3C6 INFO BASE'!B54</f>
        <v>6894.06955165671</v>
      </c>
      <c r="F16" s="117">
        <f>'3A1_3A2_3C6 INFO BASE'!C54</f>
        <v>12246.0466482676</v>
      </c>
      <c r="G16" s="109">
        <f>'3A1_3A2_3C6 INFO BASE'!G21*'FACTORES DE CONVERSIÓN'!$C$47/365</f>
        <v>25361.095890410958</v>
      </c>
      <c r="H16" s="110">
        <f>'3A1_3A2_3C6 INFO BASE'!C21</f>
        <v>0</v>
      </c>
      <c r="I16" s="110">
        <f>'3A1_3A2_3C6 INFO BASE'!D21</f>
        <v>0</v>
      </c>
      <c r="J16" s="117">
        <f>'3A1_3A2_3C6 INFO BASE'!B21*('FACTORES DE CONVERSIÓN'!$C$35*'FACTORES DE CONVERSIÓN'!$C$48/365+'FACTORES DE CONVERSIÓN'!$C$36+'FACTORES DE CONVERSIÓN'!$C$37+'FACTORES DE CONVERSIÓN'!$C$39*'FACTORES DE CONVERSIÓN'!$C$49/365+'FACTORES DE CONVERSIÓN'!$C$40)</f>
        <v>584068.3582544839</v>
      </c>
      <c r="K16" s="117">
        <f>'3A1_3A2_3C6 INFO BASE'!D54*'FACTORES DE CONVERSIÓN'!$C$50/365</f>
        <v>67625.76015337044</v>
      </c>
    </row>
    <row r="17" spans="1:11" ht="12.75">
      <c r="A17" s="108" t="s">
        <v>98</v>
      </c>
      <c r="B17" s="109">
        <f>'3A1_3A2_3C6 INFO BASE'!H22</f>
        <v>257939</v>
      </c>
      <c r="C17" s="109">
        <f>'3A1_3A2_3C6 INFO BASE'!F22</f>
        <v>319535</v>
      </c>
      <c r="D17" s="109">
        <f>'3A1_3A2_3C6 INFO BASE'!E22</f>
        <v>175075</v>
      </c>
      <c r="E17" s="117">
        <f>'3A1_3A2_3C6 INFO BASE'!B55</f>
        <v>12397.3182038256</v>
      </c>
      <c r="F17" s="117">
        <f>'3A1_3A2_3C6 INFO BASE'!C55</f>
        <v>24667.3729118253</v>
      </c>
      <c r="G17" s="109">
        <f>'3A1_3A2_3C6 INFO BASE'!G22*'FACTORES DE CONVERSIÓN'!$C$47/365</f>
        <v>129472.76712328767</v>
      </c>
      <c r="H17" s="110">
        <f>'3A1_3A2_3C6 INFO BASE'!C22</f>
        <v>40511</v>
      </c>
      <c r="I17" s="110">
        <f>'3A1_3A2_3C6 INFO BASE'!D22</f>
        <v>20152</v>
      </c>
      <c r="J17" s="117">
        <f>'3A1_3A2_3C6 INFO BASE'!B22*('FACTORES DE CONVERSIÓN'!$C$35*'FACTORES DE CONVERSIÓN'!$C$48/365+'FACTORES DE CONVERSIÓN'!$C$36+'FACTORES DE CONVERSIÓN'!$C$37+'FACTORES DE CONVERSIÓN'!$C$39*'FACTORES DE CONVERSIÓN'!$C$49/365+'FACTORES DE CONVERSIÓN'!$C$40)</f>
        <v>18977471.19022737</v>
      </c>
      <c r="K17" s="117">
        <f>'3A1_3A2_3C6 INFO BASE'!D55*'FACTORES DE CONVERSIÓN'!$C$50/365</f>
        <v>217407.55295469894</v>
      </c>
    </row>
    <row r="18" spans="1:11" ht="12.75">
      <c r="A18" s="112" t="s">
        <v>99</v>
      </c>
      <c r="B18" s="109">
        <f>'3A1_3A2_3C6 INFO BASE'!H23</f>
        <v>46053</v>
      </c>
      <c r="C18" s="109">
        <f>'3A1_3A2_3C6 INFO BASE'!F23</f>
        <v>12191</v>
      </c>
      <c r="D18" s="109">
        <f>'3A1_3A2_3C6 INFO BASE'!E23</f>
        <v>350</v>
      </c>
      <c r="E18" s="117">
        <f>'3A1_3A2_3C6 INFO BASE'!B56</f>
        <v>3809.6415524792</v>
      </c>
      <c r="F18" s="117">
        <f>'3A1_3A2_3C6 INFO BASE'!C56</f>
        <v>473.114039625132</v>
      </c>
      <c r="G18" s="109">
        <f>'3A1_3A2_3C6 INFO BASE'!G23*'FACTORES DE CONVERSIÓN'!$C$47/365</f>
        <v>23922.739726027397</v>
      </c>
      <c r="H18" s="110">
        <f>'3A1_3A2_3C6 INFO BASE'!C23</f>
        <v>0</v>
      </c>
      <c r="I18" s="110">
        <f>'3A1_3A2_3C6 INFO BASE'!D23</f>
        <v>0</v>
      </c>
      <c r="J18" s="117">
        <f>'3A1_3A2_3C6 INFO BASE'!B23*('FACTORES DE CONVERSIÓN'!$C$35*'FACTORES DE CONVERSIÓN'!$C$48/365+'FACTORES DE CONVERSIÓN'!$C$36+'FACTORES DE CONVERSIÓN'!$C$37+'FACTORES DE CONVERSIÓN'!$C$39*'FACTORES DE CONVERSIÓN'!$C$49/365+'FACTORES DE CONVERSIÓN'!$C$40)</f>
        <v>1248171.9861319023</v>
      </c>
      <c r="K18" s="117">
        <f>'3A1_3A2_3C6 INFO BASE'!D56*'FACTORES DE CONVERSIÓN'!$C$50/365</f>
        <v>4340.4514702530405</v>
      </c>
    </row>
    <row r="19" spans="1:11" ht="12.75">
      <c r="A19" s="108" t="s">
        <v>100</v>
      </c>
      <c r="B19" s="109">
        <f>'3A1_3A2_3C6 INFO BASE'!H24</f>
        <v>57732</v>
      </c>
      <c r="C19" s="109">
        <f>'3A1_3A2_3C6 INFO BASE'!F24</f>
        <v>9104</v>
      </c>
      <c r="D19" s="109">
        <f>'3A1_3A2_3C6 INFO BASE'!E24</f>
        <v>0</v>
      </c>
      <c r="E19" s="117">
        <f>'3A1_3A2_3C6 INFO BASE'!B57</f>
        <v>476.537404431081</v>
      </c>
      <c r="F19" s="117">
        <f>'3A1_3A2_3C6 INFO BASE'!C57</f>
        <v>22.5937956477626</v>
      </c>
      <c r="G19" s="109">
        <f>'3A1_3A2_3C6 INFO BASE'!G24*'FACTORES DE CONVERSIÓN'!$C$47/365</f>
        <v>3768.4931506849316</v>
      </c>
      <c r="H19" s="110">
        <f>'3A1_3A2_3C6 INFO BASE'!C24</f>
        <v>0</v>
      </c>
      <c r="I19" s="110">
        <f>'3A1_3A2_3C6 INFO BASE'!D24</f>
        <v>0</v>
      </c>
      <c r="J19" s="117">
        <f>'3A1_3A2_3C6 INFO BASE'!B24*('FACTORES DE CONVERSIÓN'!$C$35*'FACTORES DE CONVERSIÓN'!$C$48/365+'FACTORES DE CONVERSIÓN'!$C$36+'FACTORES DE CONVERSIÓN'!$C$37+'FACTORES DE CONVERSIÓN'!$C$39*'FACTORES DE CONVERSIÓN'!$C$49/365+'FACTORES DE CONVERSIÓN'!$C$40)</f>
        <v>152183.91037988986</v>
      </c>
      <c r="K19" s="117">
        <f>'3A1_3A2_3C6 INFO BASE'!D57*'FACTORES DE CONVERSIÓN'!$C$50/365</f>
        <v>674.3401547531622</v>
      </c>
    </row>
    <row r="20" spans="1:11" ht="12.75">
      <c r="A20" s="108" t="s">
        <v>101</v>
      </c>
      <c r="B20" s="109">
        <f>'3A1_3A2_3C6 INFO BASE'!H25</f>
        <v>23993</v>
      </c>
      <c r="C20" s="109">
        <f>'3A1_3A2_3C6 INFO BASE'!F25</f>
        <v>47249</v>
      </c>
      <c r="D20" s="109">
        <f>'3A1_3A2_3C6 INFO BASE'!E25</f>
        <v>8511</v>
      </c>
      <c r="E20" s="117">
        <f>'3A1_3A2_3C6 INFO BASE'!B58</f>
        <v>665.276403728355</v>
      </c>
      <c r="F20" s="117">
        <f>'3A1_3A2_3C6 INFO BASE'!C58</f>
        <v>5796.44169775901</v>
      </c>
      <c r="G20" s="109">
        <f>'3A1_3A2_3C6 INFO BASE'!G25*'FACTORES DE CONVERSIÓN'!$C$47/365</f>
        <v>3692.8356164383563</v>
      </c>
      <c r="H20" s="110">
        <f>'3A1_3A2_3C6 INFO BASE'!C25</f>
        <v>147754</v>
      </c>
      <c r="I20" s="110">
        <f>'3A1_3A2_3C6 INFO BASE'!D25</f>
        <v>39589</v>
      </c>
      <c r="J20" s="117">
        <f>'3A1_3A2_3C6 INFO BASE'!B25*('FACTORES DE CONVERSIÓN'!$C$35*'FACTORES DE CONVERSIÓN'!$C$48/365+'FACTORES DE CONVERSIÓN'!$C$36+'FACTORES DE CONVERSIÓN'!$C$37+'FACTORES DE CONVERSIÓN'!$C$39*'FACTORES DE CONVERSIÓN'!$C$49/365+'FACTORES DE CONVERSIÓN'!$C$40)</f>
        <v>17220.62714305889</v>
      </c>
      <c r="K20" s="117">
        <f>'3A1_3A2_3C6 INFO BASE'!D58*'FACTORES DE CONVERSIÓN'!$C$50/365</f>
        <v>39435.63996530836</v>
      </c>
    </row>
    <row r="21" spans="1:11" ht="12.75">
      <c r="A21" s="108" t="s">
        <v>102</v>
      </c>
      <c r="B21" s="109">
        <f>'3A1_3A2_3C6 INFO BASE'!H26</f>
        <v>118002</v>
      </c>
      <c r="C21" s="109">
        <f>'3A1_3A2_3C6 INFO BASE'!F26</f>
        <v>682688</v>
      </c>
      <c r="D21" s="109">
        <f>'3A1_3A2_3C6 INFO BASE'!E26</f>
        <v>6810</v>
      </c>
      <c r="E21" s="117">
        <f>'3A1_3A2_3C6 INFO BASE'!B59</f>
        <v>10030.314105245</v>
      </c>
      <c r="F21" s="117">
        <f>'3A1_3A2_3C6 INFO BASE'!C59</f>
        <v>8977.69665350197</v>
      </c>
      <c r="G21" s="109">
        <f>'3A1_3A2_3C6 INFO BASE'!G26*'FACTORES DE CONVERSIÓN'!$C$47/365</f>
        <v>14773.356164383562</v>
      </c>
      <c r="H21" s="110">
        <f>'3A1_3A2_3C6 INFO BASE'!C26</f>
        <v>125956</v>
      </c>
      <c r="I21" s="110">
        <f>'3A1_3A2_3C6 INFO BASE'!D26</f>
        <v>33250</v>
      </c>
      <c r="J21" s="117">
        <f>'3A1_3A2_3C6 INFO BASE'!B26*('FACTORES DE CONVERSIÓN'!$C$35*'FACTORES DE CONVERSIÓN'!$C$48/365+'FACTORES DE CONVERSIÓN'!$C$36+'FACTORES DE CONVERSIÓN'!$C$37+'FACTORES DE CONVERSIÓN'!$C$39*'FACTORES DE CONVERSIÓN'!$C$49/365+'FACTORES DE CONVERSIÓN'!$C$40)</f>
        <v>43521.9159440757</v>
      </c>
      <c r="K21" s="117">
        <f>'3A1_3A2_3C6 INFO BASE'!D59*'FACTORES DE CONVERSIÓN'!$C$50/365</f>
        <v>23731.28634203258</v>
      </c>
    </row>
    <row r="22" spans="1:11" ht="12.75">
      <c r="A22" s="108" t="s">
        <v>103</v>
      </c>
      <c r="B22" s="109">
        <f>'3A1_3A2_3C6 INFO BASE'!H27</f>
        <v>290882</v>
      </c>
      <c r="C22" s="109">
        <f>'3A1_3A2_3C6 INFO BASE'!F27</f>
        <v>302540</v>
      </c>
      <c r="D22" s="109">
        <f>'3A1_3A2_3C6 INFO BASE'!E27</f>
        <v>382545</v>
      </c>
      <c r="E22" s="117">
        <f>'3A1_3A2_3C6 INFO BASE'!B60</f>
        <v>32523.6619960125</v>
      </c>
      <c r="F22" s="117">
        <f>'3A1_3A2_3C6 INFO BASE'!C60</f>
        <v>43551.5887523214</v>
      </c>
      <c r="G22" s="109">
        <f>'3A1_3A2_3C6 INFO BASE'!G27*'FACTORES DE CONVERSIÓN'!$C$47/365</f>
        <v>45742.31506849315</v>
      </c>
      <c r="H22" s="110">
        <f>'3A1_3A2_3C6 INFO BASE'!C27</f>
        <v>82</v>
      </c>
      <c r="I22" s="110">
        <f>'3A1_3A2_3C6 INFO BASE'!D27</f>
        <v>0</v>
      </c>
      <c r="J22" s="117">
        <f>'3A1_3A2_3C6 INFO BASE'!B27*('FACTORES DE CONVERSIÓN'!$C$35*'FACTORES DE CONVERSIÓN'!$C$48/365+'FACTORES DE CONVERSIÓN'!$C$36+'FACTORES DE CONVERSIÓN'!$C$37+'FACTORES DE CONVERSIÓN'!$C$39*'FACTORES DE CONVERSIÓN'!$C$49/365+'FACTORES DE CONVERSIÓN'!$C$40)</f>
        <v>1894498.2099703432</v>
      </c>
      <c r="K22" s="117">
        <f>'3A1_3A2_3C6 INFO BASE'!D60*'FACTORES DE CONVERSIÓN'!$C$50/365</f>
        <v>28246.887910495236</v>
      </c>
    </row>
    <row r="23" spans="1:11" ht="12.75">
      <c r="A23" s="108" t="s">
        <v>104</v>
      </c>
      <c r="B23" s="109">
        <f>'3A1_3A2_3C6 INFO BASE'!H28</f>
        <v>726080</v>
      </c>
      <c r="C23" s="109">
        <f>'3A1_3A2_3C6 INFO BASE'!F28</f>
        <v>2919060</v>
      </c>
      <c r="D23" s="109">
        <f>'3A1_3A2_3C6 INFO BASE'!E28</f>
        <v>0</v>
      </c>
      <c r="E23" s="117">
        <f>'3A1_3A2_3C6 INFO BASE'!B61</f>
        <v>9935.45312678</v>
      </c>
      <c r="F23" s="117">
        <f>'3A1_3A2_3C6 INFO BASE'!C61</f>
        <v>58066.4047730159</v>
      </c>
      <c r="G23" s="109">
        <f>'3A1_3A2_3C6 INFO BASE'!G28*'FACTORES DE CONVERSIÓN'!$C$47/365</f>
        <v>32308.35616438356</v>
      </c>
      <c r="H23" s="110">
        <f>'3A1_3A2_3C6 INFO BASE'!C28</f>
        <v>2032490</v>
      </c>
      <c r="I23" s="110">
        <f>'3A1_3A2_3C6 INFO BASE'!D28</f>
        <v>394780</v>
      </c>
      <c r="J23" s="117">
        <f>'3A1_3A2_3C6 INFO BASE'!B28*('FACTORES DE CONVERSIÓN'!$C$35*'FACTORES DE CONVERSIÓN'!$C$48/365+'FACTORES DE CONVERSIÓN'!$C$36+'FACTORES DE CONVERSIÓN'!$C$37+'FACTORES DE CONVERSIÓN'!$C$39*'FACTORES DE CONVERSIÓN'!$C$49/365+'FACTORES DE CONVERSIÓN'!$C$40)</f>
        <v>540665.4384973873</v>
      </c>
      <c r="K23" s="117">
        <f>'3A1_3A2_3C6 INFO BASE'!D61*'FACTORES DE CONVERSIÓN'!$C$50/365</f>
        <v>28776.442718116356</v>
      </c>
    </row>
    <row r="24" spans="1:11" ht="12.75">
      <c r="A24" s="112" t="s">
        <v>105</v>
      </c>
      <c r="B24" s="109">
        <f>'3A1_3A2_3C6 INFO BASE'!H29</f>
        <v>193965</v>
      </c>
      <c r="C24" s="109">
        <f>'3A1_3A2_3C6 INFO BASE'!F29</f>
        <v>5422</v>
      </c>
      <c r="D24" s="109">
        <f>'3A1_3A2_3C6 INFO BASE'!E29</f>
        <v>0</v>
      </c>
      <c r="E24" s="117">
        <f>'3A1_3A2_3C6 INFO BASE'!B62</f>
        <v>24626.0414073493</v>
      </c>
      <c r="F24" s="117">
        <f>'3A1_3A2_3C6 INFO BASE'!C62</f>
        <v>11662.7836692357</v>
      </c>
      <c r="G24" s="109">
        <f>'3A1_3A2_3C6 INFO BASE'!G29*'FACTORES DE CONVERSIÓN'!$C$47/365</f>
        <v>40663.767123287675</v>
      </c>
      <c r="H24" s="110">
        <f>'3A1_3A2_3C6 INFO BASE'!C29</f>
        <v>0</v>
      </c>
      <c r="I24" s="110">
        <f>'3A1_3A2_3C6 INFO BASE'!D29</f>
        <v>0</v>
      </c>
      <c r="J24" s="117">
        <f>'3A1_3A2_3C6 INFO BASE'!B29*('FACTORES DE CONVERSIÓN'!$C$35*'FACTORES DE CONVERSIÓN'!$C$48/365+'FACTORES DE CONVERSIÓN'!$C$36+'FACTORES DE CONVERSIÓN'!$C$37+'FACTORES DE CONVERSIÓN'!$C$39*'FACTORES DE CONVERSIÓN'!$C$49/365+'FACTORES DE CONVERSIÓN'!$C$40)</f>
        <v>1367212.6401073295</v>
      </c>
      <c r="K24" s="117">
        <f>'3A1_3A2_3C6 INFO BASE'!D62*'FACTORES DE CONVERSIÓN'!$C$50/365</f>
        <v>93172.19107727145</v>
      </c>
    </row>
    <row r="25" spans="1:11" ht="12.75">
      <c r="A25" s="108" t="s">
        <v>106</v>
      </c>
      <c r="B25" s="109">
        <f>'3A1_3A2_3C6 INFO BASE'!H30</f>
        <v>20570</v>
      </c>
      <c r="C25" s="109">
        <f>'3A1_3A2_3C6 INFO BASE'!F30</f>
        <v>37901</v>
      </c>
      <c r="D25" s="109">
        <f>'3A1_3A2_3C6 INFO BASE'!E30</f>
        <v>18227</v>
      </c>
      <c r="E25" s="117">
        <f>'3A1_3A2_3C6 INFO BASE'!B63</f>
        <v>682.893921675903</v>
      </c>
      <c r="F25" s="117">
        <f>'3A1_3A2_3C6 INFO BASE'!C63</f>
        <v>1448.6128993615</v>
      </c>
      <c r="G25" s="109">
        <f>'3A1_3A2_3C6 INFO BASE'!G30*'FACTORES DE CONVERSIÓN'!$C$47/365</f>
        <v>9870.575342465754</v>
      </c>
      <c r="H25" s="110">
        <f>'3A1_3A2_3C6 INFO BASE'!C30</f>
        <v>78238</v>
      </c>
      <c r="I25" s="110">
        <f>'3A1_3A2_3C6 INFO BASE'!D30</f>
        <v>29742</v>
      </c>
      <c r="J25" s="117">
        <f>'3A1_3A2_3C6 INFO BASE'!B30*('FACTORES DE CONVERSIÓN'!$C$35*'FACTORES DE CONVERSIÓN'!$C$48/365+'FACTORES DE CONVERSIÓN'!$C$36+'FACTORES DE CONVERSIÓN'!$C$37+'FACTORES DE CONVERSIÓN'!$C$39*'FACTORES DE CONVERSIÓN'!$C$49/365+'FACTORES DE CONVERSIÓN'!$C$40)</f>
        <v>360380.8917102104</v>
      </c>
      <c r="K25" s="117">
        <f>'3A1_3A2_3C6 INFO BASE'!D63*'FACTORES DE CONVERSIÓN'!$C$50/365</f>
        <v>29513.139228904438</v>
      </c>
    </row>
    <row r="26" spans="1:11" ht="12.75">
      <c r="A26" s="108" t="s">
        <v>107</v>
      </c>
      <c r="B26" s="109">
        <f>'3A1_3A2_3C6 INFO BASE'!H31</f>
        <v>22427</v>
      </c>
      <c r="C26" s="109">
        <f>'3A1_3A2_3C6 INFO BASE'!F31</f>
        <v>6290</v>
      </c>
      <c r="D26" s="109">
        <f>'3A1_3A2_3C6 INFO BASE'!E31</f>
        <v>60648</v>
      </c>
      <c r="E26" s="117">
        <f>'3A1_3A2_3C6 INFO BASE'!B64</f>
        <v>2337.35463511981</v>
      </c>
      <c r="F26" s="117">
        <f>'3A1_3A2_3C6 INFO BASE'!C64</f>
        <v>2515.27705299681</v>
      </c>
      <c r="G26" s="109">
        <f>'3A1_3A2_3C6 INFO BASE'!G31*'FACTORES DE CONVERSIÓN'!$C$47/365</f>
        <v>8557.643835616438</v>
      </c>
      <c r="H26" s="110">
        <f>'3A1_3A2_3C6 INFO BASE'!C31</f>
        <v>0</v>
      </c>
      <c r="I26" s="110">
        <f>'3A1_3A2_3C6 INFO BASE'!D31</f>
        <v>0</v>
      </c>
      <c r="J26" s="117">
        <f>'3A1_3A2_3C6 INFO BASE'!B31*('FACTORES DE CONVERSIÓN'!$C$35*'FACTORES DE CONVERSIÓN'!$C$48/365+'FACTORES DE CONVERSIÓN'!$C$36+'FACTORES DE CONVERSIÓN'!$C$37+'FACTORES DE CONVERSIÓN'!$C$39*'FACTORES DE CONVERSIÓN'!$C$49/365+'FACTORES DE CONVERSIÓN'!$C$40)</f>
        <v>50050.422539189385</v>
      </c>
      <c r="K26" s="117">
        <f>'3A1_3A2_3C6 INFO BASE'!D64*'FACTORES DE CONVERSIÓN'!$C$50/365</f>
        <v>621.3373822690422</v>
      </c>
    </row>
    <row r="27" spans="1:11" ht="12.75">
      <c r="A27" s="108" t="s">
        <v>108</v>
      </c>
      <c r="B27" s="109">
        <f>'3A1_3A2_3C6 INFO BASE'!H32</f>
        <v>46396</v>
      </c>
      <c r="C27" s="109">
        <f>'3A1_3A2_3C6 INFO BASE'!F32</f>
        <v>9646</v>
      </c>
      <c r="D27" s="109">
        <f>'3A1_3A2_3C6 INFO BASE'!E32</f>
        <v>0</v>
      </c>
      <c r="E27" s="117">
        <f>'3A1_3A2_3C6 INFO BASE'!B65</f>
        <v>2205.78692169011</v>
      </c>
      <c r="F27" s="117">
        <f>'3A1_3A2_3C6 INFO BASE'!C65</f>
        <v>187.369860096304</v>
      </c>
      <c r="G27" s="109">
        <f>'3A1_3A2_3C6 INFO BASE'!G32*'FACTORES DE CONVERSIÓN'!$C$47/365</f>
        <v>13596.780821917808</v>
      </c>
      <c r="H27" s="110">
        <f>'3A1_3A2_3C6 INFO BASE'!C32</f>
        <v>0</v>
      </c>
      <c r="I27" s="110">
        <f>'3A1_3A2_3C6 INFO BASE'!D32</f>
        <v>0</v>
      </c>
      <c r="J27" s="117">
        <f>'3A1_3A2_3C6 INFO BASE'!B32*('FACTORES DE CONVERSIÓN'!$C$35*'FACTORES DE CONVERSIÓN'!$C$48/365+'FACTORES DE CONVERSIÓN'!$C$36+'FACTORES DE CONVERSIÓN'!$C$37+'FACTORES DE CONVERSIÓN'!$C$39*'FACTORES DE CONVERSIÓN'!$C$49/365+'FACTORES DE CONVERSIÓN'!$C$40)</f>
        <v>1861569.4598503036</v>
      </c>
      <c r="K27" s="117">
        <f>'3A1_3A2_3C6 INFO BASE'!D65*'FACTORES DE CONVERSIÓN'!$C$50/365</f>
        <v>3169.876645111857</v>
      </c>
    </row>
    <row r="28" ht="12.75"/>
    <row r="29" spans="1:12" ht="12.75">
      <c r="A29" s="1202" t="s">
        <v>1037</v>
      </c>
      <c r="B29" s="1202"/>
      <c r="C29" s="1202"/>
      <c r="D29" s="1202"/>
      <c r="E29" s="167"/>
      <c r="F29" s="167"/>
      <c r="G29" s="167"/>
      <c r="H29" s="167"/>
      <c r="I29" s="167"/>
      <c r="J29" s="167"/>
      <c r="K29" s="167"/>
      <c r="L29" s="167"/>
    </row>
    <row r="30" spans="1:10" ht="25.5">
      <c r="A30" s="105" t="s">
        <v>41</v>
      </c>
      <c r="B30" s="105" t="s">
        <v>148</v>
      </c>
      <c r="C30" s="105" t="s">
        <v>564</v>
      </c>
      <c r="E30" s="508" t="s">
        <v>989</v>
      </c>
      <c r="F30" s="6"/>
      <c r="G30" s="6"/>
      <c r="H30" s="6"/>
      <c r="I30" s="6"/>
      <c r="J30" s="6"/>
    </row>
    <row r="31" spans="1:10" ht="25.5">
      <c r="A31" s="105" t="s">
        <v>76</v>
      </c>
      <c r="B31" s="107">
        <f>SUM(B32:B55)</f>
        <v>895718</v>
      </c>
      <c r="C31" s="107">
        <f>SUM(C32:C55)</f>
        <v>4639737</v>
      </c>
      <c r="E31" s="6"/>
      <c r="F31" s="6"/>
      <c r="G31" s="6"/>
      <c r="H31" s="6"/>
      <c r="I31" s="6"/>
      <c r="J31" s="6"/>
    </row>
    <row r="32" spans="1:10" ht="12.75">
      <c r="A32" s="108" t="s">
        <v>85</v>
      </c>
      <c r="B32" s="109">
        <f>'3A1_3A2_3C6 INFO BASE'!B75</f>
        <v>71212</v>
      </c>
      <c r="C32" s="109">
        <f>B4-B32</f>
        <v>175148</v>
      </c>
      <c r="E32" s="6"/>
      <c r="F32" s="6"/>
      <c r="G32" s="6"/>
      <c r="H32" s="6"/>
      <c r="I32" s="6"/>
      <c r="J32" s="6"/>
    </row>
    <row r="33" spans="1:10" ht="12.75">
      <c r="A33" s="108" t="s">
        <v>86</v>
      </c>
      <c r="B33" s="109">
        <f>'3A1_3A2_3C6 INFO BASE'!B76</f>
        <v>13073</v>
      </c>
      <c r="C33" s="109">
        <f aca="true" t="shared" si="1" ref="C33:C55">B5-B33</f>
        <v>296402</v>
      </c>
      <c r="E33" s="6"/>
      <c r="F33" s="6"/>
      <c r="G33" s="6"/>
      <c r="H33" s="6"/>
      <c r="I33" s="6"/>
      <c r="J33" s="6"/>
    </row>
    <row r="34" spans="1:10" ht="12.75">
      <c r="A34" s="108" t="s">
        <v>87</v>
      </c>
      <c r="B34" s="109">
        <f>'3A1_3A2_3C6 INFO BASE'!B77</f>
        <v>32542</v>
      </c>
      <c r="C34" s="109">
        <f t="shared" si="1"/>
        <v>262858</v>
      </c>
      <c r="E34" s="6"/>
      <c r="F34" s="6"/>
      <c r="G34" s="6"/>
      <c r="H34" s="6"/>
      <c r="I34" s="6"/>
      <c r="J34" s="6"/>
    </row>
    <row r="35" spans="1:10" ht="12.75">
      <c r="A35" s="108" t="s">
        <v>88</v>
      </c>
      <c r="B35" s="109">
        <f>'3A1_3A2_3C6 INFO BASE'!B78</f>
        <v>74287</v>
      </c>
      <c r="C35" s="109">
        <f>B7-B35</f>
        <v>148153</v>
      </c>
      <c r="E35" s="6"/>
      <c r="F35" s="6"/>
      <c r="G35" s="6"/>
      <c r="H35" s="6"/>
      <c r="I35" s="6"/>
      <c r="J35" s="6"/>
    </row>
    <row r="36" spans="1:10" ht="12.75">
      <c r="A36" s="108" t="s">
        <v>89</v>
      </c>
      <c r="B36" s="109">
        <f>'3A1_3A2_3C6 INFO BASE'!B79</f>
        <v>30053</v>
      </c>
      <c r="C36" s="109">
        <f t="shared" si="1"/>
        <v>400023</v>
      </c>
      <c r="E36" s="6"/>
      <c r="F36" s="6"/>
      <c r="G36" s="6"/>
      <c r="H36" s="6"/>
      <c r="I36" s="6"/>
      <c r="J36" s="6"/>
    </row>
    <row r="37" spans="1:3" ht="12.75">
      <c r="A37" s="108" t="s">
        <v>90</v>
      </c>
      <c r="B37" s="109">
        <f>'3A1_3A2_3C6 INFO BASE'!B80</f>
        <v>159826</v>
      </c>
      <c r="C37" s="109">
        <f t="shared" si="1"/>
        <v>497735</v>
      </c>
    </row>
    <row r="38" spans="1:3" ht="12.75">
      <c r="A38" s="108" t="s">
        <v>91</v>
      </c>
      <c r="B38" s="109">
        <f>'3A1_3A2_3C6 INFO BASE'!B81</f>
        <v>80923</v>
      </c>
      <c r="C38" s="109">
        <f t="shared" si="1"/>
        <v>337037</v>
      </c>
    </row>
    <row r="39" spans="1:3" ht="12.75">
      <c r="A39" s="108" t="s">
        <v>92</v>
      </c>
      <c r="B39" s="109">
        <f>'3A1_3A2_3C6 INFO BASE'!B82</f>
        <v>16134</v>
      </c>
      <c r="C39" s="109">
        <f t="shared" si="1"/>
        <v>159638</v>
      </c>
    </row>
    <row r="40" spans="1:3" ht="12.75">
      <c r="A40" s="108" t="s">
        <v>93</v>
      </c>
      <c r="B40" s="109">
        <f>'3A1_3A2_3C6 INFO BASE'!B83</f>
        <v>31905</v>
      </c>
      <c r="C40" s="109">
        <f t="shared" si="1"/>
        <v>258495</v>
      </c>
    </row>
    <row r="41" spans="1:3" ht="12.75">
      <c r="A41" s="108" t="s">
        <v>94</v>
      </c>
      <c r="B41" s="109">
        <f>'3A1_3A2_3C6 INFO BASE'!B84</f>
        <v>10349</v>
      </c>
      <c r="C41" s="109">
        <f t="shared" si="1"/>
        <v>36972</v>
      </c>
    </row>
    <row r="42" spans="1:3" ht="12.75">
      <c r="A42" s="108" t="s">
        <v>95</v>
      </c>
      <c r="B42" s="109">
        <f>'3A1_3A2_3C6 INFO BASE'!B85</f>
        <v>36691</v>
      </c>
      <c r="C42" s="109">
        <f t="shared" si="1"/>
        <v>259759</v>
      </c>
    </row>
    <row r="43" spans="1:3" ht="12.75">
      <c r="A43" s="108" t="s">
        <v>96</v>
      </c>
      <c r="B43" s="109">
        <f>'3A1_3A2_3C6 INFO BASE'!B86</f>
        <v>43042</v>
      </c>
      <c r="C43" s="109">
        <f t="shared" si="1"/>
        <v>212815</v>
      </c>
    </row>
    <row r="44" spans="1:3" ht="12.75">
      <c r="A44" s="108" t="s">
        <v>97</v>
      </c>
      <c r="B44" s="109">
        <f>'3A1_3A2_3C6 INFO BASE'!B87</f>
        <v>20306</v>
      </c>
      <c r="C44" s="109">
        <f t="shared" si="1"/>
        <v>66038</v>
      </c>
    </row>
    <row r="45" spans="1:3" ht="12.75">
      <c r="A45" s="108" t="s">
        <v>98</v>
      </c>
      <c r="B45" s="109">
        <f>'3A1_3A2_3C6 INFO BASE'!B88</f>
        <v>77763</v>
      </c>
      <c r="C45" s="109">
        <f t="shared" si="1"/>
        <v>180176</v>
      </c>
    </row>
    <row r="46" spans="1:3" ht="12.75">
      <c r="A46" s="112" t="s">
        <v>99</v>
      </c>
      <c r="B46" s="109">
        <f>'3A1_3A2_3C6 INFO BASE'!B89</f>
        <v>1254</v>
      </c>
      <c r="C46" s="109">
        <f t="shared" si="1"/>
        <v>44799</v>
      </c>
    </row>
    <row r="47" spans="1:3" ht="12.75">
      <c r="A47" s="108" t="s">
        <v>100</v>
      </c>
      <c r="B47" s="109">
        <f>'3A1_3A2_3C6 INFO BASE'!B90</f>
        <v>1610</v>
      </c>
      <c r="C47" s="109">
        <f t="shared" si="1"/>
        <v>56122</v>
      </c>
    </row>
    <row r="48" spans="1:3" ht="12.75">
      <c r="A48" s="108" t="s">
        <v>101</v>
      </c>
      <c r="B48" s="109">
        <f>'3A1_3A2_3C6 INFO BASE'!B91</f>
        <v>5302</v>
      </c>
      <c r="C48" s="109">
        <f t="shared" si="1"/>
        <v>18691</v>
      </c>
    </row>
    <row r="49" spans="1:3" ht="12.75">
      <c r="A49" s="108" t="s">
        <v>102</v>
      </c>
      <c r="B49" s="109">
        <f>'3A1_3A2_3C6 INFO BASE'!B92</f>
        <v>26348</v>
      </c>
      <c r="C49" s="109">
        <f t="shared" si="1"/>
        <v>91654</v>
      </c>
    </row>
    <row r="50" spans="1:3" ht="12.75">
      <c r="A50" s="108" t="s">
        <v>103</v>
      </c>
      <c r="B50" s="109">
        <f>'3A1_3A2_3C6 INFO BASE'!B93</f>
        <v>30915</v>
      </c>
      <c r="C50" s="109">
        <f t="shared" si="1"/>
        <v>259967</v>
      </c>
    </row>
    <row r="51" spans="1:3" ht="12.75">
      <c r="A51" s="108" t="s">
        <v>104</v>
      </c>
      <c r="B51" s="109">
        <f>'3A1_3A2_3C6 INFO BASE'!B94</f>
        <v>102805</v>
      </c>
      <c r="C51" s="109">
        <f t="shared" si="1"/>
        <v>623275</v>
      </c>
    </row>
    <row r="52" spans="1:3" ht="12.75">
      <c r="A52" s="112" t="s">
        <v>105</v>
      </c>
      <c r="B52" s="109">
        <f>'3A1_3A2_3C6 INFO BASE'!B95</f>
        <v>18813</v>
      </c>
      <c r="C52" s="109">
        <f t="shared" si="1"/>
        <v>175152</v>
      </c>
    </row>
    <row r="53" spans="1:3" ht="12.75">
      <c r="A53" s="108" t="s">
        <v>106</v>
      </c>
      <c r="B53" s="109">
        <f>'3A1_3A2_3C6 INFO BASE'!B96</f>
        <v>5702</v>
      </c>
      <c r="C53" s="109">
        <f t="shared" si="1"/>
        <v>14868</v>
      </c>
    </row>
    <row r="54" spans="1:3" ht="12.75">
      <c r="A54" s="108" t="s">
        <v>107</v>
      </c>
      <c r="B54" s="109">
        <f>'3A1_3A2_3C6 INFO BASE'!B97</f>
        <v>422</v>
      </c>
      <c r="C54" s="109">
        <f t="shared" si="1"/>
        <v>22005</v>
      </c>
    </row>
    <row r="55" spans="1:3" ht="12.75">
      <c r="A55" s="108" t="s">
        <v>108</v>
      </c>
      <c r="B55" s="109">
        <f>'3A1_3A2_3C6 INFO BASE'!B98</f>
        <v>4441</v>
      </c>
      <c r="C55" s="109">
        <f t="shared" si="1"/>
        <v>41955</v>
      </c>
    </row>
    <row r="56" spans="1:12" ht="12.75">
      <c r="A56" s="118"/>
      <c r="B56" s="168"/>
      <c r="C56" s="168"/>
      <c r="D56" s="168"/>
      <c r="E56" s="168"/>
      <c r="F56" s="169"/>
      <c r="G56" s="169"/>
      <c r="H56" s="168"/>
      <c r="I56" s="170"/>
      <c r="J56" s="170"/>
      <c r="K56" s="168"/>
      <c r="L56" s="169"/>
    </row>
    <row r="57" spans="1:6" ht="12.75">
      <c r="A57" s="1197" t="s">
        <v>492</v>
      </c>
      <c r="B57" s="1197"/>
      <c r="C57" s="1197"/>
      <c r="D57" s="1197"/>
      <c r="E57" s="1197"/>
      <c r="F57" s="1197"/>
    </row>
    <row r="58" spans="1:13" ht="15">
      <c r="A58" s="121"/>
      <c r="B58" s="122" t="s">
        <v>109</v>
      </c>
      <c r="C58" s="121" t="s">
        <v>110</v>
      </c>
      <c r="D58" s="122" t="s">
        <v>111</v>
      </c>
      <c r="E58" s="121" t="s">
        <v>112</v>
      </c>
      <c r="F58" s="122" t="s">
        <v>113</v>
      </c>
      <c r="H58" s="508" t="s">
        <v>989</v>
      </c>
      <c r="I58" s="6"/>
      <c r="J58" s="6"/>
      <c r="K58" s="6"/>
      <c r="L58" s="6"/>
      <c r="M58" s="6"/>
    </row>
    <row r="59" spans="1:13" ht="25.5">
      <c r="A59" s="171" t="s">
        <v>76</v>
      </c>
      <c r="B59" s="172">
        <f>SUM(B60:B83)</f>
        <v>1954232</v>
      </c>
      <c r="C59" s="172">
        <f>SUM(C60:C83)</f>
        <v>1954232000</v>
      </c>
      <c r="D59" s="172">
        <f>SUM(D60:D83)</f>
        <v>5354060.273972603</v>
      </c>
      <c r="E59" s="172">
        <f>AVERAGE(E60:E83)</f>
        <v>5.80834275705432</v>
      </c>
      <c r="F59" s="172">
        <f>AVERAGE(F60:F83)</f>
        <v>5.982593039765948</v>
      </c>
      <c r="H59" s="6"/>
      <c r="I59" s="6"/>
      <c r="J59" s="6"/>
      <c r="K59" s="6"/>
      <c r="L59" s="6"/>
      <c r="M59" s="6"/>
    </row>
    <row r="60" spans="1:13" ht="12.75">
      <c r="A60" s="108" t="s">
        <v>85</v>
      </c>
      <c r="B60" s="125">
        <f>'3A1_3A2_3C6 INFO BASE'!B108</f>
        <v>83366</v>
      </c>
      <c r="C60" s="125">
        <f>B60*'FACTORES DE CONVERSIÓN'!$B$14</f>
        <v>83366000</v>
      </c>
      <c r="D60" s="125">
        <f aca="true" t="shared" si="2" ref="D60:D83">C60/365</f>
        <v>228400</v>
      </c>
      <c r="E60" s="125">
        <f>D60/'3A1_3A2_3C6 INFO BASE'!B75</f>
        <v>3.207324608212099</v>
      </c>
      <c r="F60" s="125">
        <f>E60*'FACTORES DE CONVERSIÓN'!$B$54*'FACTORES DE CONVERSIÓN'!$B$15*'FACTORES DE CONVERSIÓN'!$B$20</f>
        <v>3.3035443464584624</v>
      </c>
      <c r="H60" s="6"/>
      <c r="I60" s="6"/>
      <c r="J60" s="6"/>
      <c r="K60" s="6"/>
      <c r="L60" s="6"/>
      <c r="M60" s="6"/>
    </row>
    <row r="61" spans="1:13" ht="12.75">
      <c r="A61" s="108" t="s">
        <v>86</v>
      </c>
      <c r="B61" s="125">
        <f>'3A1_3A2_3C6 INFO BASE'!B109</f>
        <v>15749</v>
      </c>
      <c r="C61" s="125">
        <f>B61*'FACTORES DE CONVERSIÓN'!$B$14</f>
        <v>15749000</v>
      </c>
      <c r="D61" s="125">
        <f t="shared" si="2"/>
        <v>43147.94520547945</v>
      </c>
      <c r="E61" s="125">
        <f>D61/'3A1_3A2_3C6 INFO BASE'!B76</f>
        <v>3.3005389126810565</v>
      </c>
      <c r="F61" s="125">
        <f>E61*'FACTORES DE CONVERSIÓN'!$B$54*'FACTORES DE CONVERSIÓN'!$B$15*'FACTORES DE CONVERSIÓN'!$B$20</f>
        <v>3.3995550800614884</v>
      </c>
      <c r="H61" s="6"/>
      <c r="I61" s="6"/>
      <c r="J61" s="6"/>
      <c r="K61" s="6"/>
      <c r="L61" s="6"/>
      <c r="M61" s="6"/>
    </row>
    <row r="62" spans="1:13" ht="12.75">
      <c r="A62" s="108" t="s">
        <v>87</v>
      </c>
      <c r="B62" s="125">
        <f>'3A1_3A2_3C6 INFO BASE'!B110</f>
        <v>32365</v>
      </c>
      <c r="C62" s="125">
        <f>B62*'FACTORES DE CONVERSIÓN'!$B$14</f>
        <v>32365000</v>
      </c>
      <c r="D62" s="125">
        <f t="shared" si="2"/>
        <v>88671.23287671233</v>
      </c>
      <c r="E62" s="125">
        <f>D62/'3A1_3A2_3C6 INFO BASE'!B77</f>
        <v>2.7248243155525884</v>
      </c>
      <c r="F62" s="125">
        <f>E62*'FACTORES DE CONVERSIÓN'!$B$54*'FACTORES DE CONVERSIÓN'!$B$15*'FACTORES DE CONVERSIÓN'!$B$20</f>
        <v>2.8065690450191663</v>
      </c>
      <c r="H62" s="6"/>
      <c r="I62" s="6"/>
      <c r="J62" s="6"/>
      <c r="K62" s="6"/>
      <c r="L62" s="6"/>
      <c r="M62" s="6"/>
    </row>
    <row r="63" spans="1:13" ht="12.75">
      <c r="A63" s="108" t="s">
        <v>88</v>
      </c>
      <c r="B63" s="125">
        <f>'3A1_3A2_3C6 INFO BASE'!B111</f>
        <v>348889</v>
      </c>
      <c r="C63" s="125">
        <f>B63*'FACTORES DE CONVERSIÓN'!$B$14</f>
        <v>348889000</v>
      </c>
      <c r="D63" s="125">
        <f t="shared" si="2"/>
        <v>955860.2739726028</v>
      </c>
      <c r="E63" s="125">
        <f>D63/'3A1_3A2_3C6 INFO BASE'!B78</f>
        <v>12.867127141661433</v>
      </c>
      <c r="F63" s="125">
        <f>E63*'FACTORES DE CONVERSIÓN'!$B$54*'FACTORES DE CONVERSIÓN'!$B$15*'FACTORES DE CONVERSIÓN'!$B$20</f>
        <v>13.253140955911277</v>
      </c>
      <c r="H63" s="6"/>
      <c r="I63" s="6"/>
      <c r="J63" s="6"/>
      <c r="K63" s="6"/>
      <c r="L63" s="6"/>
      <c r="M63" s="6"/>
    </row>
    <row r="64" spans="1:13" ht="12.75">
      <c r="A64" s="108" t="s">
        <v>89</v>
      </c>
      <c r="B64" s="125">
        <f>'3A1_3A2_3C6 INFO BASE'!B112</f>
        <v>45151</v>
      </c>
      <c r="C64" s="125">
        <f>B64*'FACTORES DE CONVERSIÓN'!$B$14</f>
        <v>45151000</v>
      </c>
      <c r="D64" s="125">
        <f t="shared" si="2"/>
        <v>123701.3698630137</v>
      </c>
      <c r="E64" s="125">
        <f>D64/'3A1_3A2_3C6 INFO BASE'!B79</f>
        <v>4.1161072060364585</v>
      </c>
      <c r="F64" s="125">
        <f>E64*'FACTORES DE CONVERSIÓN'!$B$54*'FACTORES DE CONVERSIÓN'!$B$15*'FACTORES DE CONVERSIÓN'!$B$20</f>
        <v>4.239590422217552</v>
      </c>
      <c r="H64" s="6"/>
      <c r="I64" s="6"/>
      <c r="J64" s="6"/>
      <c r="K64" s="6"/>
      <c r="L64" s="6"/>
      <c r="M64" s="6"/>
    </row>
    <row r="65" spans="1:6" ht="12.75">
      <c r="A65" s="108" t="s">
        <v>90</v>
      </c>
      <c r="B65" s="125">
        <f>'3A1_3A2_3C6 INFO BASE'!B113</f>
        <v>352076</v>
      </c>
      <c r="C65" s="125">
        <f>B65*'FACTORES DE CONVERSIÓN'!$B$14</f>
        <v>352076000</v>
      </c>
      <c r="D65" s="125">
        <f t="shared" si="2"/>
        <v>964591.7808219178</v>
      </c>
      <c r="E65" s="125">
        <f>D65/'3A1_3A2_3C6 INFO BASE'!B80</f>
        <v>6.035261977537559</v>
      </c>
      <c r="F65" s="125">
        <f>E65*'FACTORES DE CONVERSIÓN'!$B$54*'FACTORES DE CONVERSIÓN'!$B$15*'FACTORES DE CONVERSIÓN'!$B$20</f>
        <v>6.216319836863685</v>
      </c>
    </row>
    <row r="66" spans="1:6" ht="12.75">
      <c r="A66" s="108" t="s">
        <v>91</v>
      </c>
      <c r="B66" s="125">
        <f>'3A1_3A2_3C6 INFO BASE'!B114</f>
        <v>102458</v>
      </c>
      <c r="C66" s="125">
        <f>B66*'FACTORES DE CONVERSIÓN'!$B$14</f>
        <v>102458000</v>
      </c>
      <c r="D66" s="125">
        <f t="shared" si="2"/>
        <v>280706.8493150685</v>
      </c>
      <c r="E66" s="125">
        <f>D66/'3A1_3A2_3C6 INFO BASE'!B81</f>
        <v>3.4688141729183113</v>
      </c>
      <c r="F66" s="125">
        <f>E66*'FACTORES DE CONVERSIÓN'!$B$54*'FACTORES DE CONVERSIÓN'!$B$15*'FACTORES DE CONVERSIÓN'!$B$20</f>
        <v>3.5728785981058606</v>
      </c>
    </row>
    <row r="67" spans="1:6" ht="12.75">
      <c r="A67" s="108" t="s">
        <v>92</v>
      </c>
      <c r="B67" s="125">
        <f>'3A1_3A2_3C6 INFO BASE'!B115</f>
        <v>20916</v>
      </c>
      <c r="C67" s="125">
        <f>B67*'FACTORES DE CONVERSIÓN'!$B$14</f>
        <v>20916000</v>
      </c>
      <c r="D67" s="125">
        <f t="shared" si="2"/>
        <v>57304.109589041094</v>
      </c>
      <c r="E67" s="125">
        <f>D67/'3A1_3A2_3C6 INFO BASE'!B82</f>
        <v>3.551760852178077</v>
      </c>
      <c r="F67" s="125">
        <f>E67*'FACTORES DE CONVERSIÓN'!$B$54*'FACTORES DE CONVERSIÓN'!$B$15*'FACTORES DE CONVERSIÓN'!$B$20</f>
        <v>3.6583136777434193</v>
      </c>
    </row>
    <row r="68" spans="1:6" ht="12.75">
      <c r="A68" s="108" t="s">
        <v>93</v>
      </c>
      <c r="B68" s="125">
        <f>'3A1_3A2_3C6 INFO BASE'!B116</f>
        <v>44955</v>
      </c>
      <c r="C68" s="125">
        <f>B68*'FACTORES DE CONVERSIÓN'!$B$14</f>
        <v>44955000</v>
      </c>
      <c r="D68" s="125">
        <f t="shared" si="2"/>
        <v>123164.38356164383</v>
      </c>
      <c r="E68" s="125">
        <f>D68/'3A1_3A2_3C6 INFO BASE'!B83</f>
        <v>3.8603473926232197</v>
      </c>
      <c r="F68" s="125">
        <f>E68*'FACTORES DE CONVERSIÓN'!$B$54*'FACTORES DE CONVERSIÓN'!$B$15*'FACTORES DE CONVERSIÓN'!$B$20</f>
        <v>3.9761578144019163</v>
      </c>
    </row>
    <row r="69" spans="1:6" ht="12.75">
      <c r="A69" s="108" t="s">
        <v>94</v>
      </c>
      <c r="B69" s="125">
        <f>'3A1_3A2_3C6 INFO BASE'!B117</f>
        <v>57139</v>
      </c>
      <c r="C69" s="125">
        <f>B69*'FACTORES DE CONVERSIÓN'!$B$14</f>
        <v>57139000</v>
      </c>
      <c r="D69" s="125">
        <f t="shared" si="2"/>
        <v>156545.20547945207</v>
      </c>
      <c r="E69" s="125">
        <f>D69/'3A1_3A2_3C6 INFO BASE'!B84</f>
        <v>15.126602133486527</v>
      </c>
      <c r="F69" s="125">
        <f>E69*'FACTORES DE CONVERSIÓN'!$B$54*'FACTORES DE CONVERSIÓN'!$B$15*'FACTORES DE CONVERSIÓN'!$B$20</f>
        <v>15.580400197491123</v>
      </c>
    </row>
    <row r="70" spans="1:6" ht="12.75">
      <c r="A70" s="108" t="s">
        <v>95</v>
      </c>
      <c r="B70" s="125">
        <f>'3A1_3A2_3C6 INFO BASE'!B118</f>
        <v>51250</v>
      </c>
      <c r="C70" s="125">
        <f>B70*'FACTORES DE CONVERSIÓN'!$B$14</f>
        <v>51250000</v>
      </c>
      <c r="D70" s="125">
        <f t="shared" si="2"/>
        <v>140410.95890410958</v>
      </c>
      <c r="E70" s="125">
        <f>D70/'3A1_3A2_3C6 INFO BASE'!B85</f>
        <v>3.8268501513752575</v>
      </c>
      <c r="F70" s="125">
        <f>E70*'FACTORES DE CONVERSIÓN'!$B$54*'FACTORES DE CONVERSIÓN'!$B$15*'FACTORES DE CONVERSIÓN'!$B$20</f>
        <v>3.9416556559165152</v>
      </c>
    </row>
    <row r="71" spans="1:6" ht="12.75">
      <c r="A71" s="108" t="s">
        <v>96</v>
      </c>
      <c r="B71" s="125">
        <f>'3A1_3A2_3C6 INFO BASE'!B119</f>
        <v>129501</v>
      </c>
      <c r="C71" s="125">
        <f>B71*'FACTORES DE CONVERSIÓN'!$B$14</f>
        <v>129501000</v>
      </c>
      <c r="D71" s="125">
        <f t="shared" si="2"/>
        <v>354797.2602739726</v>
      </c>
      <c r="E71" s="125">
        <f>D71/'3A1_3A2_3C6 INFO BASE'!B86</f>
        <v>8.243047727196055</v>
      </c>
      <c r="F71" s="125">
        <f>E71*'FACTORES DE CONVERSIÓN'!$B$54*'FACTORES DE CONVERSIÓN'!$B$15*'FACTORES DE CONVERSIÓN'!$B$20</f>
        <v>8.490339159011937</v>
      </c>
    </row>
    <row r="72" spans="1:6" ht="12.75">
      <c r="A72" s="108" t="s">
        <v>97</v>
      </c>
      <c r="B72" s="125">
        <f>'3A1_3A2_3C6 INFO BASE'!B120</f>
        <v>59215</v>
      </c>
      <c r="C72" s="125">
        <f>B72*'FACTORES DE CONVERSIÓN'!$B$14</f>
        <v>59215000</v>
      </c>
      <c r="D72" s="125">
        <f t="shared" si="2"/>
        <v>162232.87671232875</v>
      </c>
      <c r="E72" s="125">
        <f>D72/'3A1_3A2_3C6 INFO BASE'!B87</f>
        <v>7.9894059249644815</v>
      </c>
      <c r="F72" s="125">
        <f>E72*'FACTORES DE CONVERSIÓN'!$B$54*'FACTORES DE CONVERSIÓN'!$B$15*'FACTORES DE CONVERSIÓN'!$B$20</f>
        <v>8.229088102713416</v>
      </c>
    </row>
    <row r="73" spans="1:6" ht="12.75">
      <c r="A73" s="108" t="s">
        <v>98</v>
      </c>
      <c r="B73" s="125">
        <f>'3A1_3A2_3C6 INFO BASE'!B121</f>
        <v>348518</v>
      </c>
      <c r="C73" s="125">
        <f>B73*'FACTORES DE CONVERSIÓN'!$B$14</f>
        <v>348518000</v>
      </c>
      <c r="D73" s="125">
        <f t="shared" si="2"/>
        <v>954843.8356164383</v>
      </c>
      <c r="E73" s="125">
        <f>D73/'3A1_3A2_3C6 INFO BASE'!B88</f>
        <v>12.278896591135094</v>
      </c>
      <c r="F73" s="125">
        <f>E73*'FACTORES DE CONVERSIÓN'!$B$54*'FACTORES DE CONVERSIÓN'!$B$15*'FACTORES DE CONVERSIÓN'!$B$20</f>
        <v>12.647263488869147</v>
      </c>
    </row>
    <row r="74" spans="1:6" ht="12.75">
      <c r="A74" s="108" t="s">
        <v>99</v>
      </c>
      <c r="B74" s="125">
        <f>'3A1_3A2_3C6 INFO BASE'!B122</f>
        <v>2144</v>
      </c>
      <c r="C74" s="125">
        <f>B74*'FACTORES DE CONVERSIÓN'!$B$14</f>
        <v>2144000</v>
      </c>
      <c r="D74" s="125">
        <f t="shared" si="2"/>
        <v>5873.972602739726</v>
      </c>
      <c r="E74" s="125">
        <f>D74/'3A1_3A2_3C6 INFO BASE'!B89</f>
        <v>4.684188678420835</v>
      </c>
      <c r="F74" s="125">
        <f>E74*'FACTORES DE CONVERSIÓN'!$B$54*'FACTORES DE CONVERSIÓN'!$B$15*'FACTORES DE CONVERSIÓN'!$B$20</f>
        <v>4.82471433877346</v>
      </c>
    </row>
    <row r="75" spans="1:6" ht="12.75">
      <c r="A75" s="108" t="s">
        <v>100</v>
      </c>
      <c r="B75" s="125">
        <f>'3A1_3A2_3C6 INFO BASE'!B123</f>
        <v>1808</v>
      </c>
      <c r="C75" s="125">
        <f>B75*'FACTORES DE CONVERSIÓN'!$B$14</f>
        <v>1808000</v>
      </c>
      <c r="D75" s="125">
        <f t="shared" si="2"/>
        <v>4953.424657534247</v>
      </c>
      <c r="E75" s="125">
        <f>D75/'3A1_3A2_3C6 INFO BASE'!B90</f>
        <v>3.076661277971582</v>
      </c>
      <c r="F75" s="125">
        <f>E75*'FACTORES DE CONVERSIÓN'!$B$54*'FACTORES DE CONVERSIÓN'!$B$15*'FACTORES DE CONVERSIÓN'!$B$20</f>
        <v>3.1689611163107294</v>
      </c>
    </row>
    <row r="76" spans="1:6" ht="12.75">
      <c r="A76" s="108" t="s">
        <v>101</v>
      </c>
      <c r="B76" s="125">
        <f>'3A1_3A2_3C6 INFO BASE'!B124</f>
        <v>16222</v>
      </c>
      <c r="C76" s="125">
        <f>B76*'FACTORES DE CONVERSIÓN'!$B$14</f>
        <v>16222000</v>
      </c>
      <c r="D76" s="125">
        <f t="shared" si="2"/>
        <v>44443.83561643836</v>
      </c>
      <c r="E76" s="125">
        <f>D76/'3A1_3A2_3C6 INFO BASE'!B91</f>
        <v>8.382466166812215</v>
      </c>
      <c r="F76" s="125">
        <f>E76*'FACTORES DE CONVERSIÓN'!$B$54*'FACTORES DE CONVERSIÓN'!$B$15*'FACTORES DE CONVERSIÓN'!$B$20</f>
        <v>8.633940151816581</v>
      </c>
    </row>
    <row r="77" spans="1:6" ht="12.75">
      <c r="A77" s="108" t="s">
        <v>102</v>
      </c>
      <c r="B77" s="125">
        <f>'3A1_3A2_3C6 INFO BASE'!B125</f>
        <v>25296</v>
      </c>
      <c r="C77" s="125">
        <f>B77*'FACTORES DE CONVERSIÓN'!$B$14</f>
        <v>25296000</v>
      </c>
      <c r="D77" s="125">
        <f t="shared" si="2"/>
        <v>69304.1095890411</v>
      </c>
      <c r="E77" s="125">
        <f>D77/'3A1_3A2_3C6 INFO BASE'!B92</f>
        <v>2.630336632345571</v>
      </c>
      <c r="F77" s="125">
        <f>E77*'FACTORES DE CONVERSIÓN'!$B$54*'FACTORES DE CONVERSIÓN'!$B$15*'FACTORES DE CONVERSIÓN'!$B$20</f>
        <v>2.709246731315938</v>
      </c>
    </row>
    <row r="78" spans="1:6" ht="12.75">
      <c r="A78" s="108" t="s">
        <v>103</v>
      </c>
      <c r="B78" s="125">
        <f>'3A1_3A2_3C6 INFO BASE'!B126</f>
        <v>42578</v>
      </c>
      <c r="C78" s="125">
        <f>B78*'FACTORES DE CONVERSIÓN'!$B$14</f>
        <v>42578000</v>
      </c>
      <c r="D78" s="125">
        <f t="shared" si="2"/>
        <v>116652.05479452055</v>
      </c>
      <c r="E78" s="125">
        <f>D78/'3A1_3A2_3C6 INFO BASE'!B93</f>
        <v>3.773315697704045</v>
      </c>
      <c r="F78" s="125">
        <f>E78*'FACTORES DE CONVERSIÓN'!$B$54*'FACTORES DE CONVERSIÓN'!$B$15*'FACTORES DE CONVERSIÓN'!$B$20</f>
        <v>3.8865151686351664</v>
      </c>
    </row>
    <row r="79" spans="1:6" ht="12.75">
      <c r="A79" s="108" t="s">
        <v>104</v>
      </c>
      <c r="B79" s="125">
        <f>'3A1_3A2_3C6 INFO BASE'!B127</f>
        <v>110465</v>
      </c>
      <c r="C79" s="125">
        <f>B79*'FACTORES DE CONVERSIÓN'!$B$14</f>
        <v>110465000</v>
      </c>
      <c r="D79" s="125">
        <f t="shared" si="2"/>
        <v>302643.83561643836</v>
      </c>
      <c r="E79" s="125">
        <f>D79/'3A1_3A2_3C6 INFO BASE'!B94</f>
        <v>2.9438629990412757</v>
      </c>
      <c r="F79" s="125">
        <f>E79*'FACTORES DE CONVERSIÓN'!$B$54*'FACTORES DE CONVERSIÓN'!$B$15*'FACTORES DE CONVERSIÓN'!$B$20</f>
        <v>3.032178889012514</v>
      </c>
    </row>
    <row r="80" spans="1:6" ht="12.75">
      <c r="A80" s="108" t="s">
        <v>105</v>
      </c>
      <c r="B80" s="125">
        <f>'3A1_3A2_3C6 INFO BASE'!B128</f>
        <v>32811</v>
      </c>
      <c r="C80" s="125">
        <f>B80*'FACTORES DE CONVERSIÓN'!$B$14</f>
        <v>32811000</v>
      </c>
      <c r="D80" s="125">
        <f t="shared" si="2"/>
        <v>89893.1506849315</v>
      </c>
      <c r="E80" s="125">
        <f>D80/'3A1_3A2_3C6 INFO BASE'!B95</f>
        <v>4.778246461751529</v>
      </c>
      <c r="F80" s="125">
        <f>E80*'FACTORES DE CONVERSIÓN'!$B$54*'FACTORES DE CONVERSIÓN'!$B$15*'FACTORES DE CONVERSIÓN'!$B$20</f>
        <v>4.921593855604074</v>
      </c>
    </row>
    <row r="81" spans="1:6" ht="12.75">
      <c r="A81" s="108" t="s">
        <v>106</v>
      </c>
      <c r="B81" s="125">
        <f>'3A1_3A2_3C6 INFO BASE'!B129</f>
        <v>23610</v>
      </c>
      <c r="C81" s="125">
        <f>B81*'FACTORES DE CONVERSIÓN'!$B$14</f>
        <v>23610000</v>
      </c>
      <c r="D81" s="125">
        <f t="shared" si="2"/>
        <v>64684.931506849316</v>
      </c>
      <c r="E81" s="125">
        <f>D81/'3A1_3A2_3C6 INFO BASE'!B96</f>
        <v>11.344253157988305</v>
      </c>
      <c r="F81" s="125">
        <f>E81*'FACTORES DE CONVERSIÓN'!$B$54*'FACTORES DE CONVERSIÓN'!$B$15*'FACTORES DE CONVERSIÓN'!$B$20</f>
        <v>11.684580752727957</v>
      </c>
    </row>
    <row r="82" spans="1:6" ht="12.75">
      <c r="A82" s="108" t="s">
        <v>107</v>
      </c>
      <c r="B82" s="125">
        <f>'3A1_3A2_3C6 INFO BASE'!B130</f>
        <v>410</v>
      </c>
      <c r="C82" s="125">
        <f>B82*'FACTORES DE CONVERSIÓN'!$B$14</f>
        <v>410000</v>
      </c>
      <c r="D82" s="125">
        <f t="shared" si="2"/>
        <v>1123.2876712328766</v>
      </c>
      <c r="E82" s="125">
        <f>D82/'3A1_3A2_3C6 INFO BASE'!B97</f>
        <v>2.661819126144257</v>
      </c>
      <c r="F82" s="125">
        <f>E82*'FACTORES DE CONVERSIÓN'!$B$54*'FACTORES DE CONVERSIÓN'!$B$15*'FACTORES DE CONVERSIÓN'!$B$20</f>
        <v>2.741673699928585</v>
      </c>
    </row>
    <row r="83" spans="1:6" ht="12.75">
      <c r="A83" s="108" t="s">
        <v>108</v>
      </c>
      <c r="B83" s="125">
        <f>'3A1_3A2_3C6 INFO BASE'!B131</f>
        <v>7340</v>
      </c>
      <c r="C83" s="125">
        <f>B83*'FACTORES DE CONVERSIÓN'!$B$14</f>
        <v>7340000</v>
      </c>
      <c r="D83" s="125">
        <f t="shared" si="2"/>
        <v>20109.58904109589</v>
      </c>
      <c r="E83" s="125">
        <f>D83/'3A1_3A2_3C6 INFO BASE'!B98</f>
        <v>4.528166863565839</v>
      </c>
      <c r="F83" s="125">
        <f>E83*'FACTORES DE CONVERSIÓN'!$B$54*'FACTORES DE CONVERSIÓN'!$B$15*'FACTORES DE CONVERSIÓN'!$B$20</f>
        <v>4.664011869472814</v>
      </c>
    </row>
    <row r="84" ht="12.75"/>
    <row r="85" spans="1:4" ht="12.75">
      <c r="A85" s="173" t="s">
        <v>651</v>
      </c>
      <c r="B85" s="173"/>
      <c r="C85" s="167"/>
      <c r="D85" s="167"/>
    </row>
    <row r="86" spans="1:9" ht="15">
      <c r="A86" s="174" t="s">
        <v>159</v>
      </c>
      <c r="B86" s="174" t="s">
        <v>160</v>
      </c>
      <c r="D86" s="508" t="s">
        <v>989</v>
      </c>
      <c r="E86" s="6"/>
      <c r="F86" s="6"/>
      <c r="G86" s="6"/>
      <c r="H86" s="6"/>
      <c r="I86" s="6"/>
    </row>
    <row r="87" spans="1:9" ht="12.75">
      <c r="A87" s="175" t="s">
        <v>161</v>
      </c>
      <c r="B87" s="125">
        <f>B31</f>
        <v>895718</v>
      </c>
      <c r="D87" s="6"/>
      <c r="E87" s="6"/>
      <c r="F87" s="6"/>
      <c r="G87" s="6"/>
      <c r="H87" s="6"/>
      <c r="I87" s="6"/>
    </row>
    <row r="88" spans="1:9" ht="12.75">
      <c r="A88" s="175" t="s">
        <v>564</v>
      </c>
      <c r="B88" s="125">
        <f>C31</f>
        <v>4639737</v>
      </c>
      <c r="D88" s="6"/>
      <c r="E88" s="6"/>
      <c r="F88" s="6"/>
      <c r="G88" s="6"/>
      <c r="H88" s="6"/>
      <c r="I88" s="6"/>
    </row>
    <row r="89" spans="1:9" ht="12.75">
      <c r="A89" s="175" t="s">
        <v>46</v>
      </c>
      <c r="B89" s="125">
        <f>C3</f>
        <v>11450659</v>
      </c>
      <c r="D89" s="6"/>
      <c r="E89" s="6"/>
      <c r="F89" s="6"/>
      <c r="G89" s="6"/>
      <c r="H89" s="6"/>
      <c r="I89" s="6"/>
    </row>
    <row r="90" spans="1:9" ht="12.75">
      <c r="A90" s="175" t="s">
        <v>45</v>
      </c>
      <c r="B90" s="125">
        <f>D3</f>
        <v>1879713</v>
      </c>
      <c r="D90" s="6"/>
      <c r="E90" s="6"/>
      <c r="F90" s="6"/>
      <c r="G90" s="6"/>
      <c r="H90" s="6"/>
      <c r="I90" s="6"/>
    </row>
    <row r="91" spans="1:9" ht="12.75">
      <c r="A91" s="175" t="s">
        <v>72</v>
      </c>
      <c r="B91" s="125">
        <f>E3</f>
        <v>526290.5573110435</v>
      </c>
      <c r="D91" s="6"/>
      <c r="E91" s="6"/>
      <c r="F91" s="6"/>
      <c r="G91" s="6"/>
      <c r="H91" s="6"/>
      <c r="I91" s="6"/>
    </row>
    <row r="92" spans="1:9" ht="12.75">
      <c r="A92" s="175" t="s">
        <v>150</v>
      </c>
      <c r="B92" s="125">
        <f>F3</f>
        <v>590007.7086570447</v>
      </c>
      <c r="D92" s="6"/>
      <c r="E92" s="6"/>
      <c r="F92" s="6"/>
      <c r="G92" s="6"/>
      <c r="H92" s="6"/>
      <c r="I92" s="6"/>
    </row>
    <row r="93" spans="1:2" ht="12.75">
      <c r="A93" s="175" t="s">
        <v>47</v>
      </c>
      <c r="B93" s="125">
        <f>G3</f>
        <v>904700.4246575341</v>
      </c>
    </row>
    <row r="94" spans="1:2" ht="15">
      <c r="A94" s="175" t="s">
        <v>43</v>
      </c>
      <c r="B94" s="125">
        <f>H3</f>
        <v>4319229</v>
      </c>
    </row>
    <row r="95" spans="1:2" ht="15">
      <c r="A95" s="175" t="s">
        <v>44</v>
      </c>
      <c r="B95" s="125">
        <f>I3</f>
        <v>1105017</v>
      </c>
    </row>
    <row r="96" spans="1:2" ht="15">
      <c r="A96" s="175" t="s">
        <v>42</v>
      </c>
      <c r="B96" s="125">
        <f>J3</f>
        <v>49559797.50249963</v>
      </c>
    </row>
    <row r="97" spans="1:2" ht="15">
      <c r="A97" s="175" t="s">
        <v>74</v>
      </c>
      <c r="B97" s="125">
        <f>K3</f>
        <v>3584640.1025886</v>
      </c>
    </row>
    <row r="98" spans="2:3" ht="15">
      <c r="B98" s="176"/>
      <c r="C98" s="177"/>
    </row>
    <row r="99" ht="15">
      <c r="A99" s="178" t="s">
        <v>1038</v>
      </c>
    </row>
    <row r="100" spans="1:10" ht="15">
      <c r="A100" s="127" t="s">
        <v>77</v>
      </c>
      <c r="B100" s="127" t="s">
        <v>151</v>
      </c>
      <c r="C100" s="127" t="s">
        <v>153</v>
      </c>
      <c r="E100" s="508" t="s">
        <v>989</v>
      </c>
      <c r="F100" s="6"/>
      <c r="G100" s="6"/>
      <c r="H100" s="6"/>
      <c r="I100" s="6"/>
      <c r="J100" s="6"/>
    </row>
    <row r="101" spans="1:10" ht="12.75">
      <c r="A101" s="530" t="s">
        <v>85</v>
      </c>
      <c r="B101" s="179">
        <f>'3A1_3A2_3C6 INFO BASE'!B140</f>
        <v>15.6</v>
      </c>
      <c r="C101" s="179" t="s">
        <v>158</v>
      </c>
      <c r="E101" s="6"/>
      <c r="F101" s="6"/>
      <c r="G101" s="6"/>
      <c r="H101" s="6"/>
      <c r="I101" s="6"/>
      <c r="J101" s="6"/>
    </row>
    <row r="102" spans="1:10" ht="12.75">
      <c r="A102" s="531" t="s">
        <v>86</v>
      </c>
      <c r="B102" s="180">
        <f>'3A1_3A2_3C6 INFO BASE'!B141</f>
        <v>13.1</v>
      </c>
      <c r="C102" s="180" t="s">
        <v>155</v>
      </c>
      <c r="E102" s="6"/>
      <c r="F102" s="6"/>
      <c r="G102" s="6"/>
      <c r="H102" s="6"/>
      <c r="I102" s="6"/>
      <c r="J102" s="6"/>
    </row>
    <row r="103" spans="1:10" ht="12.75">
      <c r="A103" s="531" t="s">
        <v>87</v>
      </c>
      <c r="B103" s="180">
        <f>'3A1_3A2_3C6 INFO BASE'!B142</f>
        <v>14.9</v>
      </c>
      <c r="C103" s="180" t="s">
        <v>155</v>
      </c>
      <c r="E103" s="6"/>
      <c r="F103" s="6"/>
      <c r="G103" s="6"/>
      <c r="H103" s="6"/>
      <c r="I103" s="6"/>
      <c r="J103" s="6"/>
    </row>
    <row r="104" spans="1:10" ht="15">
      <c r="A104" s="530" t="s">
        <v>88</v>
      </c>
      <c r="B104" s="179">
        <f>'3A1_3A2_3C6 INFO BASE'!B143</f>
        <v>17.3</v>
      </c>
      <c r="C104" s="179" t="s">
        <v>158</v>
      </c>
      <c r="E104" s="6"/>
      <c r="F104" s="6"/>
      <c r="G104" s="6"/>
      <c r="H104" s="6"/>
      <c r="I104" s="6"/>
      <c r="J104" s="6"/>
    </row>
    <row r="105" spans="1:10" ht="15">
      <c r="A105" s="530" t="s">
        <v>89</v>
      </c>
      <c r="B105" s="179">
        <f>'3A1_3A2_3C6 INFO BASE'!B144</f>
        <v>18.8</v>
      </c>
      <c r="C105" s="179" t="s">
        <v>158</v>
      </c>
      <c r="E105" s="6"/>
      <c r="F105" s="6"/>
      <c r="G105" s="6"/>
      <c r="H105" s="6"/>
      <c r="I105" s="6"/>
      <c r="J105" s="6"/>
    </row>
    <row r="106" spans="1:10" ht="15">
      <c r="A106" s="530" t="s">
        <v>90</v>
      </c>
      <c r="B106" s="179">
        <f>'3A1_3A2_3C6 INFO BASE'!B145</f>
        <v>15.6</v>
      </c>
      <c r="C106" s="179" t="s">
        <v>158</v>
      </c>
      <c r="E106" s="6"/>
      <c r="F106" s="6"/>
      <c r="G106" s="6"/>
      <c r="H106" s="6"/>
      <c r="I106" s="6"/>
      <c r="J106" s="6"/>
    </row>
    <row r="107" spans="1:3" ht="15">
      <c r="A107" s="532" t="s">
        <v>91</v>
      </c>
      <c r="B107" s="181">
        <f>'3A1_3A2_3C6 INFO BASE'!B146</f>
        <v>13.3</v>
      </c>
      <c r="C107" s="181" t="s">
        <v>156</v>
      </c>
    </row>
    <row r="108" spans="1:3" ht="15">
      <c r="A108" s="532" t="s">
        <v>92</v>
      </c>
      <c r="B108" s="181">
        <f>'3A1_3A2_3C6 INFO BASE'!B147</f>
        <v>10.8</v>
      </c>
      <c r="C108" s="181" t="s">
        <v>156</v>
      </c>
    </row>
    <row r="109" spans="1:3" ht="15">
      <c r="A109" s="530" t="s">
        <v>93</v>
      </c>
      <c r="B109" s="179">
        <f>'3A1_3A2_3C6 INFO BASE'!B148</f>
        <v>21.4</v>
      </c>
      <c r="C109" s="179" t="s">
        <v>158</v>
      </c>
    </row>
    <row r="110" spans="1:3" ht="15">
      <c r="A110" s="530" t="s">
        <v>94</v>
      </c>
      <c r="B110" s="179">
        <f>'3A1_3A2_3C6 INFO BASE'!B149</f>
        <v>22.9</v>
      </c>
      <c r="C110" s="179" t="s">
        <v>158</v>
      </c>
    </row>
    <row r="111" spans="1:3" ht="15">
      <c r="A111" s="532" t="s">
        <v>95</v>
      </c>
      <c r="B111" s="181">
        <f>'3A1_3A2_3C6 INFO BASE'!B150</f>
        <v>13</v>
      </c>
      <c r="C111" s="181" t="s">
        <v>156</v>
      </c>
    </row>
    <row r="112" spans="1:3" ht="15">
      <c r="A112" s="530" t="s">
        <v>96</v>
      </c>
      <c r="B112" s="179">
        <f>'3A1_3A2_3C6 INFO BASE'!B151</f>
        <v>21.2</v>
      </c>
      <c r="C112" s="179" t="s">
        <v>158</v>
      </c>
    </row>
    <row r="113" spans="1:3" ht="15">
      <c r="A113" s="530" t="s">
        <v>97</v>
      </c>
      <c r="B113" s="179">
        <f>'3A1_3A2_3C6 INFO BASE'!B152</f>
        <v>22.4</v>
      </c>
      <c r="C113" s="179" t="s">
        <v>158</v>
      </c>
    </row>
    <row r="114" spans="1:3" ht="15">
      <c r="A114" s="530" t="s">
        <v>98</v>
      </c>
      <c r="B114" s="179">
        <f>'3A1_3A2_3C6 INFO BASE'!B153</f>
        <v>20.3</v>
      </c>
      <c r="C114" s="179" t="s">
        <v>158</v>
      </c>
    </row>
    <row r="115" spans="1:3" ht="15">
      <c r="A115" s="533" t="s">
        <v>99</v>
      </c>
      <c r="B115" s="182">
        <f>'3A1_3A2_3C6 INFO BASE'!B154</f>
        <v>27.5</v>
      </c>
      <c r="C115" s="182" t="s">
        <v>157</v>
      </c>
    </row>
    <row r="116" spans="1:3" ht="15">
      <c r="A116" s="533" t="s">
        <v>100</v>
      </c>
      <c r="B116" s="182">
        <f>'3A1_3A2_3C6 INFO BASE'!B155</f>
        <v>27</v>
      </c>
      <c r="C116" s="182" t="s">
        <v>157</v>
      </c>
    </row>
    <row r="117" spans="1:3" ht="15">
      <c r="A117" s="530" t="s">
        <v>101</v>
      </c>
      <c r="B117" s="179">
        <f>'3A1_3A2_3C6 INFO BASE'!B156</f>
        <v>19.938</v>
      </c>
      <c r="C117" s="179" t="s">
        <v>158</v>
      </c>
    </row>
    <row r="118" spans="1:3" ht="15">
      <c r="A118" s="532" t="s">
        <v>102</v>
      </c>
      <c r="B118" s="181">
        <f>'3A1_3A2_3C6 INFO BASE'!B157</f>
        <v>6</v>
      </c>
      <c r="C118" s="181" t="s">
        <v>156</v>
      </c>
    </row>
    <row r="119" spans="1:3" ht="15">
      <c r="A119" s="533" t="s">
        <v>103</v>
      </c>
      <c r="B119" s="182">
        <f>'3A1_3A2_3C6 INFO BASE'!B158</f>
        <v>26</v>
      </c>
      <c r="C119" s="182" t="s">
        <v>157</v>
      </c>
    </row>
    <row r="120" spans="1:3" ht="15">
      <c r="A120" s="532" t="s">
        <v>104</v>
      </c>
      <c r="B120" s="181">
        <f>'3A1_3A2_3C6 INFO BASE'!B159</f>
        <v>10.9</v>
      </c>
      <c r="C120" s="181" t="s">
        <v>156</v>
      </c>
    </row>
    <row r="121" spans="1:3" ht="15">
      <c r="A121" s="530" t="s">
        <v>105</v>
      </c>
      <c r="B121" s="179">
        <f>'3A1_3A2_3C6 INFO BASE'!B160</f>
        <v>23.6</v>
      </c>
      <c r="C121" s="179" t="s">
        <v>158</v>
      </c>
    </row>
    <row r="122" spans="1:3" ht="15">
      <c r="A122" s="530" t="s">
        <v>106</v>
      </c>
      <c r="B122" s="179">
        <f>'3A1_3A2_3C6 INFO BASE'!B161</f>
        <v>18.8</v>
      </c>
      <c r="C122" s="179" t="s">
        <v>158</v>
      </c>
    </row>
    <row r="123" spans="1:3" ht="15">
      <c r="A123" s="533" t="s">
        <v>107</v>
      </c>
      <c r="B123" s="182">
        <f>'3A1_3A2_3C6 INFO BASE'!B162</f>
        <v>26.9</v>
      </c>
      <c r="C123" s="182" t="s">
        <v>157</v>
      </c>
    </row>
    <row r="124" spans="1:3" ht="15">
      <c r="A124" s="533" t="s">
        <v>108</v>
      </c>
      <c r="B124" s="182">
        <f>'3A1_3A2_3C6 INFO BASE'!B163</f>
        <v>26</v>
      </c>
      <c r="C124" s="182" t="s">
        <v>157</v>
      </c>
    </row>
    <row r="125" spans="1:13" ht="15">
      <c r="A125" s="1196" t="s">
        <v>154</v>
      </c>
      <c r="B125" s="1196"/>
      <c r="C125" s="1196"/>
      <c r="D125" s="1196"/>
      <c r="E125" s="183"/>
      <c r="F125" s="183"/>
      <c r="G125" s="183"/>
      <c r="H125" s="183"/>
      <c r="I125" s="183"/>
      <c r="J125" s="183"/>
      <c r="K125" s="183"/>
      <c r="L125" s="183"/>
      <c r="M125" s="183"/>
    </row>
    <row r="127" spans="1:13" ht="15">
      <c r="A127" s="1201" t="s">
        <v>163</v>
      </c>
      <c r="B127" s="1201"/>
      <c r="C127" s="1201"/>
      <c r="D127" s="1201"/>
      <c r="E127" s="1201"/>
      <c r="F127" s="1201"/>
      <c r="G127" s="1201"/>
      <c r="H127" s="1201"/>
      <c r="I127" s="1201"/>
      <c r="J127" s="1201"/>
      <c r="K127" s="1201"/>
      <c r="L127" s="1201"/>
      <c r="M127" s="1201"/>
    </row>
    <row r="128" spans="1:20" ht="15">
      <c r="A128" s="184" t="s">
        <v>77</v>
      </c>
      <c r="B128" s="127" t="s">
        <v>153</v>
      </c>
      <c r="C128" s="105" t="s">
        <v>148</v>
      </c>
      <c r="D128" s="105" t="s">
        <v>149</v>
      </c>
      <c r="E128" s="105" t="s">
        <v>46</v>
      </c>
      <c r="F128" s="105" t="s">
        <v>45</v>
      </c>
      <c r="G128" s="105" t="s">
        <v>72</v>
      </c>
      <c r="H128" s="105" t="s">
        <v>150</v>
      </c>
      <c r="I128" s="105" t="s">
        <v>47</v>
      </c>
      <c r="J128" s="105" t="s">
        <v>43</v>
      </c>
      <c r="K128" s="105" t="s">
        <v>44</v>
      </c>
      <c r="L128" s="105" t="s">
        <v>42</v>
      </c>
      <c r="M128" s="105" t="s">
        <v>74</v>
      </c>
      <c r="O128" s="508" t="s">
        <v>989</v>
      </c>
      <c r="P128" s="6"/>
      <c r="Q128" s="6"/>
      <c r="R128" s="6"/>
      <c r="S128" s="6"/>
      <c r="T128" s="6"/>
    </row>
    <row r="129" spans="1:20" ht="12.75">
      <c r="A129" s="185" t="s">
        <v>78</v>
      </c>
      <c r="B129" s="1206" t="s">
        <v>164</v>
      </c>
      <c r="C129" s="186">
        <f>B33</f>
        <v>13073</v>
      </c>
      <c r="D129" s="186">
        <f>C33</f>
        <v>296402</v>
      </c>
      <c r="E129" s="186">
        <f aca="true" t="shared" si="3" ref="E129:M130">C5</f>
        <v>672817</v>
      </c>
      <c r="F129" s="186">
        <f t="shared" si="3"/>
        <v>177602</v>
      </c>
      <c r="G129" s="186">
        <f t="shared" si="3"/>
        <v>39392.5068150095</v>
      </c>
      <c r="H129" s="186">
        <f t="shared" si="3"/>
        <v>80381.1944326083</v>
      </c>
      <c r="I129" s="186">
        <f t="shared" si="3"/>
        <v>50059.397260273974</v>
      </c>
      <c r="J129" s="186">
        <f t="shared" si="3"/>
        <v>10201</v>
      </c>
      <c r="K129" s="186">
        <f t="shared" si="3"/>
        <v>0</v>
      </c>
      <c r="L129" s="186">
        <f t="shared" si="3"/>
        <v>823652.4627877419</v>
      </c>
      <c r="M129" s="186">
        <f t="shared" si="3"/>
        <v>474256.23171486903</v>
      </c>
      <c r="O129" s="6"/>
      <c r="P129" s="6"/>
      <c r="Q129" s="6"/>
      <c r="R129" s="6"/>
      <c r="S129" s="6"/>
      <c r="T129" s="6"/>
    </row>
    <row r="130" spans="1:20" ht="12.75">
      <c r="A130" s="185" t="s">
        <v>50</v>
      </c>
      <c r="B130" s="1207"/>
      <c r="C130" s="186">
        <f>B34</f>
        <v>32542</v>
      </c>
      <c r="D130" s="186">
        <f>C34</f>
        <v>262858</v>
      </c>
      <c r="E130" s="186">
        <f t="shared" si="3"/>
        <v>461957</v>
      </c>
      <c r="F130" s="186">
        <f t="shared" si="3"/>
        <v>111584</v>
      </c>
      <c r="G130" s="186">
        <f t="shared" si="3"/>
        <v>82161.5741304738</v>
      </c>
      <c r="H130" s="186">
        <f t="shared" si="3"/>
        <v>10629.8721710901</v>
      </c>
      <c r="I130" s="186">
        <f t="shared" si="3"/>
        <v>36944.46575342466</v>
      </c>
      <c r="J130" s="186">
        <f t="shared" si="3"/>
        <v>216265</v>
      </c>
      <c r="K130" s="186">
        <f t="shared" si="3"/>
        <v>73479</v>
      </c>
      <c r="L130" s="186">
        <f t="shared" si="3"/>
        <v>97527.082813162</v>
      </c>
      <c r="M130" s="186">
        <f t="shared" si="3"/>
        <v>296954.42271461507</v>
      </c>
      <c r="O130" s="6"/>
      <c r="P130" s="6"/>
      <c r="Q130" s="6"/>
      <c r="R130" s="6"/>
      <c r="S130" s="6"/>
      <c r="T130" s="6"/>
    </row>
    <row r="131" spans="1:20" ht="12.75">
      <c r="A131" s="185" t="s">
        <v>54</v>
      </c>
      <c r="B131" s="1207"/>
      <c r="C131" s="186">
        <f>B38</f>
        <v>80923</v>
      </c>
      <c r="D131" s="186">
        <f>C38</f>
        <v>337037</v>
      </c>
      <c r="E131" s="186">
        <f aca="true" t="shared" si="4" ref="E131:M132">C10</f>
        <v>1419506</v>
      </c>
      <c r="F131" s="186">
        <f t="shared" si="4"/>
        <v>37608</v>
      </c>
      <c r="G131" s="186">
        <f t="shared" si="4"/>
        <v>64631.1749964218</v>
      </c>
      <c r="H131" s="186">
        <f t="shared" si="4"/>
        <v>40806.3524343615</v>
      </c>
      <c r="I131" s="186">
        <f t="shared" si="4"/>
        <v>46279.68493150685</v>
      </c>
      <c r="J131" s="186">
        <f t="shared" si="4"/>
        <v>610184</v>
      </c>
      <c r="K131" s="186">
        <f t="shared" si="4"/>
        <v>139859</v>
      </c>
      <c r="L131" s="186">
        <f t="shared" si="4"/>
        <v>376992.4462646519</v>
      </c>
      <c r="M131" s="186">
        <f t="shared" si="4"/>
        <v>492730.08798657695</v>
      </c>
      <c r="O131" s="6"/>
      <c r="P131" s="6"/>
      <c r="Q131" s="6"/>
      <c r="R131" s="6"/>
      <c r="S131" s="6"/>
      <c r="T131" s="6"/>
    </row>
    <row r="132" spans="1:20" ht="15">
      <c r="A132" s="185" t="s">
        <v>55</v>
      </c>
      <c r="B132" s="1207"/>
      <c r="C132" s="186">
        <f>B39</f>
        <v>16134</v>
      </c>
      <c r="D132" s="186">
        <f>C39</f>
        <v>159638</v>
      </c>
      <c r="E132" s="186">
        <f t="shared" si="4"/>
        <v>704935</v>
      </c>
      <c r="F132" s="186">
        <f t="shared" si="4"/>
        <v>180188</v>
      </c>
      <c r="G132" s="186">
        <f t="shared" si="4"/>
        <v>21285.4872187218</v>
      </c>
      <c r="H132" s="186">
        <f t="shared" si="4"/>
        <v>19801.9489079818</v>
      </c>
      <c r="I132" s="186">
        <f t="shared" si="4"/>
        <v>39393.12328767123</v>
      </c>
      <c r="J132" s="186">
        <f t="shared" si="4"/>
        <v>273249</v>
      </c>
      <c r="K132" s="186">
        <f t="shared" si="4"/>
        <v>131758</v>
      </c>
      <c r="L132" s="186">
        <f t="shared" si="4"/>
        <v>120378.42163536225</v>
      </c>
      <c r="M132" s="186">
        <f t="shared" si="4"/>
        <v>91141.24987279282</v>
      </c>
      <c r="O132" s="6"/>
      <c r="P132" s="6"/>
      <c r="Q132" s="6"/>
      <c r="R132" s="6"/>
      <c r="S132" s="6"/>
      <c r="T132" s="6"/>
    </row>
    <row r="133" spans="1:20" ht="15">
      <c r="A133" s="185" t="s">
        <v>58</v>
      </c>
      <c r="B133" s="1207"/>
      <c r="C133" s="186">
        <f>B42</f>
        <v>36691</v>
      </c>
      <c r="D133" s="186">
        <f>C42</f>
        <v>259759</v>
      </c>
      <c r="E133" s="186">
        <f aca="true" t="shared" si="5" ref="E133:M133">C14</f>
        <v>1234318</v>
      </c>
      <c r="F133" s="186">
        <f t="shared" si="5"/>
        <v>10187</v>
      </c>
      <c r="G133" s="186">
        <f t="shared" si="5"/>
        <v>10521.2279782036</v>
      </c>
      <c r="H133" s="186">
        <f t="shared" si="5"/>
        <v>29382.7778525028</v>
      </c>
      <c r="I133" s="186">
        <f t="shared" si="5"/>
        <v>44476.561643835616</v>
      </c>
      <c r="J133" s="186">
        <f t="shared" si="5"/>
        <v>82535</v>
      </c>
      <c r="K133" s="186">
        <f t="shared" si="5"/>
        <v>52868</v>
      </c>
      <c r="L133" s="186">
        <f t="shared" si="5"/>
        <v>1115732.3615026127</v>
      </c>
      <c r="M133" s="186">
        <f t="shared" si="5"/>
        <v>253515.31403352166</v>
      </c>
      <c r="O133" s="6"/>
      <c r="P133" s="6"/>
      <c r="Q133" s="6"/>
      <c r="R133" s="6"/>
      <c r="S133" s="6"/>
      <c r="T133" s="6"/>
    </row>
    <row r="134" spans="1:20" ht="15">
      <c r="A134" s="185" t="s">
        <v>65</v>
      </c>
      <c r="B134" s="1207"/>
      <c r="C134" s="186">
        <f>B49</f>
        <v>26348</v>
      </c>
      <c r="D134" s="186">
        <f>C49</f>
        <v>91654</v>
      </c>
      <c r="E134" s="186">
        <f aca="true" t="shared" si="6" ref="E134:M134">C21</f>
        <v>682688</v>
      </c>
      <c r="F134" s="186">
        <f t="shared" si="6"/>
        <v>6810</v>
      </c>
      <c r="G134" s="186">
        <f t="shared" si="6"/>
        <v>10030.314105245</v>
      </c>
      <c r="H134" s="186">
        <f t="shared" si="6"/>
        <v>8977.69665350197</v>
      </c>
      <c r="I134" s="186">
        <f t="shared" si="6"/>
        <v>14773.356164383562</v>
      </c>
      <c r="J134" s="186">
        <f t="shared" si="6"/>
        <v>125956</v>
      </c>
      <c r="K134" s="186">
        <f t="shared" si="6"/>
        <v>33250</v>
      </c>
      <c r="L134" s="186">
        <f t="shared" si="6"/>
        <v>43521.9159440757</v>
      </c>
      <c r="M134" s="186">
        <f t="shared" si="6"/>
        <v>23731.28634203258</v>
      </c>
      <c r="O134" s="6"/>
      <c r="P134" s="6"/>
      <c r="Q134" s="6"/>
      <c r="R134" s="6"/>
      <c r="S134" s="6"/>
      <c r="T134" s="6"/>
    </row>
    <row r="135" spans="1:13" ht="15">
      <c r="A135" s="185" t="s">
        <v>67</v>
      </c>
      <c r="B135" s="1207"/>
      <c r="C135" s="186">
        <f>B51</f>
        <v>102805</v>
      </c>
      <c r="D135" s="186">
        <f>C51</f>
        <v>623275</v>
      </c>
      <c r="E135" s="186">
        <f aca="true" t="shared" si="7" ref="E135:M135">C23</f>
        <v>2919060</v>
      </c>
      <c r="F135" s="186">
        <f t="shared" si="7"/>
        <v>0</v>
      </c>
      <c r="G135" s="186">
        <f t="shared" si="7"/>
        <v>9935.45312678</v>
      </c>
      <c r="H135" s="186">
        <f t="shared" si="7"/>
        <v>58066.4047730159</v>
      </c>
      <c r="I135" s="186">
        <f t="shared" si="7"/>
        <v>32308.35616438356</v>
      </c>
      <c r="J135" s="186">
        <f t="shared" si="7"/>
        <v>2032490</v>
      </c>
      <c r="K135" s="186">
        <f t="shared" si="7"/>
        <v>394780</v>
      </c>
      <c r="L135" s="186">
        <f t="shared" si="7"/>
        <v>540665.4384973873</v>
      </c>
      <c r="M135" s="186">
        <f t="shared" si="7"/>
        <v>28776.442718116356</v>
      </c>
    </row>
    <row r="136" spans="1:13" ht="15">
      <c r="A136" s="187" t="s">
        <v>40</v>
      </c>
      <c r="B136" s="1208"/>
      <c r="C136" s="188">
        <f>SUM(C129:C135)</f>
        <v>308516</v>
      </c>
      <c r="D136" s="188">
        <f aca="true" t="shared" si="8" ref="D136:M136">SUM(D129:D135)</f>
        <v>2030623</v>
      </c>
      <c r="E136" s="188">
        <f t="shared" si="8"/>
        <v>8095281</v>
      </c>
      <c r="F136" s="188">
        <f t="shared" si="8"/>
        <v>523979</v>
      </c>
      <c r="G136" s="188">
        <f t="shared" si="8"/>
        <v>237957.73837085548</v>
      </c>
      <c r="H136" s="188">
        <f t="shared" si="8"/>
        <v>248046.24722506237</v>
      </c>
      <c r="I136" s="188">
        <f t="shared" si="8"/>
        <v>264234.94520547945</v>
      </c>
      <c r="J136" s="188">
        <f t="shared" si="8"/>
        <v>3350880</v>
      </c>
      <c r="K136" s="188">
        <f t="shared" si="8"/>
        <v>825994</v>
      </c>
      <c r="L136" s="188">
        <f t="shared" si="8"/>
        <v>3118470.129444994</v>
      </c>
      <c r="M136" s="188">
        <f t="shared" si="8"/>
        <v>1661105.0353825241</v>
      </c>
    </row>
    <row r="137" spans="1:13" ht="15" customHeight="1">
      <c r="A137" s="189" t="s">
        <v>49</v>
      </c>
      <c r="B137" s="1203" t="s">
        <v>165</v>
      </c>
      <c r="C137" s="190">
        <f>B32</f>
        <v>71212</v>
      </c>
      <c r="D137" s="190">
        <f>C32</f>
        <v>175148</v>
      </c>
      <c r="E137" s="190">
        <f aca="true" t="shared" si="9" ref="E137:M137">C4</f>
        <v>29054</v>
      </c>
      <c r="F137" s="190">
        <f t="shared" si="9"/>
        <v>12572</v>
      </c>
      <c r="G137" s="190">
        <f t="shared" si="9"/>
        <v>27291.8051828901</v>
      </c>
      <c r="H137" s="190">
        <f t="shared" si="9"/>
        <v>12505.2608769127</v>
      </c>
      <c r="I137" s="190">
        <f t="shared" si="9"/>
        <v>24308.794520547945</v>
      </c>
      <c r="J137" s="190">
        <f t="shared" si="9"/>
        <v>0</v>
      </c>
      <c r="K137" s="190">
        <f t="shared" si="9"/>
        <v>0</v>
      </c>
      <c r="L137" s="190">
        <f t="shared" si="9"/>
        <v>460834.3412794803</v>
      </c>
      <c r="M137" s="190">
        <f t="shared" si="9"/>
        <v>88553.7607945421</v>
      </c>
    </row>
    <row r="138" spans="1:13" ht="15" customHeight="1">
      <c r="A138" s="189" t="s">
        <v>51</v>
      </c>
      <c r="B138" s="1204"/>
      <c r="C138" s="190">
        <f aca="true" t="shared" si="10" ref="C138:D140">B35</f>
        <v>74287</v>
      </c>
      <c r="D138" s="190">
        <f t="shared" si="10"/>
        <v>148153</v>
      </c>
      <c r="E138" s="190">
        <f aca="true" t="shared" si="11" ref="E138:M140">C7</f>
        <v>209159</v>
      </c>
      <c r="F138" s="190">
        <f t="shared" si="11"/>
        <v>19062</v>
      </c>
      <c r="G138" s="190">
        <f t="shared" si="11"/>
        <v>7725.21118704614</v>
      </c>
      <c r="H138" s="190">
        <f t="shared" si="11"/>
        <v>17834.9052283941</v>
      </c>
      <c r="I138" s="190">
        <f t="shared" si="11"/>
        <v>26325.08219178082</v>
      </c>
      <c r="J138" s="190">
        <f t="shared" si="11"/>
        <v>430271</v>
      </c>
      <c r="K138" s="190">
        <f t="shared" si="11"/>
        <v>91070</v>
      </c>
      <c r="L138" s="190">
        <f t="shared" si="11"/>
        <v>5904275.771162265</v>
      </c>
      <c r="M138" s="190">
        <f t="shared" si="11"/>
        <v>122070.19925370847</v>
      </c>
    </row>
    <row r="139" spans="1:13" ht="15">
      <c r="A139" s="189" t="s">
        <v>52</v>
      </c>
      <c r="B139" s="1204"/>
      <c r="C139" s="190">
        <f t="shared" si="10"/>
        <v>30053</v>
      </c>
      <c r="D139" s="190">
        <f t="shared" si="10"/>
        <v>400023</v>
      </c>
      <c r="E139" s="190">
        <f t="shared" si="11"/>
        <v>798698</v>
      </c>
      <c r="F139" s="190">
        <f t="shared" si="11"/>
        <v>208978</v>
      </c>
      <c r="G139" s="190">
        <f t="shared" si="11"/>
        <v>33843.8962767069</v>
      </c>
      <c r="H139" s="190">
        <f t="shared" si="11"/>
        <v>36128.5077219631</v>
      </c>
      <c r="I139" s="190">
        <f t="shared" si="11"/>
        <v>26337.45205479452</v>
      </c>
      <c r="J139" s="190">
        <f t="shared" si="11"/>
        <v>255377</v>
      </c>
      <c r="K139" s="190">
        <f t="shared" si="11"/>
        <v>95020</v>
      </c>
      <c r="L139" s="190">
        <f t="shared" si="11"/>
        <v>265236.23781951703</v>
      </c>
      <c r="M139" s="190">
        <f t="shared" si="11"/>
        <v>148782.43066613202</v>
      </c>
    </row>
    <row r="140" spans="1:13" ht="15">
      <c r="A140" s="189" t="s">
        <v>53</v>
      </c>
      <c r="B140" s="1204"/>
      <c r="C140" s="190">
        <f t="shared" si="10"/>
        <v>159826</v>
      </c>
      <c r="D140" s="190">
        <f t="shared" si="10"/>
        <v>497735</v>
      </c>
      <c r="E140" s="190">
        <f t="shared" si="11"/>
        <v>465641</v>
      </c>
      <c r="F140" s="190">
        <f t="shared" si="11"/>
        <v>96193</v>
      </c>
      <c r="G140" s="190">
        <f t="shared" si="11"/>
        <v>49645.8663327273</v>
      </c>
      <c r="H140" s="190">
        <f t="shared" si="11"/>
        <v>81874.132611628</v>
      </c>
      <c r="I140" s="190">
        <f t="shared" si="11"/>
        <v>82693.1095890411</v>
      </c>
      <c r="J140" s="190">
        <f t="shared" si="11"/>
        <v>1150</v>
      </c>
      <c r="K140" s="190">
        <f t="shared" si="11"/>
        <v>0</v>
      </c>
      <c r="L140" s="190">
        <f t="shared" si="11"/>
        <v>281788.2942804689</v>
      </c>
      <c r="M140" s="190">
        <f t="shared" si="11"/>
        <v>695572.2259794592</v>
      </c>
    </row>
    <row r="141" spans="1:13" ht="15">
      <c r="A141" s="189" t="s">
        <v>56</v>
      </c>
      <c r="B141" s="1204"/>
      <c r="C141" s="190">
        <f>B40</f>
        <v>31905</v>
      </c>
      <c r="D141" s="190">
        <f>C40</f>
        <v>258495</v>
      </c>
      <c r="E141" s="190">
        <f aca="true" t="shared" si="12" ref="E141:M142">C12</f>
        <v>634318</v>
      </c>
      <c r="F141" s="190">
        <f t="shared" si="12"/>
        <v>102064</v>
      </c>
      <c r="G141" s="190">
        <f t="shared" si="12"/>
        <v>39975.2989071898</v>
      </c>
      <c r="H141" s="190">
        <f t="shared" si="12"/>
        <v>35256.3125261291</v>
      </c>
      <c r="I141" s="190">
        <f t="shared" si="12"/>
        <v>116195.30136986301</v>
      </c>
      <c r="J141" s="190">
        <f t="shared" si="12"/>
        <v>6967</v>
      </c>
      <c r="K141" s="190">
        <f t="shared" si="12"/>
        <v>3450</v>
      </c>
      <c r="L141" s="190">
        <f t="shared" si="12"/>
        <v>550166.3445840983</v>
      </c>
      <c r="M141" s="190">
        <f t="shared" si="12"/>
        <v>176408.93993980807</v>
      </c>
    </row>
    <row r="142" spans="1:13" ht="15">
      <c r="A142" s="189" t="s">
        <v>57</v>
      </c>
      <c r="B142" s="1204"/>
      <c r="C142" s="190">
        <f>B41</f>
        <v>10349</v>
      </c>
      <c r="D142" s="190">
        <f>C41</f>
        <v>36972</v>
      </c>
      <c r="E142" s="190">
        <f t="shared" si="12"/>
        <v>28131</v>
      </c>
      <c r="F142" s="190">
        <f t="shared" si="12"/>
        <v>78936</v>
      </c>
      <c r="G142" s="190">
        <f t="shared" si="12"/>
        <v>2797.64452073827</v>
      </c>
      <c r="H142" s="190">
        <f t="shared" si="12"/>
        <v>3424.04913614219</v>
      </c>
      <c r="I142" s="190">
        <f t="shared" si="12"/>
        <v>14817.945205479453</v>
      </c>
      <c r="J142" s="190">
        <f t="shared" si="12"/>
        <v>0</v>
      </c>
      <c r="K142" s="190">
        <f t="shared" si="12"/>
        <v>0</v>
      </c>
      <c r="L142" s="190">
        <f t="shared" si="12"/>
        <v>4236193.485044485</v>
      </c>
      <c r="M142" s="190">
        <f t="shared" si="12"/>
        <v>14536.86494571153</v>
      </c>
    </row>
    <row r="143" spans="1:13" ht="15">
      <c r="A143" s="189" t="s">
        <v>59</v>
      </c>
      <c r="B143" s="1204"/>
      <c r="C143" s="190">
        <f aca="true" t="shared" si="13" ref="C143:D145">B43</f>
        <v>43042</v>
      </c>
      <c r="D143" s="190">
        <f t="shared" si="13"/>
        <v>212815</v>
      </c>
      <c r="E143" s="190">
        <f aca="true" t="shared" si="14" ref="E143:M145">C15</f>
        <v>357814</v>
      </c>
      <c r="F143" s="190">
        <f t="shared" si="14"/>
        <v>108605</v>
      </c>
      <c r="G143" s="190">
        <f t="shared" si="14"/>
        <v>40434.5145349209</v>
      </c>
      <c r="H143" s="190">
        <f t="shared" si="14"/>
        <v>52367.0920036767</v>
      </c>
      <c r="I143" s="190">
        <f t="shared" si="14"/>
        <v>45138.78082191781</v>
      </c>
      <c r="J143" s="190">
        <f t="shared" si="14"/>
        <v>7999</v>
      </c>
      <c r="K143" s="190">
        <f t="shared" si="14"/>
        <v>0</v>
      </c>
      <c r="L143" s="190">
        <f t="shared" si="14"/>
        <v>8230005.202570259</v>
      </c>
      <c r="M143" s="190">
        <f t="shared" si="14"/>
        <v>193403.46868427758</v>
      </c>
    </row>
    <row r="144" spans="1:13" ht="15">
      <c r="A144" s="189" t="s">
        <v>60</v>
      </c>
      <c r="B144" s="1204"/>
      <c r="C144" s="190">
        <f t="shared" si="13"/>
        <v>20306</v>
      </c>
      <c r="D144" s="190">
        <f t="shared" si="13"/>
        <v>66038</v>
      </c>
      <c r="E144" s="190">
        <f t="shared" si="14"/>
        <v>82685</v>
      </c>
      <c r="F144" s="190">
        <f t="shared" si="14"/>
        <v>83968</v>
      </c>
      <c r="G144" s="190">
        <f t="shared" si="14"/>
        <v>6894.06955165671</v>
      </c>
      <c r="H144" s="190">
        <f t="shared" si="14"/>
        <v>12246.0466482676</v>
      </c>
      <c r="I144" s="190">
        <f t="shared" si="14"/>
        <v>25361.095890410958</v>
      </c>
      <c r="J144" s="190">
        <f t="shared" si="14"/>
        <v>0</v>
      </c>
      <c r="K144" s="190">
        <f t="shared" si="14"/>
        <v>0</v>
      </c>
      <c r="L144" s="190">
        <f t="shared" si="14"/>
        <v>584068.3582544839</v>
      </c>
      <c r="M144" s="190">
        <f t="shared" si="14"/>
        <v>67625.76015337044</v>
      </c>
    </row>
    <row r="145" spans="1:13" ht="15">
      <c r="A145" s="189" t="s">
        <v>61</v>
      </c>
      <c r="B145" s="1204"/>
      <c r="C145" s="190">
        <f t="shared" si="13"/>
        <v>77763</v>
      </c>
      <c r="D145" s="190">
        <f t="shared" si="13"/>
        <v>180176</v>
      </c>
      <c r="E145" s="190">
        <f t="shared" si="14"/>
        <v>319535</v>
      </c>
      <c r="F145" s="190">
        <f t="shared" si="14"/>
        <v>175075</v>
      </c>
      <c r="G145" s="190">
        <f t="shared" si="14"/>
        <v>12397.3182038256</v>
      </c>
      <c r="H145" s="190">
        <f t="shared" si="14"/>
        <v>24667.3729118253</v>
      </c>
      <c r="I145" s="190">
        <f t="shared" si="14"/>
        <v>129472.76712328767</v>
      </c>
      <c r="J145" s="190">
        <f t="shared" si="14"/>
        <v>40511</v>
      </c>
      <c r="K145" s="190">
        <f t="shared" si="14"/>
        <v>20152</v>
      </c>
      <c r="L145" s="190">
        <f t="shared" si="14"/>
        <v>18977471.19022737</v>
      </c>
      <c r="M145" s="190">
        <f t="shared" si="14"/>
        <v>217407.55295469894</v>
      </c>
    </row>
    <row r="146" spans="1:13" ht="15">
      <c r="A146" s="189" t="s">
        <v>64</v>
      </c>
      <c r="B146" s="1204"/>
      <c r="C146" s="190">
        <f>B48</f>
        <v>5302</v>
      </c>
      <c r="D146" s="190">
        <f>C48</f>
        <v>18691</v>
      </c>
      <c r="E146" s="190">
        <f aca="true" t="shared" si="15" ref="E146:M146">C20</f>
        <v>47249</v>
      </c>
      <c r="F146" s="190">
        <f t="shared" si="15"/>
        <v>8511</v>
      </c>
      <c r="G146" s="190">
        <f t="shared" si="15"/>
        <v>665.276403728355</v>
      </c>
      <c r="H146" s="190">
        <f t="shared" si="15"/>
        <v>5796.44169775901</v>
      </c>
      <c r="I146" s="190">
        <f t="shared" si="15"/>
        <v>3692.8356164383563</v>
      </c>
      <c r="J146" s="190">
        <f t="shared" si="15"/>
        <v>147754</v>
      </c>
      <c r="K146" s="190">
        <f t="shared" si="15"/>
        <v>39589</v>
      </c>
      <c r="L146" s="190">
        <f t="shared" si="15"/>
        <v>17220.62714305889</v>
      </c>
      <c r="M146" s="190">
        <f t="shared" si="15"/>
        <v>39435.63996530836</v>
      </c>
    </row>
    <row r="147" spans="1:13" ht="15">
      <c r="A147" s="189" t="s">
        <v>68</v>
      </c>
      <c r="B147" s="1204"/>
      <c r="C147" s="190">
        <f>B52</f>
        <v>18813</v>
      </c>
      <c r="D147" s="190">
        <f>C52</f>
        <v>175152</v>
      </c>
      <c r="E147" s="190">
        <f aca="true" t="shared" si="16" ref="E147:M148">C24</f>
        <v>5422</v>
      </c>
      <c r="F147" s="190">
        <f t="shared" si="16"/>
        <v>0</v>
      </c>
      <c r="G147" s="190">
        <f t="shared" si="16"/>
        <v>24626.0414073493</v>
      </c>
      <c r="H147" s="190">
        <f t="shared" si="16"/>
        <v>11662.7836692357</v>
      </c>
      <c r="I147" s="190">
        <f t="shared" si="16"/>
        <v>40663.767123287675</v>
      </c>
      <c r="J147" s="190">
        <f t="shared" si="16"/>
        <v>0</v>
      </c>
      <c r="K147" s="190">
        <f t="shared" si="16"/>
        <v>0</v>
      </c>
      <c r="L147" s="190">
        <f t="shared" si="16"/>
        <v>1367212.6401073295</v>
      </c>
      <c r="M147" s="190">
        <f t="shared" si="16"/>
        <v>93172.19107727145</v>
      </c>
    </row>
    <row r="148" spans="1:13" ht="15">
      <c r="A148" s="189" t="s">
        <v>69</v>
      </c>
      <c r="B148" s="1204"/>
      <c r="C148" s="190">
        <f>B53</f>
        <v>5702</v>
      </c>
      <c r="D148" s="190">
        <f>C53</f>
        <v>14868</v>
      </c>
      <c r="E148" s="190">
        <f t="shared" si="16"/>
        <v>37901</v>
      </c>
      <c r="F148" s="190">
        <f t="shared" si="16"/>
        <v>18227</v>
      </c>
      <c r="G148" s="190">
        <f t="shared" si="16"/>
        <v>682.893921675903</v>
      </c>
      <c r="H148" s="190">
        <f t="shared" si="16"/>
        <v>1448.6128993615</v>
      </c>
      <c r="I148" s="190">
        <f t="shared" si="16"/>
        <v>9870.575342465754</v>
      </c>
      <c r="J148" s="190">
        <f t="shared" si="16"/>
        <v>78238</v>
      </c>
      <c r="K148" s="190">
        <f t="shared" si="16"/>
        <v>29742</v>
      </c>
      <c r="L148" s="190">
        <f t="shared" si="16"/>
        <v>360380.8917102104</v>
      </c>
      <c r="M148" s="190">
        <f t="shared" si="16"/>
        <v>29513.139228904438</v>
      </c>
    </row>
    <row r="149" spans="1:13" ht="15">
      <c r="A149" s="187" t="s">
        <v>40</v>
      </c>
      <c r="B149" s="1205"/>
      <c r="C149" s="188">
        <f>SUM(C137:C148)</f>
        <v>548560</v>
      </c>
      <c r="D149" s="188">
        <f aca="true" t="shared" si="17" ref="D149:M149">SUM(D137:D148)</f>
        <v>2184266</v>
      </c>
      <c r="E149" s="188">
        <f t="shared" si="17"/>
        <v>3015607</v>
      </c>
      <c r="F149" s="188">
        <f t="shared" si="17"/>
        <v>912191</v>
      </c>
      <c r="G149" s="188">
        <f t="shared" si="17"/>
        <v>246979.83643045533</v>
      </c>
      <c r="H149" s="188">
        <f t="shared" si="17"/>
        <v>295211.51793129503</v>
      </c>
      <c r="I149" s="188">
        <f t="shared" si="17"/>
        <v>544877.506849315</v>
      </c>
      <c r="J149" s="188">
        <f t="shared" si="17"/>
        <v>968267</v>
      </c>
      <c r="K149" s="188">
        <f t="shared" si="17"/>
        <v>279023</v>
      </c>
      <c r="L149" s="188">
        <f t="shared" si="17"/>
        <v>41234853.38418301</v>
      </c>
      <c r="M149" s="188">
        <f t="shared" si="17"/>
        <v>1886482.1736431925</v>
      </c>
    </row>
    <row r="150" spans="1:13" ht="15" customHeight="1">
      <c r="A150" s="191" t="s">
        <v>62</v>
      </c>
      <c r="B150" s="1198" t="s">
        <v>166</v>
      </c>
      <c r="C150" s="192">
        <f>B46</f>
        <v>1254</v>
      </c>
      <c r="D150" s="192">
        <f>C46</f>
        <v>44799</v>
      </c>
      <c r="E150" s="192">
        <f aca="true" t="shared" si="18" ref="E150:M151">C18</f>
        <v>12191</v>
      </c>
      <c r="F150" s="192">
        <f t="shared" si="18"/>
        <v>350</v>
      </c>
      <c r="G150" s="192">
        <f t="shared" si="18"/>
        <v>3809.6415524792</v>
      </c>
      <c r="H150" s="192">
        <f t="shared" si="18"/>
        <v>473.114039625132</v>
      </c>
      <c r="I150" s="192">
        <f t="shared" si="18"/>
        <v>23922.739726027397</v>
      </c>
      <c r="J150" s="192">
        <f t="shared" si="18"/>
        <v>0</v>
      </c>
      <c r="K150" s="192">
        <f t="shared" si="18"/>
        <v>0</v>
      </c>
      <c r="L150" s="192">
        <f t="shared" si="18"/>
        <v>1248171.9861319023</v>
      </c>
      <c r="M150" s="192">
        <f t="shared" si="18"/>
        <v>4340.4514702530405</v>
      </c>
    </row>
    <row r="151" spans="1:13" ht="15">
      <c r="A151" s="191" t="s">
        <v>63</v>
      </c>
      <c r="B151" s="1199"/>
      <c r="C151" s="192">
        <f>B47</f>
        <v>1610</v>
      </c>
      <c r="D151" s="192">
        <f>C47</f>
        <v>56122</v>
      </c>
      <c r="E151" s="192">
        <f t="shared" si="18"/>
        <v>9104</v>
      </c>
      <c r="F151" s="192">
        <f t="shared" si="18"/>
        <v>0</v>
      </c>
      <c r="G151" s="192">
        <f t="shared" si="18"/>
        <v>476.537404431081</v>
      </c>
      <c r="H151" s="192">
        <f t="shared" si="18"/>
        <v>22.5937956477626</v>
      </c>
      <c r="I151" s="192">
        <f t="shared" si="18"/>
        <v>3768.4931506849316</v>
      </c>
      <c r="J151" s="192">
        <f t="shared" si="18"/>
        <v>0</v>
      </c>
      <c r="K151" s="192">
        <f t="shared" si="18"/>
        <v>0</v>
      </c>
      <c r="L151" s="192">
        <f t="shared" si="18"/>
        <v>152183.91037988986</v>
      </c>
      <c r="M151" s="192">
        <f t="shared" si="18"/>
        <v>674.3401547531622</v>
      </c>
    </row>
    <row r="152" spans="1:13" ht="15">
      <c r="A152" s="191" t="s">
        <v>66</v>
      </c>
      <c r="B152" s="1199"/>
      <c r="C152" s="192">
        <f>B50</f>
        <v>30915</v>
      </c>
      <c r="D152" s="192">
        <f>C50</f>
        <v>259967</v>
      </c>
      <c r="E152" s="192">
        <f aca="true" t="shared" si="19" ref="E152:M152">C22</f>
        <v>302540</v>
      </c>
      <c r="F152" s="192">
        <f t="shared" si="19"/>
        <v>382545</v>
      </c>
      <c r="G152" s="192">
        <f t="shared" si="19"/>
        <v>32523.6619960125</v>
      </c>
      <c r="H152" s="192">
        <f t="shared" si="19"/>
        <v>43551.5887523214</v>
      </c>
      <c r="I152" s="192">
        <f t="shared" si="19"/>
        <v>45742.31506849315</v>
      </c>
      <c r="J152" s="192">
        <f t="shared" si="19"/>
        <v>82</v>
      </c>
      <c r="K152" s="192">
        <f t="shared" si="19"/>
        <v>0</v>
      </c>
      <c r="L152" s="192">
        <f t="shared" si="19"/>
        <v>1894498.2099703432</v>
      </c>
      <c r="M152" s="192">
        <f t="shared" si="19"/>
        <v>28246.887910495236</v>
      </c>
    </row>
    <row r="153" spans="1:13" ht="15">
      <c r="A153" s="191" t="s">
        <v>70</v>
      </c>
      <c r="B153" s="1199"/>
      <c r="C153" s="192">
        <f>B54</f>
        <v>422</v>
      </c>
      <c r="D153" s="192">
        <f>C54</f>
        <v>22005</v>
      </c>
      <c r="E153" s="192">
        <f aca="true" t="shared" si="20" ref="E153:M154">C26</f>
        <v>6290</v>
      </c>
      <c r="F153" s="192">
        <f t="shared" si="20"/>
        <v>60648</v>
      </c>
      <c r="G153" s="192">
        <f t="shared" si="20"/>
        <v>2337.35463511981</v>
      </c>
      <c r="H153" s="192">
        <f t="shared" si="20"/>
        <v>2515.27705299681</v>
      </c>
      <c r="I153" s="192">
        <f t="shared" si="20"/>
        <v>8557.643835616438</v>
      </c>
      <c r="J153" s="192">
        <f t="shared" si="20"/>
        <v>0</v>
      </c>
      <c r="K153" s="192">
        <f t="shared" si="20"/>
        <v>0</v>
      </c>
      <c r="L153" s="192">
        <f t="shared" si="20"/>
        <v>50050.422539189385</v>
      </c>
      <c r="M153" s="192">
        <f t="shared" si="20"/>
        <v>621.3373822690422</v>
      </c>
    </row>
    <row r="154" spans="1:13" ht="15">
      <c r="A154" s="191" t="s">
        <v>71</v>
      </c>
      <c r="B154" s="1199"/>
      <c r="C154" s="192">
        <f>B55</f>
        <v>4441</v>
      </c>
      <c r="D154" s="192">
        <f>C55</f>
        <v>41955</v>
      </c>
      <c r="E154" s="192">
        <f t="shared" si="20"/>
        <v>9646</v>
      </c>
      <c r="F154" s="192">
        <f t="shared" si="20"/>
        <v>0</v>
      </c>
      <c r="G154" s="192">
        <f t="shared" si="20"/>
        <v>2205.78692169011</v>
      </c>
      <c r="H154" s="192">
        <f t="shared" si="20"/>
        <v>187.369860096304</v>
      </c>
      <c r="I154" s="192">
        <f t="shared" si="20"/>
        <v>13596.780821917808</v>
      </c>
      <c r="J154" s="192">
        <f t="shared" si="20"/>
        <v>0</v>
      </c>
      <c r="K154" s="192">
        <f t="shared" si="20"/>
        <v>0</v>
      </c>
      <c r="L154" s="192">
        <f t="shared" si="20"/>
        <v>1861569.4598503036</v>
      </c>
      <c r="M154" s="192">
        <f t="shared" si="20"/>
        <v>3169.876645111857</v>
      </c>
    </row>
    <row r="155" spans="1:13" ht="15">
      <c r="A155" s="187" t="s">
        <v>40</v>
      </c>
      <c r="B155" s="1200"/>
      <c r="C155" s="188">
        <f>SUM(C150:C154)</f>
        <v>38642</v>
      </c>
      <c r="D155" s="188">
        <f aca="true" t="shared" si="21" ref="D155:M155">SUM(D150:D154)</f>
        <v>424848</v>
      </c>
      <c r="E155" s="188">
        <f t="shared" si="21"/>
        <v>339771</v>
      </c>
      <c r="F155" s="188">
        <f t="shared" si="21"/>
        <v>443543</v>
      </c>
      <c r="G155" s="188">
        <f t="shared" si="21"/>
        <v>41352.9825097327</v>
      </c>
      <c r="H155" s="188">
        <f t="shared" si="21"/>
        <v>46749.943500687405</v>
      </c>
      <c r="I155" s="188">
        <f t="shared" si="21"/>
        <v>95587.97260273974</v>
      </c>
      <c r="J155" s="188">
        <f t="shared" si="21"/>
        <v>82</v>
      </c>
      <c r="K155" s="188">
        <f t="shared" si="21"/>
        <v>0</v>
      </c>
      <c r="L155" s="188">
        <f t="shared" si="21"/>
        <v>5206473.988871628</v>
      </c>
      <c r="M155" s="188">
        <f t="shared" si="21"/>
        <v>37052.89356288234</v>
      </c>
    </row>
    <row r="156" spans="1:13" ht="15">
      <c r="A156" s="187" t="s">
        <v>167</v>
      </c>
      <c r="B156" s="193"/>
      <c r="C156" s="188">
        <f>SUM(C136,C149,C155)</f>
        <v>895718</v>
      </c>
      <c r="D156" s="188">
        <f aca="true" t="shared" si="22" ref="D156:M156">SUM(D136,D149,D155)</f>
        <v>4639737</v>
      </c>
      <c r="E156" s="188">
        <f t="shared" si="22"/>
        <v>11450659</v>
      </c>
      <c r="F156" s="188">
        <f t="shared" si="22"/>
        <v>1879713</v>
      </c>
      <c r="G156" s="188">
        <f t="shared" si="22"/>
        <v>526290.5573110435</v>
      </c>
      <c r="H156" s="188">
        <f t="shared" si="22"/>
        <v>590007.7086570448</v>
      </c>
      <c r="I156" s="188">
        <f t="shared" si="22"/>
        <v>904700.4246575341</v>
      </c>
      <c r="J156" s="188">
        <f t="shared" si="22"/>
        <v>4319229</v>
      </c>
      <c r="K156" s="188">
        <f t="shared" si="22"/>
        <v>1105017</v>
      </c>
      <c r="L156" s="188">
        <f t="shared" si="22"/>
        <v>49559797.50249963</v>
      </c>
      <c r="M156" s="188">
        <f t="shared" si="22"/>
        <v>3584640.1025885986</v>
      </c>
    </row>
    <row r="157" spans="1:13" ht="15">
      <c r="A157" s="1195" t="s">
        <v>154</v>
      </c>
      <c r="B157" s="1195"/>
      <c r="C157" s="1195"/>
      <c r="D157" s="1195"/>
      <c r="E157" s="1195"/>
      <c r="F157" s="1195"/>
      <c r="G157" s="1195"/>
      <c r="H157" s="1195"/>
      <c r="I157" s="1195"/>
      <c r="J157" s="1195"/>
      <c r="K157" s="1195"/>
      <c r="L157" s="1195"/>
      <c r="M157" s="1195"/>
    </row>
    <row r="159" spans="1:12" ht="15">
      <c r="A159" s="1194" t="s">
        <v>168</v>
      </c>
      <c r="B159" s="1194"/>
      <c r="C159" s="1194"/>
      <c r="D159" s="1194"/>
      <c r="E159" s="1194"/>
      <c r="F159" s="1194"/>
      <c r="G159" s="1194"/>
      <c r="H159" s="1194"/>
      <c r="I159" s="1194"/>
      <c r="J159" s="1194"/>
      <c r="K159" s="1194"/>
      <c r="L159" s="1194"/>
    </row>
    <row r="160" spans="1:12" ht="25.5">
      <c r="A160" s="174" t="s">
        <v>152</v>
      </c>
      <c r="B160" s="194" t="s">
        <v>164</v>
      </c>
      <c r="C160" s="194" t="s">
        <v>165</v>
      </c>
      <c r="D160" s="194" t="s">
        <v>166</v>
      </c>
      <c r="E160" s="174" t="s">
        <v>167</v>
      </c>
      <c r="G160" s="508" t="s">
        <v>989</v>
      </c>
      <c r="H160" s="6"/>
      <c r="I160" s="6"/>
      <c r="J160" s="6"/>
      <c r="K160" s="6"/>
      <c r="L160" s="6"/>
    </row>
    <row r="161" spans="1:12" ht="12.75">
      <c r="A161" s="175" t="s">
        <v>148</v>
      </c>
      <c r="B161" s="195">
        <f>C136/C$156</f>
        <v>0.34443429740163756</v>
      </c>
      <c r="C161" s="196">
        <f>C149/C$156</f>
        <v>0.6124248926559476</v>
      </c>
      <c r="D161" s="197">
        <f>C155/C$156</f>
        <v>0.04314080994241491</v>
      </c>
      <c r="E161" s="198">
        <f aca="true" t="shared" si="23" ref="E161:E171">SUM(B161:D161)</f>
        <v>1</v>
      </c>
      <c r="G161" s="6"/>
      <c r="H161" s="6"/>
      <c r="I161" s="6"/>
      <c r="J161" s="6"/>
      <c r="K161" s="6"/>
      <c r="L161" s="6"/>
    </row>
    <row r="162" spans="1:12" ht="12.75">
      <c r="A162" s="175" t="s">
        <v>564</v>
      </c>
      <c r="B162" s="195">
        <f>D136/D$156</f>
        <v>0.4376590742104563</v>
      </c>
      <c r="C162" s="196">
        <f>D149/D$156</f>
        <v>0.47077366669705634</v>
      </c>
      <c r="D162" s="197">
        <f>D155/D$156</f>
        <v>0.09156725909248735</v>
      </c>
      <c r="E162" s="198">
        <f t="shared" si="23"/>
        <v>0.9999999999999999</v>
      </c>
      <c r="G162" s="6"/>
      <c r="H162" s="6"/>
      <c r="I162" s="6"/>
      <c r="J162" s="6"/>
      <c r="K162" s="6"/>
      <c r="L162" s="6"/>
    </row>
    <row r="163" spans="1:12" ht="12.75">
      <c r="A163" s="175" t="s">
        <v>46</v>
      </c>
      <c r="B163" s="195">
        <f>E136/E$156</f>
        <v>0.7069707516397091</v>
      </c>
      <c r="C163" s="196">
        <f>E149/E$156</f>
        <v>0.2633566330112529</v>
      </c>
      <c r="D163" s="197">
        <f>E155/E$156</f>
        <v>0.02967261534903799</v>
      </c>
      <c r="E163" s="198">
        <f t="shared" si="23"/>
        <v>1</v>
      </c>
      <c r="G163" s="6"/>
      <c r="H163" s="6"/>
      <c r="I163" s="6"/>
      <c r="J163" s="6"/>
      <c r="K163" s="6"/>
      <c r="L163" s="6"/>
    </row>
    <row r="164" spans="1:12" ht="15">
      <c r="A164" s="175" t="s">
        <v>45</v>
      </c>
      <c r="B164" s="195">
        <f>F136/F$156</f>
        <v>0.2787547886299664</v>
      </c>
      <c r="C164" s="196">
        <f>F149/F$156</f>
        <v>0.4852820616764368</v>
      </c>
      <c r="D164" s="197">
        <f>F155/F$156</f>
        <v>0.23596314969359683</v>
      </c>
      <c r="E164" s="198">
        <f t="shared" si="23"/>
        <v>1</v>
      </c>
      <c r="G164" s="6"/>
      <c r="H164" s="6"/>
      <c r="I164" s="6"/>
      <c r="J164" s="6"/>
      <c r="K164" s="6"/>
      <c r="L164" s="6"/>
    </row>
    <row r="165" spans="1:12" ht="15">
      <c r="A165" s="175" t="s">
        <v>72</v>
      </c>
      <c r="B165" s="195">
        <f>G136/G$156</f>
        <v>0.4521413790637704</v>
      </c>
      <c r="C165" s="196">
        <f>G149/G$156</f>
        <v>0.46928418722224485</v>
      </c>
      <c r="D165" s="197">
        <f>G155/G$156</f>
        <v>0.07857443371398479</v>
      </c>
      <c r="E165" s="198">
        <f t="shared" si="23"/>
        <v>1</v>
      </c>
      <c r="G165" s="6"/>
      <c r="H165" s="6"/>
      <c r="I165" s="6"/>
      <c r="J165" s="6"/>
      <c r="K165" s="6"/>
      <c r="L165" s="6"/>
    </row>
    <row r="166" spans="1:12" ht="15">
      <c r="A166" s="175" t="s">
        <v>150</v>
      </c>
      <c r="B166" s="195">
        <f>H136/H$156</f>
        <v>0.4204118752781327</v>
      </c>
      <c r="C166" s="196">
        <f>H149/H$156</f>
        <v>0.5003519676094492</v>
      </c>
      <c r="D166" s="197">
        <f>H155/H$156</f>
        <v>0.07923615711241809</v>
      </c>
      <c r="E166" s="198">
        <f t="shared" si="23"/>
        <v>1</v>
      </c>
      <c r="G166" s="6"/>
      <c r="H166" s="6"/>
      <c r="I166" s="6"/>
      <c r="J166" s="6"/>
      <c r="K166" s="6"/>
      <c r="L166" s="6"/>
    </row>
    <row r="167" spans="1:5" ht="15">
      <c r="A167" s="175" t="s">
        <v>47</v>
      </c>
      <c r="B167" s="195">
        <f>I136/I$156</f>
        <v>0.29206899654712015</v>
      </c>
      <c r="C167" s="196">
        <f>I149/I$156</f>
        <v>0.6022739594220632</v>
      </c>
      <c r="D167" s="197">
        <f>I155/I$156</f>
        <v>0.1056570440308168</v>
      </c>
      <c r="E167" s="198">
        <f t="shared" si="23"/>
        <v>1.0000000000000002</v>
      </c>
    </row>
    <row r="168" spans="1:5" ht="15">
      <c r="A168" s="175" t="s">
        <v>43</v>
      </c>
      <c r="B168" s="195">
        <f>J136/J$156</f>
        <v>0.7758051263315745</v>
      </c>
      <c r="C168" s="196">
        <f>J149/J$156</f>
        <v>0.22417588879867217</v>
      </c>
      <c r="D168" s="197">
        <f>J155/J$156</f>
        <v>1.8984869753374966E-05</v>
      </c>
      <c r="E168" s="198">
        <f t="shared" si="23"/>
        <v>1</v>
      </c>
    </row>
    <row r="169" spans="1:5" ht="15">
      <c r="A169" s="175" t="s">
        <v>44</v>
      </c>
      <c r="B169" s="195">
        <f>K136/K$156</f>
        <v>0.7474943824393652</v>
      </c>
      <c r="C169" s="196">
        <f>K149/K$156</f>
        <v>0.25250561756063483</v>
      </c>
      <c r="D169" s="197">
        <f>K155/K$156</f>
        <v>0</v>
      </c>
      <c r="E169" s="198">
        <f t="shared" si="23"/>
        <v>1</v>
      </c>
    </row>
    <row r="170" spans="1:5" ht="15">
      <c r="A170" s="175" t="s">
        <v>42</v>
      </c>
      <c r="B170" s="195">
        <f>L136/L$156</f>
        <v>0.06292338319759495</v>
      </c>
      <c r="C170" s="196">
        <f>L149/L$156</f>
        <v>0.8320222329823536</v>
      </c>
      <c r="D170" s="197">
        <f>L155/L$156</f>
        <v>0.10505438382005154</v>
      </c>
      <c r="E170" s="198">
        <f t="shared" si="23"/>
        <v>1</v>
      </c>
    </row>
    <row r="171" spans="1:5" ht="15">
      <c r="A171" s="175" t="s">
        <v>74</v>
      </c>
      <c r="B171" s="195">
        <f>M136/M$156</f>
        <v>0.46339520505363424</v>
      </c>
      <c r="C171" s="196">
        <f>M149/M$156</f>
        <v>0.5262682220959631</v>
      </c>
      <c r="D171" s="197">
        <f>M155/M$156</f>
        <v>0.010336572850402778</v>
      </c>
      <c r="E171" s="198">
        <f t="shared" si="23"/>
        <v>1.0000000000000002</v>
      </c>
    </row>
  </sheetData>
  <mergeCells count="10">
    <mergeCell ref="A159:L159"/>
    <mergeCell ref="A157:M157"/>
    <mergeCell ref="A125:D125"/>
    <mergeCell ref="A1:K1"/>
    <mergeCell ref="B150:B155"/>
    <mergeCell ref="A127:M127"/>
    <mergeCell ref="A57:F57"/>
    <mergeCell ref="A29:D29"/>
    <mergeCell ref="B137:B149"/>
    <mergeCell ref="B129:B13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Busso</dc:creator>
  <cp:keywords/>
  <dc:description/>
  <cp:lastModifiedBy>Administrador</cp:lastModifiedBy>
  <dcterms:created xsi:type="dcterms:W3CDTF">2020-07-05T16:02:48Z</dcterms:created>
  <dcterms:modified xsi:type="dcterms:W3CDTF">2021-07-16T22:50:03Z</dcterms:modified>
  <cp:category/>
  <cp:version/>
  <cp:contentType/>
  <cp:contentStatus/>
</cp:coreProperties>
</file>