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0.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1.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ersons/person.xml" ContentType="application/vnd.ms-excel.person+xml"/>
  <Override PartName="/xl/threadedComments/threadedComment1.xml" ContentType="application/vnd.ms-excel.threadedcomment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style16.xml" ContentType="application/vnd.ms-office.chartstyle+xml"/>
  <Override PartName="/xl/charts/colors16.xml" ContentType="application/vnd.ms-office.chartcolorstyle+xml"/>
  <Override PartName="/xl/charts/style17.xml" ContentType="application/vnd.ms-office.chartstyle+xml"/>
  <Override PartName="/xl/charts/colors17.xml" ContentType="application/vnd.ms-office.chartcolorstyle+xml"/>
  <Override PartName="/xl/charts/style18.xml" ContentType="application/vnd.ms-office.chartstyle+xml"/>
  <Override PartName="/xl/charts/colors18.xml" ContentType="application/vnd.ms-office.chartcolorstyle+xml"/>
  <Override PartName="/xl/charts/style19.xml" ContentType="application/vnd.ms-office.chartstyle+xml"/>
  <Override PartName="/xl/charts/colors19.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831"/>
  <workbookPr/>
  <bookViews>
    <workbookView xWindow="48691" yWindow="180" windowWidth="28800" windowHeight="15255" firstSheet="28" activeTab="33"/>
  </bookViews>
  <sheets>
    <sheet name="Instrucciones" sheetId="46" r:id="rId1"/>
    <sheet name="Características datos" sheetId="49" r:id="rId2"/>
    <sheet name="IB 3A1_3A2_3C6" sheetId="12" r:id="rId3"/>
    <sheet name="IB 3C1" sheetId="11" r:id="rId4"/>
    <sheet name="IB 3C2" sheetId="10" r:id="rId5"/>
    <sheet name="IB 3C3" sheetId="9" r:id="rId6"/>
    <sheet name="IB 3C4_3C5" sheetId="8" r:id="rId7"/>
    <sheet name="IB 3C7" sheetId="39" r:id="rId8"/>
    <sheet name="IP 3A1_3A2_3C6" sheetId="20" r:id="rId9"/>
    <sheet name="IP 3C1" sheetId="19" r:id="rId10"/>
    <sheet name="IP 3C2" sheetId="18" r:id="rId11"/>
    <sheet name="IP 3C3" sheetId="17" r:id="rId12"/>
    <sheet name="IP 3C4_3C5" sheetId="16" r:id="rId13"/>
    <sheet name="IP 3C7" sheetId="40" r:id="rId14"/>
    <sheet name="F. de Conversión" sheetId="3" r:id="rId15"/>
    <sheet name="3A1_3A2 FE" sheetId="27" r:id="rId16"/>
    <sheet name="3C1 FE" sheetId="26" r:id="rId17"/>
    <sheet name="3C2 FE" sheetId="25" r:id="rId18"/>
    <sheet name="3C3 FE" sheetId="24" r:id="rId19"/>
    <sheet name="3C4 FE" sheetId="23" r:id="rId20"/>
    <sheet name="3C5 FE" sheetId="22" r:id="rId21"/>
    <sheet name="3C6 FE" sheetId="21" r:id="rId22"/>
    <sheet name="3C7 FE" sheetId="41" r:id="rId23"/>
    <sheet name="GEI 3A1_3A2 (N1) " sheetId="38" r:id="rId24"/>
    <sheet name="GEI 3A1 (N2)" sheetId="43" r:id="rId25"/>
    <sheet name="GEI 3C1" sheetId="33" r:id="rId26"/>
    <sheet name="GEI 3C2" sheetId="32" r:id="rId27"/>
    <sheet name="GEI 3C3" sheetId="31" r:id="rId28"/>
    <sheet name="GEI 3C4" sheetId="30" r:id="rId29"/>
    <sheet name="GEI 3C5" sheetId="29" r:id="rId30"/>
    <sheet name="GEI 3C6" sheetId="28" r:id="rId31"/>
    <sheet name="GEI 3C7" sheetId="42" r:id="rId32"/>
    <sheet name="RESULTADOS RAGEI " sheetId="44" r:id="rId33"/>
    <sheet name="Recálculos RAGEI anteriores" sheetId="45" r:id="rId34"/>
    <sheet name="Actualización serie temporal " sheetId="52" r:id="rId35"/>
    <sheet name="Incertidumbre" sheetId="50" r:id="rId36"/>
    <sheet name="Valores de incertidumbre" sheetId="51" r:id="rId37"/>
  </sheets>
  <externalReferences>
    <externalReference r:id="rId40"/>
    <externalReference r:id="rId41"/>
    <externalReference r:id="rId42"/>
  </externalReferences>
  <definedNames/>
  <calcPr calcId="181029"/>
  <extLst>
    <ext xmlns:x15="http://schemas.microsoft.com/office/spreadsheetml/2010/11/main" xmlns="http://schemas.openxmlformats.org/spreadsheetml/2006/main" uri="{140A7094-0E35-4892-8432-C4D2E57EDEB5}">
      <x15:workbookPr chartTrackingRefBase="1"/>
    </ext>
  </extLst>
</workbook>
</file>

<file path=xl/comments13.xml><?xml version="1.0" encoding="utf-8"?>
<comments xmlns="http://schemas.openxmlformats.org/spreadsheetml/2006/main">
  <authors>
    <author>Angelica Busso</author>
  </authors>
  <commentList>
    <comment ref="E176" authorId="0">
      <text>
        <r>
          <rPr>
            <sz val="9"/>
            <rFont val="Tahoma"/>
            <family val="2"/>
          </rPr>
          <t>= Superf. Suelos orgánicos (ha/año) * Rep. de fertilidad (%)</t>
        </r>
      </text>
    </comment>
  </commentList>
</comments>
</file>

<file path=xl/comments16.xml><?xml version="1.0" encoding="utf-8"?>
<comments xmlns="http://schemas.openxmlformats.org/spreadsheetml/2006/main">
  <authors>
    <author>Angelica Busso</author>
  </authors>
  <commentList>
    <comment ref="D7" authorId="0">
      <text>
        <r>
          <rPr>
            <b/>
            <sz val="9"/>
            <rFont val="Tahoma"/>
            <family val="2"/>
          </rPr>
          <t>Nota:</t>
        </r>
        <r>
          <rPr>
            <sz val="9"/>
            <rFont val="Tahoma"/>
            <family val="2"/>
          </rPr>
          <t xml:space="preserve">
Se utiliza Nivel 1 para fines de comparación con los resultados de N2. </t>
        </r>
      </text>
    </comment>
  </commentList>
</comments>
</file>

<file path=xl/comments24.xml><?xml version="1.0" encoding="utf-8"?>
<comments xmlns="http://schemas.openxmlformats.org/spreadsheetml/2006/main">
  <authors>
    <author>Angelica Busso</author>
  </authors>
  <commentList>
    <comment ref="A10" authorId="0">
      <text>
        <r>
          <rPr>
            <sz val="9"/>
            <rFont val="Tahoma"/>
            <family val="2"/>
          </rPr>
          <t>Tier 1 para fines de comparación</t>
        </r>
      </text>
    </comment>
    <comment ref="A11" authorId="0">
      <text>
        <r>
          <rPr>
            <sz val="9"/>
            <rFont val="Tahoma"/>
            <family val="2"/>
          </rPr>
          <t>Tier 1 para fines de comparación</t>
        </r>
      </text>
    </comment>
    <comment ref="E21" authorId="0">
      <text>
        <r>
          <rPr>
            <sz val="9"/>
            <rFont val="Tahoma"/>
            <family val="2"/>
          </rPr>
          <t>Se excluye de la sumatoria vacunos, para no duplicar la cuantificación, los que son cuantificados con Tier 2 en la siguiente hoja</t>
        </r>
      </text>
    </comment>
    <comment ref="E22" authorId="0">
      <text>
        <r>
          <rPr>
            <sz val="9"/>
            <rFont val="Tahoma"/>
            <family val="2"/>
          </rPr>
          <t>Se coloca valor de sumatoria total para fines de comparación con resultados obtenidos para vacunos conTier 2</t>
        </r>
      </text>
    </comment>
  </commentList>
</comments>
</file>

<file path=xl/comments25.xml><?xml version="1.0" encoding="utf-8"?>
<comments xmlns="http://schemas.openxmlformats.org/spreadsheetml/2006/main">
  <authors>
    <author>Angelica Busso</author>
  </authors>
  <commentList>
    <comment ref="E18" authorId="0">
      <text>
        <r>
          <rPr>
            <sz val="9"/>
            <rFont val="Tahoma"/>
            <family val="2"/>
          </rPr>
          <t>FE promedio ponderado</t>
        </r>
      </text>
    </comment>
  </commentList>
</comments>
</file>

<file path=xl/comments26.xml><?xml version="1.0" encoding="utf-8"?>
<comments xmlns="http://schemas.openxmlformats.org/spreadsheetml/2006/main">
  <authors>
    <author>Angelica Busso</author>
  </authors>
  <commentList>
    <comment ref="E43" authorId="0">
      <text>
        <r>
          <rPr>
            <sz val="9"/>
            <rFont val="Tahoma"/>
            <family val="2"/>
          </rPr>
          <t>NE</t>
        </r>
      </text>
    </comment>
  </commentList>
</comments>
</file>

<file path=xl/comments29.xml><?xml version="1.0" encoding="utf-8"?>
<comments xmlns="http://schemas.openxmlformats.org/spreadsheetml/2006/main">
  <authors>
    <author>Angelica Busso</author>
  </authors>
  <commentList>
    <comment ref="B11" authorId="0">
      <text>
        <r>
          <rPr>
            <sz val="9"/>
            <rFont val="Tahoma"/>
            <family val="2"/>
          </rPr>
          <t>No se cuenta con información diferenciada de suelos manejados y arroz inundado, por lo que toda la información se ha colocado en suelos manejados
¿cómo se debe proceder?
¿se debe borrar esta celda?</t>
        </r>
      </text>
    </comment>
    <comment ref="E11" authorId="0">
      <text>
        <r>
          <rPr>
            <sz val="9"/>
            <rFont val="Tahoma"/>
            <family val="2"/>
          </rPr>
          <t>Se modificó, excluyendo cultivos de arroz</t>
        </r>
      </text>
    </comment>
  </commentList>
</comments>
</file>

<file path=xl/sharedStrings.xml><?xml version="1.0" encoding="utf-8"?>
<sst xmlns="http://schemas.openxmlformats.org/spreadsheetml/2006/main" count="4496" uniqueCount="1688">
  <si>
    <t>Sector</t>
  </si>
  <si>
    <t>T</t>
  </si>
  <si>
    <t>Total</t>
  </si>
  <si>
    <t>3A2</t>
  </si>
  <si>
    <t>(kg)</t>
  </si>
  <si>
    <t>(-)</t>
  </si>
  <si>
    <t>S</t>
  </si>
  <si>
    <t>TAM</t>
  </si>
  <si>
    <t>1 of 2</t>
  </si>
  <si>
    <t>(ha)</t>
  </si>
  <si>
    <t>A</t>
  </si>
  <si>
    <t>(a)</t>
  </si>
  <si>
    <t>CO</t>
  </si>
  <si>
    <t>3C1b</t>
  </si>
  <si>
    <t>3C1c</t>
  </si>
  <si>
    <t>Subtotal</t>
  </si>
  <si>
    <t>3C2</t>
  </si>
  <si>
    <t>3C3</t>
  </si>
  <si>
    <t>M</t>
  </si>
  <si>
    <t>EF</t>
  </si>
  <si>
    <t>3C4</t>
  </si>
  <si>
    <t>F</t>
  </si>
  <si>
    <t>CG, Temp</t>
  </si>
  <si>
    <t>CG, Trop</t>
  </si>
  <si>
    <t>F, Temp, NR</t>
  </si>
  <si>
    <t>F, Temp, NP</t>
  </si>
  <si>
    <t>F, Trop</t>
  </si>
  <si>
    <t>CPP</t>
  </si>
  <si>
    <t>SO</t>
  </si>
  <si>
    <t>3C5</t>
  </si>
  <si>
    <t>3C6</t>
  </si>
  <si>
    <t xml:space="preserve">T </t>
  </si>
  <si>
    <t>3C7</t>
  </si>
  <si>
    <t>t</t>
  </si>
  <si>
    <t>Sub-total</t>
  </si>
  <si>
    <t>Región</t>
  </si>
  <si>
    <t>Ave</t>
  </si>
  <si>
    <t>Alpaca</t>
  </si>
  <si>
    <t>Llama</t>
  </si>
  <si>
    <t>Caprino</t>
  </si>
  <si>
    <t>Ovino</t>
  </si>
  <si>
    <t>Porcino</t>
  </si>
  <si>
    <t>Vacuno</t>
  </si>
  <si>
    <t>Amazonas</t>
  </si>
  <si>
    <t>Apurímac</t>
  </si>
  <si>
    <t>Arequipa</t>
  </si>
  <si>
    <t>Ayacucho</t>
  </si>
  <si>
    <t>Cajamarca</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</si>
  <si>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</si>
  <si>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</si>
  <si>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</si>
  <si>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</si>
  <si>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</si>
  <si>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</si>
  <si>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</si>
  <si>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</si>
  <si>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</si>
  <si>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</si>
  <si>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</si>
  <si>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</si>
  <si>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</si>
  <si>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</si>
  <si>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</si>
  <si>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</si>
  <si>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</si>
  <si>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</si>
  <si>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Caballos</t>
  </si>
  <si>
    <t>Asnos/mulas</t>
  </si>
  <si>
    <t>Cuyes</t>
  </si>
  <si>
    <t>TOTAL NACIONAL</t>
  </si>
  <si>
    <t>Departamento</t>
  </si>
  <si>
    <t>Áncash</t>
  </si>
  <si>
    <t>Dato Nacional</t>
  </si>
  <si>
    <t>Fuente</t>
  </si>
  <si>
    <t>Fecha de acceso</t>
  </si>
  <si>
    <t>Comentario</t>
  </si>
  <si>
    <t>t/año</t>
  </si>
  <si>
    <t>kg/año</t>
  </si>
  <si>
    <t>kg/día</t>
  </si>
  <si>
    <t>kg/vaca/día</t>
  </si>
  <si>
    <t>Conversión de unidades</t>
  </si>
  <si>
    <t>Área</t>
  </si>
  <si>
    <t>1 hectárea</t>
  </si>
  <si>
    <t>Masa</t>
  </si>
  <si>
    <t>1 tonelada</t>
  </si>
  <si>
    <t>kg</t>
  </si>
  <si>
    <t>1 kilogramo</t>
  </si>
  <si>
    <t>g</t>
  </si>
  <si>
    <t>Volumen</t>
  </si>
  <si>
    <t>1 centimetro cúbico</t>
  </si>
  <si>
    <t>l</t>
  </si>
  <si>
    <t>Prefijo</t>
  </si>
  <si>
    <t>Simbolo</t>
  </si>
  <si>
    <t xml:space="preserve">Factor </t>
  </si>
  <si>
    <t>deca</t>
  </si>
  <si>
    <t>da</t>
  </si>
  <si>
    <t>hecto</t>
  </si>
  <si>
    <t>h</t>
  </si>
  <si>
    <t>kilo</t>
  </si>
  <si>
    <t>k</t>
  </si>
  <si>
    <t>mega</t>
  </si>
  <si>
    <t>giga</t>
  </si>
  <si>
    <t>G</t>
  </si>
  <si>
    <t>tera</t>
  </si>
  <si>
    <t>Unidad</t>
  </si>
  <si>
    <t>PROPUESTA DE CÁLCULO PARA LA POBLACIÓN DE EQUINOS Y BURROS, BURRAS, MULAS Y CUYES Y LA SUPERFICIE DE PASTOS NATURALES. ORDEN DE SERVICIO N° 2016- 1187. Dirección General de Asuntos Ambientales Agrarios. MINAGRI.</t>
  </si>
  <si>
    <t>Proyeccion calculada en base a datos de los censos de 1994 y 2012.</t>
  </si>
  <si>
    <t>Vacuno Lechero</t>
  </si>
  <si>
    <t>Vacuno No Lechero</t>
  </si>
  <si>
    <t>Asnos/Mulas</t>
  </si>
  <si>
    <t>ºC</t>
  </si>
  <si>
    <t>Región Climática</t>
  </si>
  <si>
    <t>Región Climática (*)</t>
  </si>
  <si>
    <t>Frío
(&lt; 15°C)</t>
  </si>
  <si>
    <t>Frío (&lt; 15°C)</t>
  </si>
  <si>
    <t>Cálido (&gt; 25°C)</t>
  </si>
  <si>
    <t>Templado (15 a 25°C)</t>
  </si>
  <si>
    <t>Tipo de ganado</t>
  </si>
  <si>
    <t>Vacuno lechero</t>
  </si>
  <si>
    <t>Vacuno no lechero</t>
  </si>
  <si>
    <t>Población del ganado según región climática</t>
  </si>
  <si>
    <t>Fría
(˂ 15°C)</t>
  </si>
  <si>
    <t>Templada
(15°C - 25°C)</t>
  </si>
  <si>
    <t>Cálida
(˃25°C)</t>
  </si>
  <si>
    <t>TOTAL</t>
  </si>
  <si>
    <t>Participación de la población del ganado por tipo según región climática</t>
  </si>
  <si>
    <t>Ganado</t>
  </si>
  <si>
    <t>Factor de emisión
(kg CH4/cabeza/año)</t>
  </si>
  <si>
    <t>Templado 
(15 a 25°C)</t>
  </si>
  <si>
    <t>Cálido 
(&gt; 25°C)</t>
  </si>
  <si>
    <t>Conejos</t>
  </si>
  <si>
    <t>Sistema de Manejo de Estiércol 
(SME)</t>
  </si>
  <si>
    <t>Referencia</t>
  </si>
  <si>
    <t>Praderas y pastizales</t>
  </si>
  <si>
    <t>Distribución diaria</t>
  </si>
  <si>
    <t>Almacenaje de sólidos</t>
  </si>
  <si>
    <t>Quema como combustible</t>
  </si>
  <si>
    <t>Parcelas secas</t>
  </si>
  <si>
    <t>Estiércol de aves de corral con cama</t>
  </si>
  <si>
    <t>Estiércol de aves de corral sin cama</t>
  </si>
  <si>
    <t>Factores de emisión de metano por gestión del estiércol por temperatura</t>
  </si>
  <si>
    <t>Factores de emisión de N2O para un sistema de manejo del estiércol</t>
  </si>
  <si>
    <t>Nacional</t>
  </si>
  <si>
    <t>-</t>
  </si>
  <si>
    <t>Níndice(T)</t>
  </si>
  <si>
    <t>Vacuno lechero*</t>
  </si>
  <si>
    <t>Ovino**</t>
  </si>
  <si>
    <t>Caprino**</t>
  </si>
  <si>
    <t>Caballos**</t>
  </si>
  <si>
    <t>Asnos/Mulas**</t>
  </si>
  <si>
    <t>Porcino**</t>
  </si>
  <si>
    <t>Cuyes**</t>
  </si>
  <si>
    <t>Almacenaje de Sólidos</t>
  </si>
  <si>
    <t>Factores de emisión de metano procedente de la fermentación entérica del ganado (kg CH4/cabeza/año)</t>
  </si>
  <si>
    <t>CaCO3</t>
  </si>
  <si>
    <t>CaMg(CO3)2</t>
  </si>
  <si>
    <t>Factores de emisión del encalado</t>
  </si>
  <si>
    <t>Tipo de insumo</t>
  </si>
  <si>
    <t>Caliza - CaMg(CO3)2</t>
  </si>
  <si>
    <t>Importación</t>
  </si>
  <si>
    <t>Urea</t>
  </si>
  <si>
    <t>Factores de emisión del aplicación de urea</t>
  </si>
  <si>
    <t>Tipo de fertilizante</t>
  </si>
  <si>
    <t>Factor de Emisión</t>
  </si>
  <si>
    <t>EF1FR para arrozales inundado</t>
  </si>
  <si>
    <t>EF1 para aportes de N de fertilizantes minerales, abonos orgánicos y residuos agrícolas, y N mineralizado de suelos minerales a causa de pérdida de carbono del suelo</t>
  </si>
  <si>
    <t xml:space="preserve">EF2 CG, Trop para suelos orgánicos tropicales de cultivo y pastizales (kg N2O–N há-1) </t>
  </si>
  <si>
    <t xml:space="preserve">EF2F, Temp, Org, R para suelos forestales templados y boreales ricos en nutrientes orgánicos (kg N2O–N há-1) </t>
  </si>
  <si>
    <t xml:space="preserve">EF2F, Temp, Org, P para suelos forestales templados y boreales pobres en nutrientes orgánicos (kg N2O–N há-1) </t>
  </si>
  <si>
    <t xml:space="preserve">EF2F, Trop para suelos forestales orgánicos tropicales (kg N2O– N há-1) </t>
  </si>
  <si>
    <t xml:space="preserve">EF3PRP, CPP para vacunos (lecheros y no lecheros, y búfalos), aves de corral y porcinos [kg N2O–N (kg N)-1] </t>
  </si>
  <si>
    <t xml:space="preserve">EF3PRP, SO para ovinos y «otros animales» [kg N2O–N (kg N)-1] </t>
  </si>
  <si>
    <t>Tipo de Fertilizantes Nitrogenado</t>
  </si>
  <si>
    <t>Fertilizantes Nitrogenados</t>
  </si>
  <si>
    <t>Fertilizante</t>
  </si>
  <si>
    <t>Tipo de Fertilizante</t>
  </si>
  <si>
    <t>Fosfato diamónico</t>
  </si>
  <si>
    <t>Sulfato amónico</t>
  </si>
  <si>
    <t>Nitrato amónico</t>
  </si>
  <si>
    <t>Contenido de N en Kg en los fertilizantes sintéticos</t>
  </si>
  <si>
    <t xml:space="preserve">FON </t>
  </si>
  <si>
    <t>FAM</t>
  </si>
  <si>
    <t>FSEW</t>
  </si>
  <si>
    <t>FCOMP</t>
  </si>
  <si>
    <t>FOOA</t>
  </si>
  <si>
    <t>Año</t>
  </si>
  <si>
    <t xml:space="preserve">FracALIM = fracción del estiércol gestionado utilizada para alimento </t>
  </si>
  <si>
    <t xml:space="preserve">FracCOMBUST = fracción del estiércol gestionado utilizada para combustible </t>
  </si>
  <si>
    <t xml:space="preserve">FracCNST = fracción del estiércol gestionado utilizada para la construcción </t>
  </si>
  <si>
    <t>NMMS_Avb</t>
  </si>
  <si>
    <t>FracALIM</t>
  </si>
  <si>
    <t>FracCOMBUST</t>
  </si>
  <si>
    <t>FracCNST</t>
  </si>
  <si>
    <t>SME</t>
  </si>
  <si>
    <t>N(T)</t>
  </si>
  <si>
    <t>Nex(T)</t>
  </si>
  <si>
    <t>Cantidad anual de N de estiércol animal aplicada a los suelos</t>
  </si>
  <si>
    <t>Cantidad total anual de fertilizante de N orgánico aplicada a los suelos, excepto el de animales en pastoreo</t>
  </si>
  <si>
    <t>Cantidad anual de N en los residuos agrícolas (aéreos y subterráneos), incluyendo los cultivos fijadores de N y de la renovación de forraje/pastura, devueltos a los suelos</t>
  </si>
  <si>
    <t xml:space="preserve">Cf = factor de combustión (sin dimensión) (véase el Capítulo 2, Cuadro 2.6) </t>
  </si>
  <si>
    <t>RAG (T) = AGDM(T) ● 1000 / Cultivo(T) (calculando AGDM(T) a partir de la información del Cuadro 11.2)</t>
  </si>
  <si>
    <t xml:space="preserve">FracRemoc (T) = fracción de los residuos aéreos del cultivo T que se extraen anualmente, como los destinados a alimentos, camas y construcción, kg N (kg cultivo-N)-1. Se requiere un sondeo a cargo de expertos del país para obtener los datos. Si no se dispone de datos respecto a FracRemoc, se supone que no hay remoción. </t>
  </si>
  <si>
    <t xml:space="preserve">T = tipo de cultivo o forraje </t>
  </si>
  <si>
    <t>Caña para azucar</t>
  </si>
  <si>
    <t>Papa</t>
  </si>
  <si>
    <t>Arroz cáscara</t>
  </si>
  <si>
    <t>Maíz a. duro</t>
  </si>
  <si>
    <t>Yuca</t>
  </si>
  <si>
    <t>Cebolla de cabeza</t>
  </si>
  <si>
    <t>Camote</t>
  </si>
  <si>
    <t>Quinua</t>
  </si>
  <si>
    <t>Alcachofa</t>
  </si>
  <si>
    <t>Algodón</t>
  </si>
  <si>
    <t>Piña</t>
  </si>
  <si>
    <t>Maíz choclo</t>
  </si>
  <si>
    <t>Espárrago</t>
  </si>
  <si>
    <t>Maíz amiláceo</t>
  </si>
  <si>
    <t>Tomate</t>
  </si>
  <si>
    <t>Trigo</t>
  </si>
  <si>
    <t>Cebada grano</t>
  </si>
  <si>
    <t>Palma aceitera</t>
  </si>
  <si>
    <t>Café pergamino</t>
  </si>
  <si>
    <t>Cacao</t>
  </si>
  <si>
    <t>Ancash</t>
  </si>
  <si>
    <t>Alfalfa</t>
  </si>
  <si>
    <t>Arveja gr. Verde</t>
  </si>
  <si>
    <t>Arveja grano seco</t>
  </si>
  <si>
    <t>Frijol grano seco</t>
  </si>
  <si>
    <t>Haba grano seco</t>
  </si>
  <si>
    <t>Pallar grano seco</t>
  </si>
  <si>
    <t>frijol castilla /caupi</t>
  </si>
  <si>
    <t>tarwi</t>
  </si>
  <si>
    <t>Haba grano verde</t>
  </si>
  <si>
    <t>Soya</t>
  </si>
  <si>
    <t>Banana / plátano</t>
  </si>
  <si>
    <t>1. Cultivos no fijadores</t>
  </si>
  <si>
    <t>2. Granos y legumbres fijadores de N</t>
  </si>
  <si>
    <t>3. Raíces y Tubérculos</t>
  </si>
  <si>
    <t>4. Forrajes fijadores de N</t>
  </si>
  <si>
    <t>Superf (T)</t>
  </si>
  <si>
    <t>Superf quemada (T)</t>
  </si>
  <si>
    <t>Cf</t>
  </si>
  <si>
    <t>FracRenov (T)</t>
  </si>
  <si>
    <t>RAG(T)</t>
  </si>
  <si>
    <t>AGDM(T)</t>
  </si>
  <si>
    <t>NAG (T)</t>
  </si>
  <si>
    <t>FracRemoc (T)</t>
  </si>
  <si>
    <t>RBG(T)</t>
  </si>
  <si>
    <t>FCR</t>
  </si>
  <si>
    <t>Total (ha)</t>
  </si>
  <si>
    <t>Sulfato de amonio</t>
  </si>
  <si>
    <t>Nitrato de amonio</t>
  </si>
  <si>
    <t xml:space="preserve">Cultivos    </t>
  </si>
  <si>
    <t xml:space="preserve">Residuos agrícolas
(quema de campo postcosecha) </t>
  </si>
  <si>
    <t>Residuos de trigo</t>
  </si>
  <si>
    <t>Residuos de arroz</t>
  </si>
  <si>
    <t>Residuos de maiz</t>
  </si>
  <si>
    <t>Caña de azúcar</t>
  </si>
  <si>
    <t>Tipo de vegetación</t>
  </si>
  <si>
    <t>Subcategoría</t>
  </si>
  <si>
    <t>Factor de combustión (proporción de la biomasa combustible previa al incendio consumida)</t>
  </si>
  <si>
    <t xml:space="preserve">FracRenov (T) = fracción de la superficie total dedicada al cultivo T que se renueva anualmente. Para países en los que las pasturas se renuevan, en promedio, cada X años, FracRenov = 1/X. Para cultivos anuales, FracRenov = 1 </t>
  </si>
  <si>
    <t>Superficie y producción total de principales cultivos</t>
  </si>
  <si>
    <t>Declive (T)</t>
  </si>
  <si>
    <t>Intercepción (T)</t>
  </si>
  <si>
    <t>Otros cultivos</t>
  </si>
  <si>
    <t>Cultivos</t>
  </si>
  <si>
    <t>Especies</t>
  </si>
  <si>
    <t>NBG(T)</t>
  </si>
  <si>
    <t>RBG-BIO</t>
  </si>
  <si>
    <t>FSOM</t>
  </si>
  <si>
    <t>FOS</t>
  </si>
  <si>
    <t>FPRP</t>
  </si>
  <si>
    <t>Intercepción</t>
  </si>
  <si>
    <t>NAG</t>
  </si>
  <si>
    <t>NBG</t>
  </si>
  <si>
    <t>SECO</t>
  </si>
  <si>
    <t>Superf (T) - ha</t>
  </si>
  <si>
    <t>Años</t>
  </si>
  <si>
    <t>LU = tipo de uso de la tierra y/o sistema de gestión.</t>
  </si>
  <si>
    <t>LU</t>
  </si>
  <si>
    <t>FSOM = cantidad neta anual de N mineralizado en suelos minerales debido a la pérdida de carbono del suelo por cambios en el uso o la gestión de la tierra, Kg N</t>
  </si>
  <si>
    <t>Cantidad neta anual de N mineralizado en suelos minerales debido a la pérdida de carbono del suelo por cambios en el uso o la gestión de la tierra, Kg N</t>
  </si>
  <si>
    <t>Asentamientos</t>
  </si>
  <si>
    <t>Otras Tierras</t>
  </si>
  <si>
    <t>Tierras Forestales que permanecen como Tierras Forestales</t>
  </si>
  <si>
    <t>Tierras de Cultivo que permanecen como Tierras de Cultivo</t>
  </si>
  <si>
    <t>Pastizales que permanecen como pastizales</t>
  </si>
  <si>
    <t>Tierras convertidas a Tierras Forestales</t>
  </si>
  <si>
    <t>Tierras que se convierten a Tierras de Cultivo</t>
  </si>
  <si>
    <t xml:space="preserve">Tierras que se convierten a Pastizales  </t>
  </si>
  <si>
    <t>Cropland and Grassland (CG), Forest (F), Temperate (Temp), Tropical (Trop), Nutrient Rich (NR), and Nutrient Poor (NP)</t>
  </si>
  <si>
    <t>Representación de Fertilidad (%)</t>
  </si>
  <si>
    <t xml:space="preserve">Superf. suelos orgánicos
(ha/año) </t>
  </si>
  <si>
    <t>Tipo de Fertilidad</t>
  </si>
  <si>
    <t>N(T) = cantidad de cabezas de ganado de la especie/categoría T del país (véase el Capítulo 10, Sección 10.2)</t>
  </si>
  <si>
    <t>Cantidad anual de N de la orina y el estiércol depositada en pasturas, prados y praderas por animales en pastoreo</t>
  </si>
  <si>
    <t>MS(T,PRP)</t>
  </si>
  <si>
    <t>MS(T,PRP) = fracción del total de la excreción anual de N de cada especie/categoría de ganado T que se deposita en pasturas, prados y praderas fn (véase el Capítulo 10, Sección 10.5)</t>
  </si>
  <si>
    <t>Participación de superficie cosechada por tipo de sistema de riego</t>
  </si>
  <si>
    <t>ha</t>
  </si>
  <si>
    <t>Tipos de sistemas de riego para el cultivo de arroz</t>
  </si>
  <si>
    <t>Tierras altas</t>
  </si>
  <si>
    <t>Irrigadas</t>
  </si>
  <si>
    <t xml:space="preserve">Inundados permanentemente </t>
  </si>
  <si>
    <t xml:space="preserve">Periodo de drenaje simple </t>
  </si>
  <si>
    <t>Periodo de drenaje multiple</t>
  </si>
  <si>
    <t>Alimentadas a lluvia y aguas profundas</t>
  </si>
  <si>
    <t>Anegadizos</t>
  </si>
  <si>
    <t>Expuesto a la sequía</t>
  </si>
  <si>
    <t>Aguas profundas</t>
  </si>
  <si>
    <t>Factor de emisión por defecto para campos continuamente inundados sin enmiendas orgánicas</t>
  </si>
  <si>
    <t>Region</t>
  </si>
  <si>
    <t>Referencias</t>
  </si>
  <si>
    <t>Sudamerica</t>
  </si>
  <si>
    <t>Régimen de gestión del agua</t>
  </si>
  <si>
    <t>Alimentaion regular por lluvia</t>
  </si>
  <si>
    <t>Con tendencia a la sequia</t>
  </si>
  <si>
    <t xml:space="preserve">Régimen de agua antes del cultivo de arroz </t>
  </si>
  <si>
    <t>Factor de Escala (SFp)</t>
  </si>
  <si>
    <t>Agregado</t>
  </si>
  <si>
    <t>Desagregado</t>
  </si>
  <si>
    <t>Pretemporada no inundada &lt;180 d</t>
  </si>
  <si>
    <t>Pretemporada no inundada&gt; 365 d</t>
  </si>
  <si>
    <t>Factor de conversión para enmiendas orgánicas</t>
  </si>
  <si>
    <t>Enmienda orgánica</t>
  </si>
  <si>
    <t>Factor de conversión
(CFOA)</t>
  </si>
  <si>
    <t xml:space="preserve">Paja incorporada poco antes del cultivo (&lt;30 días) </t>
  </si>
  <si>
    <t>Paja incorporada mucho antes del cultivo (&gt; 30 días)</t>
  </si>
  <si>
    <t>Compost</t>
  </si>
  <si>
    <t>Estiércol de corral</t>
  </si>
  <si>
    <t xml:space="preserve">Estiercol verde </t>
  </si>
  <si>
    <t xml:space="preserve">Tierras altas </t>
  </si>
  <si>
    <t>De regadío</t>
  </si>
  <si>
    <t>Anegados continuamente</t>
  </si>
  <si>
    <t>Anegados intermitentemente</t>
  </si>
  <si>
    <t>Aeración sencilla</t>
  </si>
  <si>
    <t>Aeración múltiple</t>
  </si>
  <si>
    <t>De secano</t>
  </si>
  <si>
    <t>Profundidad del agua 50-100 cm</t>
  </si>
  <si>
    <t>Profundidad del agua &gt; 100 cm</t>
  </si>
  <si>
    <t>Valores por defecto del total de pérdida de nitrógeno producida por la gestión del estiércol</t>
  </si>
  <si>
    <t>Media</t>
  </si>
  <si>
    <t>Masa de combustible disponible para combustión (t/ha)</t>
  </si>
  <si>
    <t>Todos los pastizales de la sabana (quemas tempranas de la estación seca)</t>
  </si>
  <si>
    <t>MB = AGR(T) x FracBrunt(T)</t>
  </si>
  <si>
    <t>Pastos quemados</t>
  </si>
  <si>
    <t>%</t>
  </si>
  <si>
    <t>Área quemada de Cultivos</t>
  </si>
  <si>
    <t>Porcentaje de quema</t>
  </si>
  <si>
    <t>Tierras de Pastizales que permanecen como tales</t>
  </si>
  <si>
    <t>Tierras convertidas a Pastizales</t>
  </si>
  <si>
    <t>Factores de emisión indirecta de N2O de manejo de estiércol</t>
  </si>
  <si>
    <t>Temperatura promedio anual según departamento, 1995 -2016</t>
  </si>
  <si>
    <t>Población Anual de animales vivos por región</t>
  </si>
  <si>
    <t>Población Anual de vacas en ordeño por región</t>
  </si>
  <si>
    <t>Producción de leche cruda de vaca por región</t>
  </si>
  <si>
    <t>Ministerio de Agricultura y Riego. Anuarios Estadísticos de Insumos y Servicios Agropecuarios.</t>
  </si>
  <si>
    <t>R = relación C:N de la materia orgánica del suelo. Puede usarse un valor por defecto de 15 (rango de incertidumbre entre 10 y 30) para la relación C:N (R) para situaciones que impliquen cambios en el uso de la tierra de tierras forestales o pastizales a tierras de cultivo, en ausencia de datos más específicos de la zona. Puede usarse un valor por defecto de 10 (rango entre 8 y 15) para situaciones que impliquen cambios en la gestión en tierras de cultivo que permanecen como tales. La relación C:N puede cambiar a través del tiempo, con los usos de la tierra o las prácticas de gestión. Si los países pueden documentar los cambios en la relación C:N, entonces, pueden utilizarse diferentes valores según la serie temporal, el uso de la tierra y la práctica de gestión.</t>
  </si>
  <si>
    <t>Selva Alta</t>
  </si>
  <si>
    <t>Selva Baja</t>
  </si>
  <si>
    <t>Costa Norte</t>
  </si>
  <si>
    <t>Costa Sur</t>
  </si>
  <si>
    <t>Categoría</t>
  </si>
  <si>
    <t>Vacas Lecheras en Producción</t>
  </si>
  <si>
    <t xml:space="preserve">Vacas adultas para producción de carne </t>
  </si>
  <si>
    <t>Toros y bueyes</t>
  </si>
  <si>
    <t>Machos jovenes en crecimiento</t>
  </si>
  <si>
    <t xml:space="preserve">Clases de interes </t>
  </si>
  <si>
    <t>Vacas adultas lecheras en producción</t>
  </si>
  <si>
    <t>Otros Vacunos</t>
  </si>
  <si>
    <t>MJ d kg</t>
  </si>
  <si>
    <t>Contenido de grasa en la leche</t>
  </si>
  <si>
    <t xml:space="preserve">Prod. Leche (kg/día) </t>
  </si>
  <si>
    <t xml:space="preserve">Ym Energia Bruta convertida en metano </t>
  </si>
  <si>
    <t>Otro ganado vacuno</t>
  </si>
  <si>
    <t>Otro ganado vacuno*</t>
  </si>
  <si>
    <t>NE: NO ESTIMADO POR FALTA DE DATOS DE ACTIVIDAD</t>
  </si>
  <si>
    <t>NE</t>
  </si>
  <si>
    <t>Categorías de fuentes y sumideros</t>
  </si>
  <si>
    <t>NMVOC</t>
  </si>
  <si>
    <t>Agricultura</t>
  </si>
  <si>
    <t>Fermentación entérica</t>
  </si>
  <si>
    <t>Bufalos</t>
  </si>
  <si>
    <t>Llama y alpaca</t>
  </si>
  <si>
    <t>Mulas y asnos</t>
  </si>
  <si>
    <t>Porcinos</t>
  </si>
  <si>
    <t>Aves</t>
  </si>
  <si>
    <t>Otros: cuyes</t>
  </si>
  <si>
    <t>Manejo de estiércol</t>
  </si>
  <si>
    <t>3.A.1.a</t>
  </si>
  <si>
    <t>3.A</t>
  </si>
  <si>
    <t>3.A.1</t>
  </si>
  <si>
    <t xml:space="preserve">Ganado vacuno </t>
  </si>
  <si>
    <t>3.A.1.a.i</t>
  </si>
  <si>
    <t xml:space="preserve">Ganado vacuno lechero </t>
  </si>
  <si>
    <t>3.A.1.a.ii</t>
  </si>
  <si>
    <t>3.A.1.b</t>
  </si>
  <si>
    <t>3.A.1.c</t>
  </si>
  <si>
    <t>3.A.1.d</t>
  </si>
  <si>
    <t>3.A.1.e</t>
  </si>
  <si>
    <t>3.A.1.f</t>
  </si>
  <si>
    <t>3.A.1.g</t>
  </si>
  <si>
    <t>3.A.1.h</t>
  </si>
  <si>
    <t>3.A.1.i</t>
  </si>
  <si>
    <t>3.A.1.j</t>
  </si>
  <si>
    <t>3.A.2</t>
  </si>
  <si>
    <t>3.A.2.a</t>
  </si>
  <si>
    <t>3.A.2.a.i</t>
  </si>
  <si>
    <t>3.A.2.a.ii</t>
  </si>
  <si>
    <t>3.A.2.b</t>
  </si>
  <si>
    <t>3.A.2.c</t>
  </si>
  <si>
    <t>Ganado vacuno</t>
  </si>
  <si>
    <t>3C</t>
  </si>
  <si>
    <t>3.C.1</t>
  </si>
  <si>
    <t xml:space="preserve">Emisiones por quema de biomasa </t>
  </si>
  <si>
    <t>Quema de biomasa en tierras de cultivo</t>
  </si>
  <si>
    <t>3.C.1.b</t>
  </si>
  <si>
    <t>3.C.1.c</t>
  </si>
  <si>
    <t>3.C.2.</t>
  </si>
  <si>
    <t xml:space="preserve">Encalado </t>
  </si>
  <si>
    <t>3.C.3.</t>
  </si>
  <si>
    <t>Aplicación de urea</t>
  </si>
  <si>
    <t>3.C.4.</t>
  </si>
  <si>
    <t>3.C.5.</t>
  </si>
  <si>
    <t>3.C.6.</t>
  </si>
  <si>
    <t>3.C.7.</t>
  </si>
  <si>
    <t>Arroz</t>
  </si>
  <si>
    <t xml:space="preserve">TOTAL </t>
  </si>
  <si>
    <t>(Gg CO)</t>
  </si>
  <si>
    <t>SERIE TEMPORAL ACTUALIZADA</t>
  </si>
  <si>
    <t>Producción anual (T) - t</t>
  </si>
  <si>
    <t>Área quemada</t>
  </si>
  <si>
    <t xml:space="preserve">Quema de biomasa en Pastizales </t>
  </si>
  <si>
    <t>Rendim_Fresco (T) - kg/ha</t>
  </si>
  <si>
    <t>Proporción del área total de cada cultivo donde se quema biomasa</t>
  </si>
  <si>
    <t>Vacas lecheras</t>
  </si>
  <si>
    <t>Otro ganado</t>
  </si>
  <si>
    <t>Especies de Aves</t>
  </si>
  <si>
    <t>Pollos</t>
  </si>
  <si>
    <t>Gallinas</t>
  </si>
  <si>
    <t>Patos</t>
  </si>
  <si>
    <t>Pavos</t>
  </si>
  <si>
    <t>Pavos de granja</t>
  </si>
  <si>
    <t>Días Vivo</t>
  </si>
  <si>
    <t>Pavos de traspatio</t>
  </si>
  <si>
    <t>Correo Electrónico 14 de Agosto del 2020. Dirección Estadística Agraria - MINAGRI.</t>
  </si>
  <si>
    <t>Los factores de emisión de Nivel 1 se pueden clasificar según los sistemas digestivos de la siguiente manera:
• Rumiantes: vacunos, búfalos, ovinos, caprinos, camélidos
• Herbívoros no rumiantes: caballos, mulas/asnos
• Aves de corral: pollos, patos, pavos, gansos
• Monogástricos no avícolas: porcinos
Por ejemplo, se podría estimar un factor aproximado de emisión de metano por fermentación entérica para
alpacas a partir del factor de emisión de los ovinos (también animales rumiantes) de la siguiente manera:
Factor de emisión aproximado = [(peso de la alpaca) / (peso ovino)]^0,75 • factor de emisión de ovinos</t>
  </si>
  <si>
    <t>Observaciones</t>
  </si>
  <si>
    <t>Pendiente</t>
  </si>
  <si>
    <t>Arroz (ha/año)</t>
  </si>
  <si>
    <t>Fertilización (KgN/ha/año)</t>
  </si>
  <si>
    <t>Nitrógeno aplicado (KgN/año)</t>
  </si>
  <si>
    <t>Contenido de N en Kg en los fertilizantes sintéticos de los cultivos de arroz</t>
  </si>
  <si>
    <t>Superficie total anual (ha) de suelos orgánicos drenados/gestionados</t>
  </si>
  <si>
    <t>Suelos Manejados</t>
  </si>
  <si>
    <t>Dice el IPCC: "Respecto a la combustión de biomasa no boscosa en pastizales y tierras de cultivo, no es necesario estimar ni declarar las emisiones de CO2 porque se supone que las absorciones anuales de CO2 (a través del crecimiento) y las emisiones anuales de CO2 (ya sea por descomposición o fuego) por parte de la biomasa están en equilibrio (véase lo analizado precedentemente sobre sincronía en la Sección 2.4)".</t>
  </si>
  <si>
    <t xml:space="preserve">Vaquilla lechera joven de reemplazo </t>
  </si>
  <si>
    <t xml:space="preserve">Vaquilla joven de reemplazo para carne </t>
  </si>
  <si>
    <t>Sistema Internacional - Guide for the Use of the International System of Units (SI) (http://physics.nist.gov/cuu/pdf/sp811.pdf)</t>
  </si>
  <si>
    <t>http://www.metric-conversions.org/es/volumen/tabla-de-conversion-de-centimetros-cubicos-a-litros.htm</t>
  </si>
  <si>
    <t>: no ocurre</t>
  </si>
  <si>
    <t>NO</t>
  </si>
  <si>
    <t>: no aplicable</t>
  </si>
  <si>
    <t>NA</t>
  </si>
  <si>
    <t>C</t>
  </si>
  <si>
    <t>IE</t>
  </si>
  <si>
    <t>: no estimado</t>
  </si>
  <si>
    <t>: factor de emisión del N lixiviado</t>
  </si>
  <si>
    <r>
      <rPr>
        <sz val="10"/>
        <color rgb="FF000000"/>
        <rFont val="Calibri"/>
        <family val="2"/>
      </rPr>
      <t>FE</t>
    </r>
    <r>
      <rPr>
        <vertAlign val="subscript"/>
        <sz val="10"/>
        <color rgb="FF000000"/>
        <rFont val="Calibri"/>
        <family val="2"/>
      </rPr>
      <t>5</t>
    </r>
  </si>
  <si>
    <t>: fracción del nitrógeno del fertilizante o estiércol</t>
  </si>
  <si>
    <r>
      <rPr>
        <sz val="10"/>
        <color rgb="FF000000"/>
        <rFont val="Calibri"/>
        <family val="2"/>
      </rPr>
      <t>Frac</t>
    </r>
    <r>
      <rPr>
        <vertAlign val="subscript"/>
        <sz val="10"/>
        <color rgb="FF000000"/>
        <rFont val="Calibri"/>
        <family val="2"/>
      </rPr>
      <t>LIX</t>
    </r>
  </si>
  <si>
    <t>: factor de emisión del nitrógeno depositado</t>
  </si>
  <si>
    <r>
      <rPr>
        <sz val="10"/>
        <color rgb="FF000000"/>
        <rFont val="Calibri"/>
        <family val="2"/>
      </rPr>
      <t>FE</t>
    </r>
    <r>
      <rPr>
        <vertAlign val="subscript"/>
        <sz val="10"/>
        <color rgb="FF000000"/>
        <rFont val="Calibri"/>
        <family val="2"/>
      </rPr>
      <t>4</t>
    </r>
  </si>
  <si>
    <t>: fracción del total de N del fertilizante sintético que se emite como NH3 + NOx</t>
  </si>
  <si>
    <r>
      <rPr>
        <sz val="10"/>
        <color rgb="FF000000"/>
        <rFont val="Calibri"/>
        <family val="2"/>
      </rPr>
      <t>Frac</t>
    </r>
    <r>
      <rPr>
        <vertAlign val="subscript"/>
        <sz val="10"/>
        <color rgb="FF000000"/>
        <rFont val="Calibri"/>
        <family val="2"/>
      </rPr>
      <t>GASF</t>
    </r>
  </si>
  <si>
    <t>: factor de emisión correspondiente a praderas y pastizales</t>
  </si>
  <si>
    <r>
      <rPr>
        <sz val="10"/>
        <color rgb="FF000000"/>
        <rFont val="Calibri"/>
        <family val="2"/>
      </rPr>
      <t>FE</t>
    </r>
    <r>
      <rPr>
        <vertAlign val="subscript"/>
        <sz val="10"/>
        <color rgb="FF000000"/>
        <rFont val="Calibri"/>
        <family val="2"/>
      </rPr>
      <t>3</t>
    </r>
  </si>
  <si>
    <t>: fracción de los residuos de las cosechas que se retiran del campo</t>
  </si>
  <si>
    <r>
      <rPr>
        <sz val="10"/>
        <color rgb="FF000000"/>
        <rFont val="Calibri"/>
        <family val="2"/>
      </rPr>
      <t>Frac</t>
    </r>
    <r>
      <rPr>
        <vertAlign val="subscript"/>
        <sz val="10"/>
        <color rgb="FF000000"/>
        <rFont val="Calibri"/>
        <family val="2"/>
      </rPr>
      <t>R</t>
    </r>
  </si>
  <si>
    <t>: fracción del nitrógeno en cultivos fijadores del N</t>
  </si>
  <si>
    <r>
      <rPr>
        <sz val="10"/>
        <color rgb="FF000000"/>
        <rFont val="Calibri"/>
        <family val="2"/>
      </rPr>
      <t>Frac</t>
    </r>
    <r>
      <rPr>
        <vertAlign val="subscript"/>
        <sz val="10"/>
        <color rgb="FF000000"/>
        <rFont val="Calibri"/>
        <family val="2"/>
      </rPr>
      <t>NCBRF</t>
    </r>
  </si>
  <si>
    <t>: fracción del nitrógeno en cultivos no fijadores del N</t>
  </si>
  <si>
    <r>
      <rPr>
        <sz val="10"/>
        <color rgb="FF000000"/>
        <rFont val="Calibri"/>
        <family val="2"/>
      </rPr>
      <t>Frac</t>
    </r>
    <r>
      <rPr>
        <vertAlign val="subscript"/>
        <sz val="10"/>
        <color rgb="FF000000"/>
        <rFont val="Calibri"/>
        <family val="2"/>
      </rPr>
      <t>NCR0</t>
    </r>
  </si>
  <si>
    <t>: fracción del total de N excretado que se volatiliza como NH3 y NOx</t>
  </si>
  <si>
    <r>
      <rPr>
        <sz val="10"/>
        <color rgb="FF000000"/>
        <rFont val="Calibri"/>
        <family val="2"/>
      </rPr>
      <t>Frac</t>
    </r>
    <r>
      <rPr>
        <vertAlign val="subscript"/>
        <sz val="10"/>
        <color rgb="FF000000"/>
        <rFont val="Calibri"/>
        <family val="2"/>
      </rPr>
      <t>Gasm</t>
    </r>
  </si>
  <si>
    <t>: factor de emisión correspondiente a las emisiones procedentes del cultivo de suelos orgánicos</t>
  </si>
  <si>
    <r>
      <rPr>
        <sz val="10"/>
        <color rgb="FF000000"/>
        <rFont val="Calibri"/>
        <family val="2"/>
      </rPr>
      <t>FE</t>
    </r>
    <r>
      <rPr>
        <vertAlign val="subscript"/>
        <sz val="10"/>
        <color rgb="FF000000"/>
        <rFont val="Calibri"/>
        <family val="2"/>
      </rPr>
      <t>2</t>
    </r>
  </si>
  <si>
    <t xml:space="preserve">: factor de emisión correspondiente a las emisiones procedentes de aportes de N </t>
  </si>
  <si>
    <r>
      <rPr>
        <sz val="10"/>
        <color rgb="FF000000"/>
        <rFont val="Calibri"/>
        <family val="2"/>
      </rPr>
      <t>FE</t>
    </r>
    <r>
      <rPr>
        <vertAlign val="subscript"/>
        <sz val="10"/>
        <color rgb="FF000000"/>
        <rFont val="Calibri"/>
        <family val="2"/>
      </rPr>
      <t>1</t>
    </r>
  </si>
  <si>
    <t>: Carbono</t>
  </si>
  <si>
    <t>: grados centigrados</t>
  </si>
  <si>
    <t>°C</t>
  </si>
  <si>
    <t xml:space="preserve">: Organización de las Naciones Unidas para la Alimentación y la Agricultura </t>
  </si>
  <si>
    <t>FAO</t>
  </si>
  <si>
    <t>: megajoules</t>
  </si>
  <si>
    <t>MJ</t>
  </si>
  <si>
    <t>: metros cuadrados</t>
  </si>
  <si>
    <r>
      <rPr>
        <sz val="10"/>
        <color rgb="FF000000"/>
        <rFont val="Calibri"/>
        <family val="2"/>
      </rPr>
      <t>m</t>
    </r>
    <r>
      <rPr>
        <vertAlign val="superscript"/>
        <sz val="10"/>
        <color rgb="FF000000"/>
        <rFont val="Calibri"/>
        <family val="2"/>
      </rPr>
      <t>2</t>
    </r>
  </si>
  <si>
    <t>: Nitrógeno</t>
  </si>
  <si>
    <t>N</t>
  </si>
  <si>
    <t>: hectárea</t>
  </si>
  <si>
    <t>: kg</t>
  </si>
  <si>
    <t>: litros</t>
  </si>
  <si>
    <t>: toneladas</t>
  </si>
  <si>
    <t>: Dióxido de carbono equivalente</t>
  </si>
  <si>
    <t>: Oxido Nitroso</t>
  </si>
  <si>
    <r>
      <rPr>
        <sz val="10"/>
        <color rgb="FF000000"/>
        <rFont val="Calibri"/>
        <family val="2"/>
      </rPr>
      <t>N</t>
    </r>
    <r>
      <rPr>
        <vertAlign val="subscript"/>
        <sz val="10"/>
        <color rgb="FF000000"/>
        <rFont val="Calibri"/>
        <family val="2"/>
      </rPr>
      <t>2</t>
    </r>
    <r>
      <rPr>
        <sz val="10"/>
        <color rgb="FF000000"/>
        <rFont val="Calibri"/>
        <family val="2"/>
      </rPr>
      <t>O</t>
    </r>
  </si>
  <si>
    <t>: Metano</t>
  </si>
  <si>
    <r>
      <rPr>
        <sz val="10"/>
        <color rgb="FF000000"/>
        <rFont val="Calibri"/>
        <family val="2"/>
      </rPr>
      <t>CH</t>
    </r>
    <r>
      <rPr>
        <vertAlign val="subscript"/>
        <sz val="10"/>
        <color rgb="FF000000"/>
        <rFont val="Calibri"/>
        <family val="2"/>
      </rPr>
      <t>4</t>
    </r>
  </si>
  <si>
    <t xml:space="preserve">: Dióxido de carbono </t>
  </si>
  <si>
    <r>
      <rPr>
        <sz val="10"/>
        <color rgb="FF000000"/>
        <rFont val="Calibri"/>
        <family val="2"/>
      </rPr>
      <t>CO</t>
    </r>
    <r>
      <rPr>
        <vertAlign val="subscript"/>
        <sz val="10"/>
        <color rgb="FF000000"/>
        <rFont val="Calibri"/>
        <family val="2"/>
      </rPr>
      <t>2</t>
    </r>
  </si>
  <si>
    <t xml:space="preserve">: Reporte Anual de Gases de Efecto Invernadero </t>
  </si>
  <si>
    <t>RAGEI</t>
  </si>
  <si>
    <t>: Inventario Nacional de Gases de Efecto Invernadero</t>
  </si>
  <si>
    <t>INGEI</t>
  </si>
  <si>
    <t>IPCC</t>
  </si>
  <si>
    <t>: Sistema de Manejo de Estiércol</t>
  </si>
  <si>
    <t xml:space="preserve">: Información de Base </t>
  </si>
  <si>
    <t>: Factor de Emisión</t>
  </si>
  <si>
    <t>FE</t>
  </si>
  <si>
    <t>: Gases de Efecto Invernadero</t>
  </si>
  <si>
    <t>GEI</t>
  </si>
  <si>
    <t xml:space="preserve">ABREVIATURAS </t>
  </si>
  <si>
    <t>Las hojas se relacionan como se muestra en el diagrama:</t>
  </si>
  <si>
    <t xml:space="preserve"> </t>
  </si>
  <si>
    <t>Resultados GEI de Agricultura</t>
  </si>
  <si>
    <t xml:space="preserve">Hojas de estimaciones de emisiones GEI </t>
  </si>
  <si>
    <t>Factores de emisión y de conversión</t>
  </si>
  <si>
    <t>Información procesada de nivel de actividad</t>
  </si>
  <si>
    <t>Información base de nivel de actividad</t>
  </si>
  <si>
    <t>Caracterización de datos</t>
  </si>
  <si>
    <t>Descripción</t>
  </si>
  <si>
    <t>Color de hoja</t>
  </si>
  <si>
    <t>Las hojas de cálculo están agrupadas por los siguientes colores:</t>
  </si>
  <si>
    <t xml:space="preserve">ESTRUCTURA DE LA HOJA DE CALCULO </t>
  </si>
  <si>
    <t>Nivel 3: El método mas exigente en términos de complejidad y requerimientos de datos, usualmente implica el uso de modelos y ecuaciones complejas.</t>
  </si>
  <si>
    <t>Nivel 2: Método intermedio de cálculo en términos de esfuerzo y sofisticación, en la mayoría de casos se basa en el uso de niveles de actividad disponible y factores de emisión mas detallados o específicos.</t>
  </si>
  <si>
    <t>Nivel 1: El método mas básico que es aplicado cuando se utiliza niveles de actividad disponibles y factores de emisión por defecto de las guías del IPCC.</t>
  </si>
  <si>
    <t>Para el cálculo de Emisiones GEI:</t>
  </si>
  <si>
    <t xml:space="preserve">Guía Nº 7: Elaboración del Reporte Anual de Gases de Efecto Invernadero - Sector Agricultura. Categorías: Fermentación Entérica, Manejo del Estiércol, Cultivos de Arroz, Suelos Agrícolas, Quema de Sabanas (pastos) y Quema de Residuos Agrícolas </t>
  </si>
  <si>
    <t>METODOLOGÍA DE CALCULO</t>
  </si>
  <si>
    <r>
      <rPr>
        <sz val="10"/>
        <rFont val="Calibri"/>
        <family val="2"/>
      </rPr>
      <t xml:space="preserve">El </t>
    </r>
    <r>
      <rPr>
        <b/>
        <sz val="10"/>
        <color rgb="FF0582FF"/>
        <rFont val="Calibri"/>
        <family val="2"/>
      </rPr>
      <t>Sector Agricultura</t>
    </r>
    <r>
      <rPr>
        <sz val="10"/>
        <rFont val="Calibri"/>
        <family val="2"/>
      </rPr>
      <t xml:space="preserve"> incluye las emisiones de gases de efecto invernadero (GEI) que se generan por el desarrollo de actividades tanto agrícolas como pecuarias. Estas actividades implican transformaciones de carbono y nitrógeno, dirigidas por procesos biológicos (actividad de microorganismos, plantas y animales) y físicos (combustión, lixiviación, etc).   </t>
    </r>
  </si>
  <si>
    <t>ALCANCE</t>
  </si>
  <si>
    <t xml:space="preserve">INSTRUCCIONES </t>
  </si>
  <si>
    <t>SECTOR AGRICULTURA</t>
  </si>
  <si>
    <t>Las cabezas de ganado sirven para que, una vez multiplicados por su respectivo factor de emisión, se determinen las emisiones de GEI por cada tipo de ganado.</t>
  </si>
  <si>
    <t>Hojas relacionada</t>
  </si>
  <si>
    <t>Fuente de información</t>
  </si>
  <si>
    <t>Factor de emisión</t>
  </si>
  <si>
    <t>Comentarios</t>
  </si>
  <si>
    <t>Gases de GEI generados por el nivel de actividad</t>
  </si>
  <si>
    <t>Uso de la información</t>
  </si>
  <si>
    <t>Definición IPCC</t>
  </si>
  <si>
    <t>Clasificación</t>
  </si>
  <si>
    <t>Caracterización de Datos - Sector Agricultura</t>
  </si>
  <si>
    <r>
      <t>m</t>
    </r>
    <r>
      <rPr>
        <vertAlign val="superscript"/>
        <sz val="10"/>
        <rFont val="Calibri"/>
        <family val="2"/>
        <scheme val="minor"/>
      </rPr>
      <t>2</t>
    </r>
  </si>
  <si>
    <r>
      <rPr>
        <i/>
        <sz val="10"/>
        <color theme="1"/>
        <rFont val="Calibri"/>
        <family val="2"/>
        <scheme val="minor"/>
      </rPr>
      <t>C</t>
    </r>
    <r>
      <rPr>
        <sz val="10"/>
        <color theme="1"/>
        <rFont val="Calibri"/>
        <family val="2"/>
        <scheme val="minor"/>
      </rPr>
      <t xml:space="preserve"> Coeficiente valor toro</t>
    </r>
  </si>
  <si>
    <r>
      <rPr>
        <i/>
        <sz val="10"/>
        <color theme="1"/>
        <rFont val="Calibri"/>
        <family val="2"/>
        <scheme val="minor"/>
      </rPr>
      <t>C</t>
    </r>
    <r>
      <rPr>
        <sz val="10"/>
        <color theme="1"/>
        <rFont val="Calibri"/>
        <family val="2"/>
        <scheme val="minor"/>
      </rPr>
      <t xml:space="preserve"> coeficiente valor macho castrado</t>
    </r>
  </si>
  <si>
    <r>
      <rPr>
        <i/>
        <sz val="10"/>
        <color theme="1"/>
        <rFont val="Calibri"/>
        <family val="2"/>
        <scheme val="minor"/>
      </rPr>
      <t>C</t>
    </r>
    <r>
      <rPr>
        <sz val="10"/>
        <color theme="1"/>
        <rFont val="Calibri"/>
        <family val="2"/>
        <scheme val="minor"/>
      </rPr>
      <t xml:space="preserve"> Coeficiente valor hembra</t>
    </r>
  </si>
  <si>
    <r>
      <rPr>
        <i/>
        <sz val="10"/>
        <color theme="1"/>
        <rFont val="Calibri"/>
        <family val="2"/>
        <scheme val="minor"/>
      </rPr>
      <t>Cp</t>
    </r>
    <r>
      <rPr>
        <sz val="10"/>
        <color theme="1"/>
        <rFont val="Calibri"/>
        <family val="2"/>
        <scheme val="minor"/>
      </rPr>
      <t xml:space="preserve"> Coeficiente de preñez</t>
    </r>
  </si>
  <si>
    <r>
      <t>FracLEACH-(H) [N losses by
leaching/runoff in wet climates]
, kg N (kg N additions or deposition by
grazing animals)</t>
    </r>
    <r>
      <rPr>
        <vertAlign val="superscript"/>
        <sz val="10"/>
        <rFont val="Calibri"/>
        <family val="2"/>
        <scheme val="minor"/>
      </rPr>
      <t>-1</t>
    </r>
  </si>
  <si>
    <r>
      <t>Fcator de escala (SF</t>
    </r>
    <r>
      <rPr>
        <b/>
        <vertAlign val="subscript"/>
        <sz val="10"/>
        <rFont val="Calibri"/>
        <family val="2"/>
        <scheme val="minor"/>
      </rPr>
      <t>W</t>
    </r>
    <r>
      <rPr>
        <b/>
        <sz val="10"/>
        <rFont val="Calibri"/>
        <family val="2"/>
        <scheme val="minor"/>
      </rPr>
      <t>)</t>
    </r>
  </si>
  <si>
    <r>
      <t xml:space="preserve">N </t>
    </r>
    <r>
      <rPr>
        <b/>
        <vertAlign val="subscript"/>
        <sz val="10"/>
        <rFont val="Calibri"/>
        <family val="2"/>
        <scheme val="minor"/>
      </rPr>
      <t>(T)</t>
    </r>
  </si>
  <si>
    <r>
      <t>EF</t>
    </r>
    <r>
      <rPr>
        <b/>
        <vertAlign val="subscript"/>
        <sz val="10"/>
        <rFont val="Calibri"/>
        <family val="2"/>
        <scheme val="minor"/>
      </rPr>
      <t>(T)</t>
    </r>
  </si>
  <si>
    <r>
      <t>CH</t>
    </r>
    <r>
      <rPr>
        <b/>
        <vertAlign val="subscript"/>
        <sz val="10"/>
        <rFont val="Calibri"/>
        <family val="2"/>
        <scheme val="minor"/>
      </rPr>
      <t>4</t>
    </r>
    <r>
      <rPr>
        <b/>
        <sz val="10"/>
        <rFont val="Calibri"/>
        <family val="2"/>
        <scheme val="minor"/>
      </rPr>
      <t xml:space="preserve"> </t>
    </r>
    <r>
      <rPr>
        <b/>
        <vertAlign val="subscript"/>
        <sz val="10"/>
        <rFont val="Calibri"/>
        <family val="2"/>
        <scheme val="minor"/>
      </rPr>
      <t>Enteric</t>
    </r>
  </si>
  <si>
    <r>
      <t>CH</t>
    </r>
    <r>
      <rPr>
        <b/>
        <vertAlign val="subscript"/>
        <sz val="10"/>
        <rFont val="Calibri"/>
        <family val="2"/>
        <scheme val="minor"/>
      </rPr>
      <t>4</t>
    </r>
    <r>
      <rPr>
        <b/>
        <sz val="10"/>
        <rFont val="Calibri"/>
        <family val="2"/>
        <scheme val="minor"/>
      </rPr>
      <t xml:space="preserve"> </t>
    </r>
    <r>
      <rPr>
        <b/>
        <vertAlign val="subscript"/>
        <sz val="10"/>
        <rFont val="Calibri"/>
        <family val="2"/>
        <scheme val="minor"/>
      </rPr>
      <t>Manure</t>
    </r>
  </si>
  <si>
    <r>
      <t>[kg N</t>
    </r>
    <r>
      <rPr>
        <vertAlign val="subscript"/>
        <sz val="10"/>
        <rFont val="Calibri"/>
        <family val="2"/>
        <scheme val="minor"/>
      </rPr>
      <t>2</t>
    </r>
    <r>
      <rPr>
        <sz val="10"/>
        <rFont val="Calibri"/>
        <family val="2"/>
        <scheme val="minor"/>
      </rPr>
      <t>O-N</t>
    </r>
  </si>
  <si>
    <r>
      <t>N</t>
    </r>
    <r>
      <rPr>
        <b/>
        <vertAlign val="subscript"/>
        <sz val="10"/>
        <rFont val="Calibri"/>
        <family val="2"/>
        <scheme val="minor"/>
      </rPr>
      <t>(T)</t>
    </r>
  </si>
  <si>
    <r>
      <t>N</t>
    </r>
    <r>
      <rPr>
        <b/>
        <vertAlign val="subscript"/>
        <sz val="10"/>
        <rFont val="Calibri"/>
        <family val="2"/>
        <scheme val="minor"/>
      </rPr>
      <t>rate(T)</t>
    </r>
  </si>
  <si>
    <r>
      <t>Nex</t>
    </r>
    <r>
      <rPr>
        <b/>
        <vertAlign val="subscript"/>
        <sz val="10"/>
        <rFont val="Calibri"/>
        <family val="2"/>
        <scheme val="minor"/>
      </rPr>
      <t>(T)</t>
    </r>
  </si>
  <si>
    <r>
      <t>MS</t>
    </r>
    <r>
      <rPr>
        <b/>
        <vertAlign val="subscript"/>
        <sz val="10"/>
        <rFont val="Calibri"/>
        <family val="2"/>
        <scheme val="minor"/>
      </rPr>
      <t>(T,S)</t>
    </r>
  </si>
  <si>
    <r>
      <t>NE</t>
    </r>
    <r>
      <rPr>
        <b/>
        <vertAlign val="subscript"/>
        <sz val="10"/>
        <rFont val="Calibri"/>
        <family val="2"/>
        <scheme val="minor"/>
      </rPr>
      <t>MMS</t>
    </r>
  </si>
  <si>
    <r>
      <t>EF</t>
    </r>
    <r>
      <rPr>
        <b/>
        <vertAlign val="subscript"/>
        <sz val="10"/>
        <rFont val="Calibri"/>
        <family val="2"/>
        <scheme val="minor"/>
      </rPr>
      <t>3(S)</t>
    </r>
  </si>
  <si>
    <r>
      <t>N</t>
    </r>
    <r>
      <rPr>
        <b/>
        <vertAlign val="subscript"/>
        <sz val="10"/>
        <rFont val="Calibri"/>
        <family val="2"/>
        <scheme val="minor"/>
      </rPr>
      <t>2</t>
    </r>
    <r>
      <rPr>
        <b/>
        <sz val="10"/>
        <rFont val="Calibri"/>
        <family val="2"/>
        <scheme val="minor"/>
      </rPr>
      <t>O</t>
    </r>
    <r>
      <rPr>
        <b/>
        <vertAlign val="subscript"/>
        <sz val="10"/>
        <rFont val="Calibri"/>
        <family val="2"/>
        <scheme val="minor"/>
      </rPr>
      <t xml:space="preserve">D(mm) </t>
    </r>
  </si>
  <si>
    <r>
      <t>(Gg CH</t>
    </r>
    <r>
      <rPr>
        <vertAlign val="subscript"/>
        <sz val="10"/>
        <rFont val="Calibri"/>
        <family val="2"/>
        <scheme val="minor"/>
      </rPr>
      <t>4</t>
    </r>
    <r>
      <rPr>
        <sz val="10"/>
        <rFont val="Calibri"/>
        <family val="2"/>
        <scheme val="minor"/>
      </rPr>
      <t>)</t>
    </r>
  </si>
  <si>
    <r>
      <t>(Gg N</t>
    </r>
    <r>
      <rPr>
        <vertAlign val="subscript"/>
        <sz val="10"/>
        <rFont val="Calibri"/>
        <family val="2"/>
        <scheme val="minor"/>
      </rPr>
      <t>2</t>
    </r>
    <r>
      <rPr>
        <sz val="10"/>
        <rFont val="Calibri"/>
        <family val="2"/>
        <scheme val="minor"/>
      </rPr>
      <t>O)</t>
    </r>
  </si>
  <si>
    <r>
      <t>(Gg NO</t>
    </r>
    <r>
      <rPr>
        <vertAlign val="subscript"/>
        <sz val="10"/>
        <rFont val="Calibri"/>
        <family val="2"/>
        <scheme val="minor"/>
      </rPr>
      <t>x</t>
    </r>
    <r>
      <rPr>
        <sz val="10"/>
        <rFont val="Calibri"/>
        <family val="2"/>
        <scheme val="minor"/>
      </rPr>
      <t>)</t>
    </r>
  </si>
  <si>
    <r>
      <t>A * M</t>
    </r>
    <r>
      <rPr>
        <vertAlign val="subscript"/>
        <sz val="10"/>
        <rFont val="Calibri"/>
        <family val="2"/>
        <scheme val="minor"/>
      </rPr>
      <t>B</t>
    </r>
    <r>
      <rPr>
        <sz val="10"/>
        <rFont val="Calibri"/>
        <family val="2"/>
        <scheme val="minor"/>
      </rPr>
      <t xml:space="preserve"> * C</t>
    </r>
    <r>
      <rPr>
        <vertAlign val="subscript"/>
        <sz val="10"/>
        <rFont val="Calibri"/>
        <family val="2"/>
        <scheme val="minor"/>
      </rPr>
      <t>f</t>
    </r>
    <r>
      <rPr>
        <sz val="10"/>
        <rFont val="Calibri"/>
        <family val="2"/>
        <scheme val="minor"/>
      </rPr>
      <t xml:space="preserve"> * G</t>
    </r>
    <r>
      <rPr>
        <vertAlign val="subscript"/>
        <sz val="10"/>
        <rFont val="Calibri"/>
        <family val="2"/>
        <scheme val="minor"/>
      </rPr>
      <t>ef</t>
    </r>
    <r>
      <rPr>
        <sz val="10"/>
        <rFont val="Calibri"/>
        <family val="2"/>
        <scheme val="minor"/>
      </rPr>
      <t xml:space="preserve"> * 10</t>
    </r>
    <r>
      <rPr>
        <vertAlign val="superscript"/>
        <sz val="10"/>
        <rFont val="Calibri"/>
        <family val="2"/>
        <scheme val="minor"/>
      </rPr>
      <t>-3</t>
    </r>
  </si>
  <si>
    <r>
      <t>M</t>
    </r>
    <r>
      <rPr>
        <b/>
        <vertAlign val="subscript"/>
        <sz val="10"/>
        <rFont val="Calibri"/>
        <family val="2"/>
        <scheme val="minor"/>
      </rPr>
      <t>B</t>
    </r>
  </si>
  <si>
    <r>
      <t>C</t>
    </r>
    <r>
      <rPr>
        <b/>
        <vertAlign val="subscript"/>
        <sz val="10"/>
        <rFont val="Calibri"/>
        <family val="2"/>
        <scheme val="minor"/>
      </rPr>
      <t>f</t>
    </r>
  </si>
  <si>
    <r>
      <t>G</t>
    </r>
    <r>
      <rPr>
        <b/>
        <vertAlign val="subscript"/>
        <sz val="10"/>
        <rFont val="Calibri"/>
        <family val="2"/>
        <scheme val="minor"/>
      </rPr>
      <t>ef</t>
    </r>
  </si>
  <si>
    <r>
      <t>CH</t>
    </r>
    <r>
      <rPr>
        <vertAlign val="subscript"/>
        <sz val="10"/>
        <rFont val="Calibri"/>
        <family val="2"/>
        <scheme val="minor"/>
      </rPr>
      <t>4</t>
    </r>
  </si>
  <si>
    <r>
      <t>N</t>
    </r>
    <r>
      <rPr>
        <vertAlign val="subscript"/>
        <sz val="10"/>
        <rFont val="Calibri"/>
        <family val="2"/>
        <scheme val="minor"/>
      </rPr>
      <t>2</t>
    </r>
    <r>
      <rPr>
        <sz val="10"/>
        <rFont val="Calibri"/>
        <family val="2"/>
        <scheme val="minor"/>
      </rPr>
      <t>O</t>
    </r>
  </si>
  <si>
    <r>
      <t>NO</t>
    </r>
    <r>
      <rPr>
        <vertAlign val="subscript"/>
        <sz val="10"/>
        <rFont val="Calibri"/>
        <family val="2"/>
        <scheme val="minor"/>
      </rPr>
      <t>x</t>
    </r>
  </si>
  <si>
    <r>
      <t>(Gg N</t>
    </r>
    <r>
      <rPr>
        <b/>
        <vertAlign val="subscript"/>
        <sz val="10"/>
        <rFont val="Calibri"/>
        <family val="2"/>
        <scheme val="minor"/>
      </rPr>
      <t>2</t>
    </r>
    <r>
      <rPr>
        <b/>
        <sz val="10"/>
        <rFont val="Calibri"/>
        <family val="2"/>
        <scheme val="minor"/>
      </rPr>
      <t>O)</t>
    </r>
  </si>
  <si>
    <r>
      <t>(Gg CO</t>
    </r>
    <r>
      <rPr>
        <b/>
        <vertAlign val="subscript"/>
        <sz val="10"/>
        <rFont val="Calibri"/>
        <family val="2"/>
        <scheme val="minor"/>
      </rPr>
      <t>2</t>
    </r>
    <r>
      <rPr>
        <sz val="10"/>
        <rFont val="Calibri"/>
        <family val="2"/>
        <scheme val="minor"/>
      </rPr>
      <t>)</t>
    </r>
  </si>
  <si>
    <r>
      <t>EF</t>
    </r>
    <r>
      <rPr>
        <vertAlign val="subscript"/>
        <sz val="10"/>
        <rFont val="Calibri"/>
        <family val="2"/>
        <scheme val="minor"/>
      </rPr>
      <t>1</t>
    </r>
  </si>
  <si>
    <r>
      <t>F</t>
    </r>
    <r>
      <rPr>
        <vertAlign val="subscript"/>
        <sz val="10"/>
        <rFont val="Calibri"/>
        <family val="2"/>
        <scheme val="minor"/>
      </rPr>
      <t>ON</t>
    </r>
    <r>
      <rPr>
        <sz val="10"/>
        <rFont val="Calibri"/>
        <family val="2"/>
        <scheme val="minor"/>
      </rPr>
      <t>: N in animal manure, compost, sewage sludge, other</t>
    </r>
  </si>
  <si>
    <r>
      <t>EF</t>
    </r>
    <r>
      <rPr>
        <vertAlign val="subscript"/>
        <sz val="10"/>
        <rFont val="Calibri"/>
        <family val="2"/>
        <scheme val="minor"/>
      </rPr>
      <t>1FR</t>
    </r>
  </si>
  <si>
    <r>
      <t>(kg N</t>
    </r>
    <r>
      <rPr>
        <vertAlign val="subscript"/>
        <sz val="10"/>
        <rFont val="Calibri"/>
        <family val="2"/>
        <scheme val="minor"/>
      </rPr>
      <t>2</t>
    </r>
    <r>
      <rPr>
        <sz val="10"/>
        <rFont val="Calibri"/>
        <family val="2"/>
        <scheme val="minor"/>
      </rPr>
      <t>O-N</t>
    </r>
  </si>
  <si>
    <r>
      <t>N</t>
    </r>
    <r>
      <rPr>
        <vertAlign val="subscript"/>
        <sz val="10"/>
        <rFont val="Calibri"/>
        <family val="2"/>
        <scheme val="minor"/>
      </rPr>
      <t>2</t>
    </r>
    <r>
      <rPr>
        <sz val="10"/>
        <rFont val="Calibri"/>
        <family val="2"/>
        <scheme val="minor"/>
      </rPr>
      <t>O-N</t>
    </r>
    <r>
      <rPr>
        <vertAlign val="subscript"/>
        <sz val="10"/>
        <rFont val="Calibri"/>
        <family val="2"/>
        <scheme val="minor"/>
      </rPr>
      <t>OS</t>
    </r>
    <r>
      <rPr>
        <sz val="10"/>
        <rFont val="Calibri"/>
        <family val="2"/>
        <scheme val="minor"/>
      </rPr>
      <t xml:space="preserve"> = F</t>
    </r>
    <r>
      <rPr>
        <vertAlign val="subscript"/>
        <sz val="10"/>
        <rFont val="Calibri"/>
        <family val="2"/>
        <scheme val="minor"/>
      </rPr>
      <t>OS</t>
    </r>
    <r>
      <rPr>
        <sz val="10"/>
        <rFont val="Calibri"/>
        <family val="2"/>
        <scheme val="minor"/>
      </rPr>
      <t xml:space="preserve"> * EF</t>
    </r>
    <r>
      <rPr>
        <vertAlign val="subscript"/>
        <sz val="10"/>
        <rFont val="Calibri"/>
        <family val="2"/>
        <scheme val="minor"/>
      </rPr>
      <t>2</t>
    </r>
  </si>
  <si>
    <r>
      <t>N</t>
    </r>
    <r>
      <rPr>
        <vertAlign val="subscript"/>
        <sz val="10"/>
        <rFont val="Calibri"/>
        <family val="2"/>
        <scheme val="minor"/>
      </rPr>
      <t>2</t>
    </r>
    <r>
      <rPr>
        <sz val="10"/>
        <rFont val="Calibri"/>
        <family val="2"/>
        <scheme val="minor"/>
      </rPr>
      <t>O-N</t>
    </r>
    <r>
      <rPr>
        <vertAlign val="subscript"/>
        <sz val="10"/>
        <rFont val="Calibri"/>
        <family val="2"/>
        <scheme val="minor"/>
      </rPr>
      <t>PRP</t>
    </r>
    <r>
      <rPr>
        <sz val="10"/>
        <rFont val="Calibri"/>
        <family val="2"/>
        <scheme val="minor"/>
      </rPr>
      <t xml:space="preserve"> = F</t>
    </r>
    <r>
      <rPr>
        <vertAlign val="subscript"/>
        <sz val="10"/>
        <rFont val="Calibri"/>
        <family val="2"/>
        <scheme val="minor"/>
      </rPr>
      <t>PRP</t>
    </r>
    <r>
      <rPr>
        <sz val="10"/>
        <rFont val="Calibri"/>
        <family val="2"/>
        <scheme val="minor"/>
      </rPr>
      <t xml:space="preserve"> * EF</t>
    </r>
    <r>
      <rPr>
        <vertAlign val="subscript"/>
        <sz val="10"/>
        <rFont val="Calibri"/>
        <family val="2"/>
        <scheme val="minor"/>
      </rPr>
      <t>3PRP</t>
    </r>
  </si>
  <si>
    <r>
      <t>F</t>
    </r>
    <r>
      <rPr>
        <b/>
        <vertAlign val="subscript"/>
        <sz val="10"/>
        <rFont val="Calibri"/>
        <family val="2"/>
        <scheme val="minor"/>
      </rPr>
      <t>OS</t>
    </r>
  </si>
  <si>
    <r>
      <t>EF</t>
    </r>
    <r>
      <rPr>
        <b/>
        <vertAlign val="subscript"/>
        <sz val="10"/>
        <rFont val="Calibri"/>
        <family val="2"/>
        <scheme val="minor"/>
      </rPr>
      <t>2</t>
    </r>
  </si>
  <si>
    <r>
      <t>N</t>
    </r>
    <r>
      <rPr>
        <b/>
        <vertAlign val="subscript"/>
        <sz val="10"/>
        <rFont val="Calibri"/>
        <family val="2"/>
        <scheme val="minor"/>
      </rPr>
      <t>2</t>
    </r>
    <r>
      <rPr>
        <b/>
        <sz val="10"/>
        <rFont val="Calibri"/>
        <family val="2"/>
        <scheme val="minor"/>
      </rPr>
      <t>O-N</t>
    </r>
    <r>
      <rPr>
        <b/>
        <vertAlign val="subscript"/>
        <sz val="10"/>
        <rFont val="Calibri"/>
        <family val="2"/>
        <scheme val="minor"/>
      </rPr>
      <t>OS</t>
    </r>
  </si>
  <si>
    <r>
      <t>F</t>
    </r>
    <r>
      <rPr>
        <b/>
        <vertAlign val="subscript"/>
        <sz val="10"/>
        <rFont val="Calibri"/>
        <family val="2"/>
        <scheme val="minor"/>
      </rPr>
      <t>PRP</t>
    </r>
  </si>
  <si>
    <r>
      <t>EF</t>
    </r>
    <r>
      <rPr>
        <b/>
        <vertAlign val="subscript"/>
        <sz val="10"/>
        <rFont val="Calibri"/>
        <family val="2"/>
        <scheme val="minor"/>
      </rPr>
      <t>3PRP</t>
    </r>
  </si>
  <si>
    <r>
      <t>N</t>
    </r>
    <r>
      <rPr>
        <b/>
        <vertAlign val="subscript"/>
        <sz val="10"/>
        <rFont val="Calibri"/>
        <family val="2"/>
        <scheme val="minor"/>
      </rPr>
      <t>2</t>
    </r>
    <r>
      <rPr>
        <b/>
        <sz val="10"/>
        <rFont val="Calibri"/>
        <family val="2"/>
        <scheme val="minor"/>
      </rPr>
      <t>O-N</t>
    </r>
    <r>
      <rPr>
        <b/>
        <vertAlign val="subscript"/>
        <sz val="10"/>
        <rFont val="Calibri"/>
        <family val="2"/>
        <scheme val="minor"/>
      </rPr>
      <t>PRP</t>
    </r>
  </si>
  <si>
    <r>
      <t>N</t>
    </r>
    <r>
      <rPr>
        <vertAlign val="subscript"/>
        <sz val="10"/>
        <rFont val="Calibri"/>
        <family val="2"/>
        <scheme val="minor"/>
      </rPr>
      <t>2</t>
    </r>
    <r>
      <rPr>
        <sz val="10"/>
        <rFont val="Calibri"/>
        <family val="2"/>
        <scheme val="minor"/>
      </rPr>
      <t>O</t>
    </r>
    <r>
      <rPr>
        <vertAlign val="subscript"/>
        <sz val="10"/>
        <rFont val="Calibri"/>
        <family val="2"/>
        <scheme val="minor"/>
      </rPr>
      <t>(ATD)</t>
    </r>
    <r>
      <rPr>
        <sz val="10"/>
        <rFont val="Calibri"/>
        <family val="2"/>
        <scheme val="minor"/>
      </rPr>
      <t>-N  =  [(F</t>
    </r>
    <r>
      <rPr>
        <vertAlign val="subscript"/>
        <sz val="10"/>
        <rFont val="Calibri"/>
        <family val="2"/>
        <scheme val="minor"/>
      </rPr>
      <t>SN</t>
    </r>
    <r>
      <rPr>
        <sz val="10"/>
        <rFont val="Calibri"/>
        <family val="2"/>
        <scheme val="minor"/>
      </rPr>
      <t xml:space="preserve">  *  Frac</t>
    </r>
    <r>
      <rPr>
        <vertAlign val="subscript"/>
        <sz val="10"/>
        <rFont val="Calibri"/>
        <family val="2"/>
        <scheme val="minor"/>
      </rPr>
      <t>GASF</t>
    </r>
    <r>
      <rPr>
        <sz val="10"/>
        <rFont val="Calibri"/>
        <family val="2"/>
        <scheme val="minor"/>
      </rPr>
      <t xml:space="preserve"> )  +  (F</t>
    </r>
    <r>
      <rPr>
        <vertAlign val="subscript"/>
        <sz val="10"/>
        <rFont val="Calibri"/>
        <family val="2"/>
        <scheme val="minor"/>
      </rPr>
      <t>ON</t>
    </r>
    <r>
      <rPr>
        <sz val="10"/>
        <rFont val="Calibri"/>
        <family val="2"/>
        <scheme val="minor"/>
      </rPr>
      <t xml:space="preserve"> + F</t>
    </r>
    <r>
      <rPr>
        <vertAlign val="subscript"/>
        <sz val="10"/>
        <rFont val="Calibri"/>
        <family val="2"/>
        <scheme val="minor"/>
      </rPr>
      <t>PRP</t>
    </r>
    <r>
      <rPr>
        <sz val="10"/>
        <rFont val="Calibri"/>
        <family val="2"/>
        <scheme val="minor"/>
      </rPr>
      <t>) * Frac</t>
    </r>
    <r>
      <rPr>
        <vertAlign val="subscript"/>
        <sz val="10"/>
        <rFont val="Calibri"/>
        <family val="2"/>
        <scheme val="minor"/>
      </rPr>
      <t>GASM</t>
    </r>
    <r>
      <rPr>
        <sz val="10"/>
        <rFont val="Calibri"/>
        <family val="2"/>
        <scheme val="minor"/>
      </rPr>
      <t>)]  *  EF</t>
    </r>
    <r>
      <rPr>
        <vertAlign val="subscript"/>
        <sz val="10"/>
        <rFont val="Calibri"/>
        <family val="2"/>
        <scheme val="minor"/>
      </rPr>
      <t xml:space="preserve">4 </t>
    </r>
  </si>
  <si>
    <r>
      <t>F</t>
    </r>
    <r>
      <rPr>
        <b/>
        <vertAlign val="subscript"/>
        <sz val="10"/>
        <rFont val="Calibri"/>
        <family val="2"/>
        <scheme val="minor"/>
      </rPr>
      <t>SN</t>
    </r>
  </si>
  <si>
    <r>
      <t>Frac</t>
    </r>
    <r>
      <rPr>
        <b/>
        <vertAlign val="subscript"/>
        <sz val="10"/>
        <rFont val="Calibri"/>
        <family val="2"/>
        <scheme val="minor"/>
      </rPr>
      <t>GASF</t>
    </r>
  </si>
  <si>
    <r>
      <t>F</t>
    </r>
    <r>
      <rPr>
        <b/>
        <vertAlign val="subscript"/>
        <sz val="10"/>
        <rFont val="Calibri"/>
        <family val="2"/>
        <scheme val="minor"/>
      </rPr>
      <t>ON</t>
    </r>
  </si>
  <si>
    <r>
      <t>Frac</t>
    </r>
    <r>
      <rPr>
        <b/>
        <vertAlign val="subscript"/>
        <sz val="10"/>
        <rFont val="Calibri"/>
        <family val="2"/>
        <scheme val="minor"/>
      </rPr>
      <t>GASM</t>
    </r>
  </si>
  <si>
    <r>
      <t>EF</t>
    </r>
    <r>
      <rPr>
        <b/>
        <vertAlign val="subscript"/>
        <sz val="10"/>
        <rFont val="Calibri"/>
        <family val="2"/>
        <scheme val="minor"/>
      </rPr>
      <t>4</t>
    </r>
  </si>
  <si>
    <r>
      <t>N</t>
    </r>
    <r>
      <rPr>
        <b/>
        <vertAlign val="subscript"/>
        <sz val="10"/>
        <rFont val="Calibri"/>
        <family val="2"/>
        <scheme val="minor"/>
      </rPr>
      <t>2</t>
    </r>
    <r>
      <rPr>
        <b/>
        <sz val="10"/>
        <rFont val="Calibri"/>
        <family val="2"/>
        <scheme val="minor"/>
      </rPr>
      <t>O</t>
    </r>
    <r>
      <rPr>
        <b/>
        <vertAlign val="subscript"/>
        <sz val="10"/>
        <rFont val="Calibri"/>
        <family val="2"/>
        <scheme val="minor"/>
      </rPr>
      <t>(ATD)</t>
    </r>
    <r>
      <rPr>
        <b/>
        <sz val="10"/>
        <rFont val="Calibri"/>
        <family val="2"/>
        <scheme val="minor"/>
      </rPr>
      <t>-N</t>
    </r>
  </si>
  <si>
    <r>
      <t>Total Emisiones Indirectas de N</t>
    </r>
    <r>
      <rPr>
        <b/>
        <vertAlign val="subscript"/>
        <sz val="10"/>
        <rFont val="Calibri"/>
        <family val="2"/>
        <scheme val="minor"/>
      </rPr>
      <t>2</t>
    </r>
    <r>
      <rPr>
        <b/>
        <sz val="10"/>
        <rFont val="Calibri"/>
        <family val="2"/>
        <scheme val="minor"/>
      </rPr>
      <t>O</t>
    </r>
  </si>
  <si>
    <r>
      <t>F</t>
    </r>
    <r>
      <rPr>
        <b/>
        <vertAlign val="subscript"/>
        <sz val="10"/>
        <rFont val="Calibri"/>
        <family val="2"/>
        <scheme val="minor"/>
      </rPr>
      <t>CR</t>
    </r>
  </si>
  <si>
    <r>
      <t>F</t>
    </r>
    <r>
      <rPr>
        <b/>
        <vertAlign val="subscript"/>
        <sz val="10"/>
        <rFont val="Calibri"/>
        <family val="2"/>
        <scheme val="minor"/>
      </rPr>
      <t>SOM</t>
    </r>
  </si>
  <si>
    <r>
      <t>EF</t>
    </r>
    <r>
      <rPr>
        <b/>
        <vertAlign val="subscript"/>
        <sz val="10"/>
        <rFont val="Calibri"/>
        <family val="2"/>
        <scheme val="minor"/>
      </rPr>
      <t>5</t>
    </r>
  </si>
  <si>
    <r>
      <t>N</t>
    </r>
    <r>
      <rPr>
        <b/>
        <vertAlign val="subscript"/>
        <sz val="10"/>
        <rFont val="Calibri"/>
        <family val="2"/>
        <scheme val="minor"/>
      </rPr>
      <t>2</t>
    </r>
    <r>
      <rPr>
        <b/>
        <sz val="10"/>
        <rFont val="Calibri"/>
        <family val="2"/>
        <scheme val="minor"/>
      </rPr>
      <t>O</t>
    </r>
    <r>
      <rPr>
        <b/>
        <vertAlign val="subscript"/>
        <sz val="10"/>
        <rFont val="Calibri"/>
        <family val="2"/>
        <scheme val="minor"/>
      </rPr>
      <t>(L)</t>
    </r>
    <r>
      <rPr>
        <b/>
        <sz val="10"/>
        <rFont val="Calibri"/>
        <family val="2"/>
        <scheme val="minor"/>
      </rPr>
      <t>-N</t>
    </r>
  </si>
  <si>
    <r>
      <t>Emisiones directas de N</t>
    </r>
    <r>
      <rPr>
        <b/>
        <vertAlign val="subscript"/>
        <sz val="10"/>
        <color rgb="FF000000"/>
        <rFont val="Calibri"/>
        <family val="2"/>
      </rPr>
      <t>2</t>
    </r>
    <r>
      <rPr>
        <b/>
        <sz val="10"/>
        <color rgb="FF000000"/>
        <rFont val="Calibri"/>
        <family val="2"/>
      </rPr>
      <t>O de suelos gestionados</t>
    </r>
  </si>
  <si>
    <r>
      <t>Emisiones indirectas de N</t>
    </r>
    <r>
      <rPr>
        <b/>
        <vertAlign val="subscript"/>
        <sz val="10"/>
        <color rgb="FF000000"/>
        <rFont val="Calibri"/>
        <family val="2"/>
      </rPr>
      <t>2</t>
    </r>
    <r>
      <rPr>
        <b/>
        <sz val="10"/>
        <color rgb="FF000000"/>
        <rFont val="Calibri"/>
        <family val="2"/>
      </rPr>
      <t>O de suelos gestionados</t>
    </r>
  </si>
  <si>
    <r>
      <t>Emisiones indirectas de N</t>
    </r>
    <r>
      <rPr>
        <b/>
        <vertAlign val="subscript"/>
        <sz val="10"/>
        <color rgb="FF000000"/>
        <rFont val="Calibri"/>
        <family val="2"/>
      </rPr>
      <t>2</t>
    </r>
    <r>
      <rPr>
        <b/>
        <sz val="10"/>
        <color rgb="FF000000"/>
        <rFont val="Calibri"/>
        <family val="2"/>
      </rPr>
      <t>O por manejo del estiércol</t>
    </r>
  </si>
  <si>
    <r>
      <t>Emisiones directas de N</t>
    </r>
    <r>
      <rPr>
        <b/>
        <vertAlign val="subscript"/>
        <sz val="10"/>
        <color rgb="FF000000"/>
        <rFont val="Calibri"/>
        <family val="2"/>
        <scheme val="minor"/>
      </rPr>
      <t>2</t>
    </r>
    <r>
      <rPr>
        <b/>
        <sz val="10"/>
        <color rgb="FF000000"/>
        <rFont val="Calibri"/>
        <family val="2"/>
        <scheme val="minor"/>
      </rPr>
      <t>O de suelos gestionados</t>
    </r>
  </si>
  <si>
    <r>
      <t>Emisiones indirectas de N</t>
    </r>
    <r>
      <rPr>
        <b/>
        <vertAlign val="subscript"/>
        <sz val="10"/>
        <color rgb="FF000000"/>
        <rFont val="Calibri"/>
        <family val="2"/>
        <scheme val="minor"/>
      </rPr>
      <t>2</t>
    </r>
    <r>
      <rPr>
        <b/>
        <sz val="10"/>
        <color rgb="FF000000"/>
        <rFont val="Calibri"/>
        <family val="2"/>
        <scheme val="minor"/>
      </rPr>
      <t>O de suelos gestionados</t>
    </r>
  </si>
  <si>
    <r>
      <t>Emisiones indirectas de N</t>
    </r>
    <r>
      <rPr>
        <b/>
        <vertAlign val="subscript"/>
        <sz val="10"/>
        <color rgb="FF000000"/>
        <rFont val="Calibri"/>
        <family val="2"/>
        <scheme val="minor"/>
      </rPr>
      <t>2</t>
    </r>
    <r>
      <rPr>
        <b/>
        <sz val="10"/>
        <color rgb="FF000000"/>
        <rFont val="Calibri"/>
        <family val="2"/>
        <scheme val="minor"/>
      </rPr>
      <t>O por manejo del estiércol</t>
    </r>
  </si>
  <si>
    <t>Dato de actividad IPCC</t>
  </si>
  <si>
    <t>Emisiones de metano procedentes de los herbívoros. Es una consecuencia del proceso digestivo durante el cual los hidratos de carbono se descomponen por la acción de microorganismos, en moléculas simples que se absorben en el torrente sanguíneo.</t>
  </si>
  <si>
    <r>
      <t xml:space="preserve">El </t>
    </r>
    <r>
      <rPr>
        <b/>
        <sz val="10"/>
        <color rgb="FF0582FF"/>
        <rFont val="Calibri"/>
        <family val="2"/>
      </rPr>
      <t>Sector Agricultura</t>
    </r>
    <r>
      <rPr>
        <sz val="10"/>
        <rFont val="Calibri"/>
        <family val="2"/>
      </rPr>
      <t xml:space="preserve"> comprende principalmente las siguientes actividades: 
- Ganadería que ocasiona emisiones de metano por el proceso digestivo normal del ganado (fermentación entérica).
- Manejo del estiércol que tras su descomposición en condiciones anaeróbicas genera emisiones de metano y emisiones directas e indirectas de óxido nitroso.
- Cultivos y sistemas de riego del arroz que generan metano por las condiciones anaeróbicas en los arrozales anegados.
- Gestión de suelos agrícolas que genera emisiones directas e indirectas por el nitrógeno incorporado a los suelos por fertilizantes, residuos agrícolas, abonos orgánicos, entre otros.  
- Quema de biomasa, que incluye las emisiones que se generan por las prácticas de tierras de cultivos agrícolas y pastizales.
- Agregado de carbonatos a los suelos en tierras agrícolas y bosques gestionados para reducir la acidez del suelo y mejorar el crecimiento de los cultivos en sistemas gestionados, en forma de cal, conduce a emisiones de dióxido de carbono.
- Agregado de urea a los suelos durante la fertilización, que conduce a una pérdida de dióxido de carbono que se fija en el proceso de producción industrial.</t>
    </r>
  </si>
  <si>
    <t>Emisiones de metano y oxido nitroso generadas por la práctica agrícola de quema de residuos agrícolas y pastizales</t>
  </si>
  <si>
    <t>Emisiones de dióxido de carbono del uso de cal en suelos agrícolas</t>
  </si>
  <si>
    <t>Emisiones de urea del uso de cal en suelos agrícolas</t>
  </si>
  <si>
    <t>Emisiones directas de oxido nitroso procedente de los sistemas agrícolas que incluyen: a) emisiones directas de N2O procedentes de los suelos agrícolas y b) emisiones directas de N2O procedentes de los suelos dedicados a la producción animal</t>
  </si>
  <si>
    <t xml:space="preserve">Emisiones indirectas de oxido nitroso procedente del nitrógeno utilizado en la agricultura utilizado en los sistemas agrícolas </t>
  </si>
  <si>
    <t>Emisiones indirectas de oxido nitroso producido durante el almacenamiento y tratamiento del estiercol antes de su deposito en los campos.</t>
  </si>
  <si>
    <t>Emisiones de metano  generadas por la descomposición del estiércol en condiciones anaeróbicas. También se incluyen emisiones directas de oxido nitroso producido durante el almacenamiento y tratamiento del estiercol antes de su deposito en los campos.</t>
  </si>
  <si>
    <t>Emisiones de metano generadas por la descomposición de la materia orgánica en arrozales anegados.</t>
  </si>
  <si>
    <t>Población media anual de animales vivos</t>
  </si>
  <si>
    <t>Población media anual de ganado vacuno lechero y otro ganado vacuno</t>
  </si>
  <si>
    <t>Producción media anual de leche cruda de vaca</t>
  </si>
  <si>
    <t>Temperatura promedio anual</t>
  </si>
  <si>
    <r>
      <t>CH</t>
    </r>
    <r>
      <rPr>
        <vertAlign val="subscript"/>
        <sz val="10"/>
        <color rgb="FF000000"/>
        <rFont val="Calibri"/>
        <family val="2"/>
      </rPr>
      <t>4</t>
    </r>
  </si>
  <si>
    <r>
      <t>CH</t>
    </r>
    <r>
      <rPr>
        <vertAlign val="subscript"/>
        <sz val="10"/>
        <color rgb="FF000000"/>
        <rFont val="Calibri"/>
        <family val="2"/>
      </rPr>
      <t>4</t>
    </r>
    <r>
      <rPr>
        <sz val="10"/>
        <color rgb="FF000000"/>
        <rFont val="Calibri"/>
        <family val="2"/>
      </rPr>
      <t xml:space="preserve"> y N</t>
    </r>
    <r>
      <rPr>
        <vertAlign val="subscript"/>
        <sz val="10"/>
        <color rgb="FF000000"/>
        <rFont val="Calibri"/>
        <family val="2"/>
      </rPr>
      <t>2</t>
    </r>
    <r>
      <rPr>
        <sz val="10"/>
        <color rgb="FF000000"/>
        <rFont val="Calibri"/>
        <family val="2"/>
      </rPr>
      <t>O</t>
    </r>
  </si>
  <si>
    <t>Estadisticas agrarias anuales generadas por el Ministerio de Agricultura y Riego. 
Los datos de población de animales vivos por región, se usa para los cálculos de las emisiones de GEI provenientes de la fermentación entérica y el manejo del estiércol.
En el Perú y a través del MINAGRI no se genera periódicamente información nacional de estos tipos de ganado: caballos, mulas, asnos y cuyes. Se ha tomado como referencia un estudio de estimación de la población en base a una proyección lineal de la población reportada en los censos agropecuarios disponibles.</t>
  </si>
  <si>
    <t>3A1_3A2_3C6 INFO BASE
3A1_3A2_3C6 INFO PROCESADA</t>
  </si>
  <si>
    <t>Factores de emisión de metano procedente de la fermentación entérica del ganado no vacuno</t>
  </si>
  <si>
    <t>Producción Anual de principales cultivos por región (toneladas)</t>
  </si>
  <si>
    <t>Área quemada anual de pastizales</t>
  </si>
  <si>
    <t>Área quemada anual de cultivos</t>
  </si>
  <si>
    <t>toneladas</t>
  </si>
  <si>
    <t>hectáreas</t>
  </si>
  <si>
    <t>cabezas</t>
  </si>
  <si>
    <t>El área quemada se calcula con el porcentaje de quema y la superficie anual</t>
  </si>
  <si>
    <t xml:space="preserve">Amazonía </t>
  </si>
  <si>
    <t xml:space="preserve">Sierra </t>
  </si>
  <si>
    <t xml:space="preserve">Costa </t>
  </si>
  <si>
    <t xml:space="preserve">Patizales que siguen siendo pastizales </t>
  </si>
  <si>
    <t>Tierras convertidas en pastizales</t>
  </si>
  <si>
    <t>Pastizales TOTAL</t>
  </si>
  <si>
    <r>
      <t>CO</t>
    </r>
    <r>
      <rPr>
        <vertAlign val="subscript"/>
        <sz val="10"/>
        <color rgb="FF000000"/>
        <rFont val="Calibri"/>
        <family val="2"/>
      </rPr>
      <t>2</t>
    </r>
  </si>
  <si>
    <t>3C1 INFO BASE
3C1 INFO PROC</t>
  </si>
  <si>
    <t>Proyección realizada por MINAM, para estimar superficies de permanencia y conversión del uso, para todas las categorías de uso de la tierra, en base a datos espaciales.</t>
  </si>
  <si>
    <t>Superficies de permanencia y conversión del uso de pastizales</t>
  </si>
  <si>
    <t>Superficies de permanencia y conversión del uso de pastizales (hectáreas)</t>
  </si>
  <si>
    <r>
      <t>Factores de emisión de para CH4, CO, N</t>
    </r>
    <r>
      <rPr>
        <vertAlign val="subscript"/>
        <sz val="10"/>
        <color rgb="FF000000"/>
        <rFont val="Calibri"/>
        <family val="2"/>
      </rPr>
      <t>2</t>
    </r>
    <r>
      <rPr>
        <sz val="10"/>
        <color rgb="FF000000"/>
        <rFont val="Calibri"/>
        <family val="2"/>
      </rPr>
      <t>O y NO</t>
    </r>
    <r>
      <rPr>
        <vertAlign val="subscript"/>
        <sz val="10"/>
        <color rgb="FF000000"/>
        <rFont val="Calibri"/>
        <family val="2"/>
      </rPr>
      <t>X</t>
    </r>
    <r>
      <rPr>
        <sz val="10"/>
        <color rgb="FF000000"/>
        <rFont val="Calibri"/>
        <family val="2"/>
      </rPr>
      <t xml:space="preserve">
residuos de agricultura y sabana y pastizales</t>
    </r>
  </si>
  <si>
    <r>
      <t>CH</t>
    </r>
    <r>
      <rPr>
        <vertAlign val="subscript"/>
        <sz val="10"/>
        <color rgb="FF000000"/>
        <rFont val="Calibri"/>
        <family val="2"/>
      </rPr>
      <t>4</t>
    </r>
    <r>
      <rPr>
        <sz val="10"/>
        <color rgb="FF000000"/>
        <rFont val="Calibri"/>
        <family val="2"/>
      </rPr>
      <t xml:space="preserve">
CO
N</t>
    </r>
    <r>
      <rPr>
        <vertAlign val="subscript"/>
        <sz val="10"/>
        <color rgb="FF000000"/>
        <rFont val="Calibri"/>
        <family val="2"/>
      </rPr>
      <t>2</t>
    </r>
    <r>
      <rPr>
        <sz val="10"/>
        <color rgb="FF000000"/>
        <rFont val="Calibri"/>
        <family val="2"/>
      </rPr>
      <t>O
NO</t>
    </r>
    <r>
      <rPr>
        <vertAlign val="subscript"/>
        <sz val="10"/>
        <color rgb="FF000000"/>
        <rFont val="Calibri"/>
        <family val="2"/>
      </rPr>
      <t>X</t>
    </r>
  </si>
  <si>
    <r>
      <t>Consumo Anual de Dolomita (CaMg(CO</t>
    </r>
    <r>
      <rPr>
        <vertAlign val="subscript"/>
        <sz val="10"/>
        <color rgb="FF000000"/>
        <rFont val="Calibri"/>
        <family val="2"/>
      </rPr>
      <t>3</t>
    </r>
    <r>
      <rPr>
        <sz val="10"/>
        <color rgb="FF000000"/>
        <rFont val="Calibri"/>
        <family val="2"/>
      </rPr>
      <t>)</t>
    </r>
    <r>
      <rPr>
        <vertAlign val="subscript"/>
        <sz val="10"/>
        <color rgb="FF000000"/>
        <rFont val="Calibri"/>
        <family val="2"/>
      </rPr>
      <t>2</t>
    </r>
    <r>
      <rPr>
        <sz val="10"/>
        <color rgb="FF000000"/>
        <rFont val="Calibri"/>
        <family val="2"/>
      </rPr>
      <t>)</t>
    </r>
  </si>
  <si>
    <r>
      <t>Consumo Anual de Caliza (CaCO</t>
    </r>
    <r>
      <rPr>
        <vertAlign val="subscript"/>
        <sz val="10"/>
        <color rgb="FF000000"/>
        <rFont val="Calibri"/>
        <family val="2"/>
      </rPr>
      <t>3</t>
    </r>
    <r>
      <rPr>
        <sz val="10"/>
        <color rgb="FF000000"/>
        <rFont val="Calibri"/>
        <family val="2"/>
      </rPr>
      <t>)</t>
    </r>
  </si>
  <si>
    <t>Factores de emisión del encalado según tipo de insumo</t>
  </si>
  <si>
    <t>El consumo se multiplica por su respectivo factor de emisión, para determinar las emisiones de GEI por cada tipo de insumo</t>
  </si>
  <si>
    <t>Volumen Anual de Importaciones de Urea</t>
  </si>
  <si>
    <t>Cantidad anual de fertilización de úrea</t>
  </si>
  <si>
    <t>La cantidad se multiplica por su respectivo factor de emisión, para determinar las emisiones de GEI</t>
  </si>
  <si>
    <t>3C2 INFO BASE
3C2 INFO PROC</t>
  </si>
  <si>
    <t>3C3 INFO BASE
3C3 INFO PROC</t>
  </si>
  <si>
    <t>Factores de emisión de aplicación de úrea</t>
  </si>
  <si>
    <t>3C4_3C5 INFO BASE
3C4_3C5 INFO PROC</t>
  </si>
  <si>
    <t>3C7 INFO BASE
3C7 INFO PROCESADA</t>
  </si>
  <si>
    <r>
      <t>Factores de emisión directa de N</t>
    </r>
    <r>
      <rPr>
        <vertAlign val="subscript"/>
        <sz val="10"/>
        <color rgb="FF000000"/>
        <rFont val="Calibri"/>
        <family val="2"/>
      </rPr>
      <t>2</t>
    </r>
    <r>
      <rPr>
        <sz val="10"/>
        <color rgb="FF000000"/>
        <rFont val="Calibri"/>
        <family val="2"/>
      </rPr>
      <t>O de suelos manejados</t>
    </r>
  </si>
  <si>
    <r>
      <t>Factores de emisión indirecta de N</t>
    </r>
    <r>
      <rPr>
        <vertAlign val="subscript"/>
        <sz val="10"/>
        <color rgb="FF000000"/>
        <rFont val="Calibri"/>
        <family val="2"/>
      </rPr>
      <t>2</t>
    </r>
    <r>
      <rPr>
        <sz val="10"/>
        <color rgb="FF000000"/>
        <rFont val="Calibri"/>
        <family val="2"/>
      </rPr>
      <t>O de suelos manejados</t>
    </r>
  </si>
  <si>
    <r>
      <t>Factores de emisión indirecta de N</t>
    </r>
    <r>
      <rPr>
        <vertAlign val="subscript"/>
        <sz val="10"/>
        <color rgb="FF000000"/>
        <rFont val="Calibri"/>
        <family val="2"/>
      </rPr>
      <t>2</t>
    </r>
    <r>
      <rPr>
        <sz val="10"/>
        <color rgb="FF000000"/>
        <rFont val="Calibri"/>
        <family val="2"/>
      </rPr>
      <t>O de manejo de estiércol</t>
    </r>
  </si>
  <si>
    <r>
      <t>NO</t>
    </r>
    <r>
      <rPr>
        <vertAlign val="subscript"/>
        <sz val="10"/>
        <rFont val="Calibri"/>
        <family val="2"/>
        <scheme val="minor"/>
      </rPr>
      <t>X</t>
    </r>
  </si>
  <si>
    <r>
      <t>Factores de emisión de N</t>
    </r>
    <r>
      <rPr>
        <b/>
        <vertAlign val="subscript"/>
        <sz val="10"/>
        <rFont val="Calibri"/>
        <family val="2"/>
        <scheme val="minor"/>
      </rPr>
      <t>2</t>
    </r>
    <r>
      <rPr>
        <b/>
        <sz val="10"/>
        <rFont val="Calibri"/>
        <family val="2"/>
        <scheme val="minor"/>
      </rPr>
      <t>O para un sistema de manejo del estiércol</t>
    </r>
  </si>
  <si>
    <r>
      <t>N</t>
    </r>
    <r>
      <rPr>
        <vertAlign val="subscript"/>
        <sz val="10"/>
        <color rgb="FF000000"/>
        <rFont val="Calibri"/>
        <family val="2"/>
      </rPr>
      <t>2</t>
    </r>
    <r>
      <rPr>
        <sz val="10"/>
        <color rgb="FF000000"/>
        <rFont val="Calibri"/>
        <family val="2"/>
      </rPr>
      <t>O</t>
    </r>
  </si>
  <si>
    <t>Se determina a que región climática corresponde cada región (templado, frio o cálido). La región climática puede variar a través de los años.</t>
  </si>
  <si>
    <t>Fertilizantes sintéticos aplicados anualmente</t>
  </si>
  <si>
    <t>Total de superficie anual de cosecha del cultivo T</t>
  </si>
  <si>
    <t>Total de producción anual de cosecha del cultivo T</t>
  </si>
  <si>
    <t>Se utiliza para determinar el contenido de N en los fertilizantes</t>
  </si>
  <si>
    <t>Se utiliza para determinar de N de residuos agrícolas</t>
  </si>
  <si>
    <t>Se utiliza para determinar la cantidad anual de N de estiércol animal aplicada a los suelos y la cantidad anual de N de la orina y el estiércol depositada en pasturas,prados y praderas por animales en pastoreo</t>
  </si>
  <si>
    <t>Para este insumo solo se maneja información de importación, no se conocen valores de producción</t>
  </si>
  <si>
    <t>Volumen Anual de Importaciones de Principales Fertilizantes Nitrogenados</t>
  </si>
  <si>
    <t>Se desagrega para el reporte independiente de de las emisiones producidas por arroz inundado</t>
  </si>
  <si>
    <t>Vacunos machos</t>
  </si>
  <si>
    <t>Vacunos hembras</t>
  </si>
  <si>
    <t>FOS = superficie total anual (ha) de suelos orgánicos drenados/gestionados, ha</t>
  </si>
  <si>
    <t>Se utiliza para determinar la superficie total anual de suelos orgánicos / drenados gestionados</t>
  </si>
  <si>
    <t>Superficie de suelos orgánicos</t>
  </si>
  <si>
    <t>Esta información no se encuentra disponible</t>
  </si>
  <si>
    <t>Superficie cosechada anual por región</t>
  </si>
  <si>
    <t>Superficie cosechada anual</t>
  </si>
  <si>
    <t>Junto con el periodo de cultivo, se utiliza para determinar las emisiones de GEI de los cultivos de arroz</t>
  </si>
  <si>
    <t>A fin de obtener resultados más cercanos a la realidad, para el levantamiento de información se consideraron 4 regiones: selva alta, selva baja, costa norte y costa sur.</t>
  </si>
  <si>
    <t>Relación de esta hoja, con otras:</t>
  </si>
  <si>
    <t>% del Peso Vivo</t>
  </si>
  <si>
    <t>Masa Animal Típica (Kg/animal) o Peso Vivo</t>
  </si>
  <si>
    <t>Factor de escala para compensar las diferencias del régimen hídrico durante el período de cultivo de arroz</t>
  </si>
  <si>
    <t>Factor de escala para contar diferencias en el régimen hídrico en la pretemporada antes del período de cultivo de arroz</t>
  </si>
  <si>
    <t>FSN
Nitrógeno aplicado (KgN/año)</t>
  </si>
  <si>
    <t>Se utiliza para determinar el factor de emisión de metano a utilizar, de acuerdo a la temperatura</t>
  </si>
  <si>
    <t>Sistemas de Manejo de Estiércol del ganado</t>
  </si>
  <si>
    <t>Sistemas de Manejo de Estiércol del ganado por especie</t>
  </si>
  <si>
    <t>Se caracteriza por especie de ganado</t>
  </si>
  <si>
    <t>Pérdida promedio anual de carbono del suelo para cada tipo de uso de la tierra</t>
  </si>
  <si>
    <t>Pérdida promedio anual de carbono del suelo por tipo de uso de la tierra</t>
  </si>
  <si>
    <t>Se utilizan para el cálculo de la cantidad neta anual de N mineralizado en suelos minerales debido a la pérdida de carbono del suelo por cambios de uso de tierras</t>
  </si>
  <si>
    <t>1/R</t>
  </si>
  <si>
    <t>Contenido de N en Kg en los fertilizantes sintéticos de otros distintos a cultivos de arroz</t>
  </si>
  <si>
    <t>Cuando MB (masa de combustible disponible para combustión) y Cf (factor de combustión) no están disponibles, se toma un valor por defecto de la cantidad de combustible realmente quemado (MB * Cf) de la Table2.4. En este cado, MB toma el valor de la tabla, y Cf debe ser 1.</t>
  </si>
  <si>
    <t>Superficie Anual de principales cultivos por región</t>
  </si>
  <si>
    <t>∆CMinerales, LU = pérdida promedio anual de carbono del suelo para cada tipo de uso de la tierra (LU), ton C (Nota: para el Nivel 1, el ∆Cminerales, LU tendrá un único valor para todos los usos de la tierra y sistemas de gestión. Empleando el Nivel 2, el valor de ∆CMinerales, LU se desagregará para los distintos usos de la tierra y/o sistemas de gestión.</t>
  </si>
  <si>
    <t>Pérdida promedio anual de carbono del suelo para cada tipo de uso de la tierra (LU)</t>
  </si>
  <si>
    <t>Cantidad (t)</t>
  </si>
  <si>
    <t>Dictamen de Expertos 2020. MINAGRI</t>
  </si>
  <si>
    <t>Pretemporada no inundada &gt; 180 d</t>
  </si>
  <si>
    <t>Pretemporada inundada &gt; 30 d</t>
  </si>
  <si>
    <t>Dictamen de Expertos 2020. MINAGRI.</t>
  </si>
  <si>
    <t>Alpaca*</t>
  </si>
  <si>
    <t>Llama*</t>
  </si>
  <si>
    <t>Ave*</t>
  </si>
  <si>
    <t>Distribución diaria (%)</t>
  </si>
  <si>
    <t>Almacenaje de sólidos (%)</t>
  </si>
  <si>
    <t>Parcelas secas (%)</t>
  </si>
  <si>
    <t>Estiércol de aves de corral con cama (%)</t>
  </si>
  <si>
    <t>Estiércol de aves de corral sin cama (%)</t>
  </si>
  <si>
    <t>Masa de combustible disponible para combustión</t>
  </si>
  <si>
    <t>Superficie Anual de cultivos que se queman</t>
  </si>
  <si>
    <r>
      <t>Annual direct N</t>
    </r>
    <r>
      <rPr>
        <b/>
        <vertAlign val="subscript"/>
        <sz val="10"/>
        <rFont val="Calibri"/>
        <family val="2"/>
        <scheme val="minor"/>
      </rPr>
      <t>2</t>
    </r>
    <r>
      <rPr>
        <b/>
        <sz val="10"/>
        <rFont val="Calibri"/>
        <family val="2"/>
        <scheme val="minor"/>
      </rPr>
      <t xml:space="preserve">O emissions </t>
    </r>
  </si>
  <si>
    <t>Superficie (ha)</t>
  </si>
  <si>
    <t xml:space="preserve">Algodón </t>
  </si>
  <si>
    <t xml:space="preserve">Las GL2006 solo dan valores por defecto de masa de combustible disponible para combustión para caña de azúcar, arroz, maíz y trigo. Para otros cultivos se calcula con la siguiente fórmula: MB = AGR(T) x FracBrunt(T)
AGR (T) = cantidad total anual de residuos de cultivos aéreos para el cultivo T, kg d.m. año-1.
FrcBrunt (T) = fracción del área cosechada anual del cultivo T quemada, adimensional
</t>
  </si>
  <si>
    <t>Superficie Anual de cultivos (hectáreas)</t>
  </si>
  <si>
    <t>Producción Anual de cultivos (toneladas)</t>
  </si>
  <si>
    <t xml:space="preserve">Ternero/a previo al destete </t>
  </si>
  <si>
    <t>Ternero/a previo al destete</t>
  </si>
  <si>
    <t>Porcentaje de residuos que quedan en el campo</t>
  </si>
  <si>
    <t>Producción (t)</t>
  </si>
  <si>
    <t>Cultivo</t>
  </si>
  <si>
    <t>Caña para azúcar</t>
  </si>
  <si>
    <t>Porcentaje de residuos que se quedan en el campo</t>
  </si>
  <si>
    <t>FAO - Manual de usuario. Residuos agrícolas y residuos ganaderos
http://www.fao.org/3/a-bp843s.pdf</t>
  </si>
  <si>
    <t>Cultivo (T)</t>
  </si>
  <si>
    <t>Masa de combustible disponible para combustión - t/ha</t>
  </si>
  <si>
    <t>Potencial de calentamiento global  (GWP)</t>
  </si>
  <si>
    <t>adimensional</t>
  </si>
  <si>
    <r>
      <t>Potencial de calentamiento global - GWP  (horizonte 100 años) para N</t>
    </r>
    <r>
      <rPr>
        <b/>
        <vertAlign val="subscript"/>
        <sz val="10"/>
        <rFont val="Calibri"/>
        <family val="2"/>
        <scheme val="minor"/>
      </rPr>
      <t>2</t>
    </r>
    <r>
      <rPr>
        <b/>
        <sz val="10"/>
        <rFont val="Calibri"/>
        <family val="2"/>
        <scheme val="minor"/>
      </rPr>
      <t>O</t>
    </r>
  </si>
  <si>
    <r>
      <t>Potencial de calentamiento global - GWP  (horizonte 100 años) para CH</t>
    </r>
    <r>
      <rPr>
        <b/>
        <vertAlign val="subscript"/>
        <sz val="10"/>
        <rFont val="Calibri"/>
        <family val="2"/>
        <scheme val="minor"/>
      </rPr>
      <t>4</t>
    </r>
  </si>
  <si>
    <t>Porcentaje de quema (%)</t>
  </si>
  <si>
    <t>Área quemada de Pasturas</t>
  </si>
  <si>
    <t>Pasturas</t>
  </si>
  <si>
    <r>
      <t>CaCO</t>
    </r>
    <r>
      <rPr>
        <vertAlign val="subscript"/>
        <sz val="10"/>
        <rFont val="Calibri"/>
        <family val="2"/>
        <scheme val="minor"/>
      </rPr>
      <t>3</t>
    </r>
  </si>
  <si>
    <r>
      <t>CaMg(CO</t>
    </r>
    <r>
      <rPr>
        <vertAlign val="subscript"/>
        <sz val="10"/>
        <rFont val="Calibri"/>
        <family val="2"/>
        <scheme val="minor"/>
      </rPr>
      <t>3</t>
    </r>
    <r>
      <rPr>
        <sz val="10"/>
        <rFont val="Calibri"/>
        <family val="2"/>
        <scheme val="minor"/>
      </rPr>
      <t>)2</t>
    </r>
  </si>
  <si>
    <t xml:space="preserve">Población de ganado vacuno por subcategoría </t>
  </si>
  <si>
    <t>Representatividad de la población de ganado vacuno por subcategoría sector, edad, género</t>
  </si>
  <si>
    <t>Dato de Actividad para caracterización mejorada (Nivel 2).
Se multiplica por la población de vacunos y se obtienen las cabezas de ganado vacuno para cada subcategoría
Las cabezas de ganado sirven para que, una vez multiplicados por su respectivo factor de emisión, se determinen las emisiones de GEI por cada tipo de ganado.</t>
  </si>
  <si>
    <t>FACTORES DE CONVERSIÓN</t>
  </si>
  <si>
    <t>Factores de emisión de metano procedente de la fermentación entérica del ganado vacuno - Nivel 2</t>
  </si>
  <si>
    <t>Población media de vacunos por subcategoría sector, edad, género
Ingesta de Energía Bruta
Energía Bruta convertida en metano</t>
  </si>
  <si>
    <t>Ingesta de Energía Bruta</t>
  </si>
  <si>
    <t>Peso Vivo Medio de Vacunos por categoría sector, edad, género</t>
  </si>
  <si>
    <t>Kg</t>
  </si>
  <si>
    <t>Dato de Actividad para caracterización mejorada (Nivel 2).
Con las ecuaciones 10.3, 10.4, 10.6, 10.8, 10.11, 10.13, 10.14, 10.15, 10.16 para obtener la Energía Bruta y la Ingesta de alimento. Posteriormente se podrán obtener los factores de emisión específicos por subcategoría.</t>
  </si>
  <si>
    <t>Representatividad del Peso a la Madurez del Sistema Óseo en relación al Peso Vivo por género</t>
  </si>
  <si>
    <t>Ganancia de peso de vacunos por sector por categoría sector, edad, género</t>
  </si>
  <si>
    <t>Digestibilidad de vacunos por categoría sector, edad, género</t>
  </si>
  <si>
    <t>Producción diaria de leche por sector</t>
  </si>
  <si>
    <t>Kg/día</t>
  </si>
  <si>
    <t>Dictamen de Expertos 2020. MINAGRI
Serie de Estadísticas de Producción Ganadera y Avícola (SEPGA) - MINAGRI</t>
  </si>
  <si>
    <t>Porcentaje de grasa en la leche por sector</t>
  </si>
  <si>
    <t>Dictamen de Expertos 2020. MINAGRI
Correo Electrónico 14 de Agosto del 2020. Dirección Estadística Agraria - MINAGRI.</t>
  </si>
  <si>
    <t>Porcentaje de preñez por sector</t>
  </si>
  <si>
    <t>Dictamen de Expertos 2020. MINAGRI
Dictamen de Expertos RAGEI 2016. MINAGRI</t>
  </si>
  <si>
    <r>
      <t>Se utiliza para determinar el nitrógeno total excretado por cada sistema de manejo de estiércol y el factor de emisión de N</t>
    </r>
    <r>
      <rPr>
        <vertAlign val="subscript"/>
        <sz val="10"/>
        <color rgb="FF000000"/>
        <rFont val="Calibri"/>
        <family val="2"/>
      </rPr>
      <t>2</t>
    </r>
    <r>
      <rPr>
        <sz val="10"/>
        <color rgb="FF000000"/>
        <rFont val="Calibri"/>
        <family val="2"/>
      </rPr>
      <t>O a utilizar, de acuerdo al sistema de manejo de estiércol</t>
    </r>
  </si>
  <si>
    <r>
      <t>Producción Anual de cultivos que se queman sin valor por defecto de Masa de combustible disponible para combustión (M</t>
    </r>
    <r>
      <rPr>
        <vertAlign val="subscript"/>
        <sz val="10"/>
        <color rgb="FF000000"/>
        <rFont val="Calibri"/>
        <family val="2"/>
      </rPr>
      <t>B</t>
    </r>
    <r>
      <rPr>
        <sz val="10"/>
        <color rgb="FF000000"/>
        <rFont val="Calibri"/>
        <family val="2"/>
      </rPr>
      <t>)</t>
    </r>
  </si>
  <si>
    <t>MINAM - Superficies de permanencia y conversión del uso de pastizales (hectáreas) a partir de la matriz de uso y cambio de uso de la tierra
Mapas de Cambio de Uso del Suelo. Programa Nacional de Conservación de Bosques para la Mitigación del Cambio Climático (PNCBMCC)
Información satelital de la European Spatial Agency</t>
  </si>
  <si>
    <t>MINAM - Pérdida promedio anual de carbono del suelo para cada tipo de uso de la tierra (LU) a partir de la matriz de uso y cambio de uso de la tierra
Mapas de Cambio de Uso del Suelo. Programa Nacional de Conservación de Bosques para la Mitigación del Cambio Climático (PNCBMCC)
Información satelital de la European Spatial Agency</t>
  </si>
  <si>
    <t>Se utiliza para determinar cantidad de nitrógeno de estiércol gestionado disponible para su aplicación en suelos gestionados por sistema de manejo de estiércol</t>
  </si>
  <si>
    <t>Se utiliza para determinar el nitrógeno total excretado por cada sistema de manejo de estiércol</t>
  </si>
  <si>
    <t xml:space="preserve">Benito, J. 2009. Manejo Integral Del cultivo de café. MINISTERIO DE AGRICULTURA, INSTITUTO NACIONAL DE INNOVACIÓN AGRARIA -INIA. Lima, Perú. Serie Folleto N° 5 -09. </t>
  </si>
  <si>
    <t xml:space="preserve">Benito, J. 2009. Manejo Integral Del cultivo de cacao. MINISTERIO DE AGRICULTURA, INSTITUTO NACIONAL DE INNOVACIÓN AGRARIA -INIA. Lima, Perú. Serie Folleto N° 4 -09. </t>
  </si>
  <si>
    <t>* Dictamen de Expertos 2020. MINAGRI
** Dictamen de Expertos RAGEI 2016 - GL1996. MINAGRI</t>
  </si>
  <si>
    <t xml:space="preserve">Distribución diaria </t>
  </si>
  <si>
    <t xml:space="preserve">Fuente </t>
  </si>
  <si>
    <t>Representatividad del Peso a la Madurez del Sistema Óseo</t>
  </si>
  <si>
    <t>3A1</t>
  </si>
  <si>
    <t>Emisiones indirectas de N2O</t>
  </si>
  <si>
    <t>(Gg N2O)</t>
  </si>
  <si>
    <t xml:space="preserve">Categoría </t>
  </si>
  <si>
    <t>Emisiones de Metano por Fermentación Entérica y Manejo de Estiércol</t>
  </si>
  <si>
    <t>Código de categoría</t>
  </si>
  <si>
    <t>3A1 y 3A2</t>
  </si>
  <si>
    <t>Hoja</t>
  </si>
  <si>
    <t>1 de 1</t>
  </si>
  <si>
    <t>Ecuación</t>
  </si>
  <si>
    <t>Ecuación 10.19</t>
  </si>
  <si>
    <t>Ecuación 10.22</t>
  </si>
  <si>
    <t>Especies/Categorías de ganado</t>
  </si>
  <si>
    <t xml:space="preserve">Número de animales </t>
  </si>
  <si>
    <t>Factor de emisión por Fermentación Entérica</t>
  </si>
  <si>
    <t>Factor de emisión por Manejo del Estiércol</t>
  </si>
  <si>
    <t>(cabezas)</t>
  </si>
  <si>
    <t>Tablas 10.10 y 10.11</t>
  </si>
  <si>
    <r>
      <t>CH</t>
    </r>
    <r>
      <rPr>
        <vertAlign val="subscript"/>
        <sz val="10"/>
        <rFont val="Calibri"/>
        <family val="2"/>
        <scheme val="minor"/>
      </rPr>
      <t>4 Enterica</t>
    </r>
    <r>
      <rPr>
        <sz val="10"/>
        <rFont val="Calibri"/>
        <family val="2"/>
        <scheme val="minor"/>
      </rPr>
      <t xml:space="preserve"> = N</t>
    </r>
    <r>
      <rPr>
        <vertAlign val="subscript"/>
        <sz val="10"/>
        <rFont val="Calibri"/>
        <family val="2"/>
        <scheme val="minor"/>
      </rPr>
      <t>(T)</t>
    </r>
    <r>
      <rPr>
        <sz val="10"/>
        <rFont val="Calibri"/>
        <family val="2"/>
        <scheme val="minor"/>
      </rPr>
      <t xml:space="preserve"> * EF</t>
    </r>
    <r>
      <rPr>
        <vertAlign val="subscript"/>
        <sz val="10"/>
        <rFont val="Calibri"/>
        <family val="2"/>
        <scheme val="minor"/>
      </rPr>
      <t>(T)</t>
    </r>
    <r>
      <rPr>
        <sz val="10"/>
        <rFont val="Calibri"/>
        <family val="2"/>
        <scheme val="minor"/>
      </rPr>
      <t xml:space="preserve"> * 10</t>
    </r>
    <r>
      <rPr>
        <vertAlign val="superscript"/>
        <sz val="10"/>
        <rFont val="Calibri"/>
        <family val="2"/>
        <scheme val="minor"/>
      </rPr>
      <t>-6</t>
    </r>
  </si>
  <si>
    <t>Tablas 10.14 - 10.16</t>
  </si>
  <si>
    <r>
      <t>1</t>
    </r>
    <r>
      <rPr>
        <sz val="10"/>
        <rFont val="Calibri"/>
        <family val="2"/>
        <scheme val="minor"/>
      </rPr>
      <t xml:space="preserve"> Especifique las categorías de ganado según sea necesario utilizando líneas adicionales (por ejemplo, llamas, alpacas, renos, conejos, animales con pieles, etc.)</t>
    </r>
  </si>
  <si>
    <r>
      <t>Manejo del Estiércol: Emisiones Directas de N</t>
    </r>
    <r>
      <rPr>
        <b/>
        <vertAlign val="subscript"/>
        <sz val="10"/>
        <rFont val="Calibri"/>
        <family val="2"/>
        <scheme val="minor"/>
      </rPr>
      <t>2</t>
    </r>
    <r>
      <rPr>
        <b/>
        <sz val="10"/>
        <rFont val="Calibri"/>
        <family val="2"/>
        <scheme val="minor"/>
      </rPr>
      <t>O Emissions por Sistemas de Manejo del Estiércol</t>
    </r>
  </si>
  <si>
    <t>Ecuación 10.25</t>
  </si>
  <si>
    <t>Ecuación 10.30</t>
  </si>
  <si>
    <t>Especies/ Categorías de ganado</t>
  </si>
  <si>
    <t>Tasa de excreción de N por defecto</t>
  </si>
  <si>
    <t>Masa Animal Típica por categoría de ganado</t>
  </si>
  <si>
    <t>Fracción de la excreción total anual de nitrogeno en MMS por cada especie/categoría de ganado</t>
  </si>
  <si>
    <r>
      <t>(kg N año</t>
    </r>
    <r>
      <rPr>
        <vertAlign val="superscript"/>
        <sz val="10"/>
        <rFont val="Calibri"/>
        <family val="2"/>
        <scheme val="minor"/>
      </rPr>
      <t>-1</t>
    </r>
    <r>
      <rPr>
        <sz val="10"/>
        <rFont val="Calibri"/>
        <family val="2"/>
        <scheme val="minor"/>
      </rPr>
      <t>)</t>
    </r>
  </si>
  <si>
    <r>
      <t>año</t>
    </r>
    <r>
      <rPr>
        <vertAlign val="superscript"/>
        <sz val="10"/>
        <rFont val="Calibri"/>
        <family val="2"/>
        <scheme val="minor"/>
      </rPr>
      <t>-1</t>
    </r>
    <r>
      <rPr>
        <sz val="10"/>
        <rFont val="Calibri"/>
        <family val="2"/>
        <scheme val="minor"/>
      </rPr>
      <t>)</t>
    </r>
  </si>
  <si>
    <t>Tabla 10.19</t>
  </si>
  <si>
    <t>Tablas 10A-4 a 10A-9</t>
  </si>
  <si>
    <t>Tablas A4-A8</t>
  </si>
  <si>
    <t>Tabla 10.21</t>
  </si>
  <si>
    <r>
      <t xml:space="preserve">1 </t>
    </r>
    <r>
      <rPr>
        <sz val="10"/>
        <rFont val="Calibri"/>
        <family val="2"/>
        <scheme val="minor"/>
      </rPr>
      <t>Los cálculos deben ser realizados por el Sistema de Manejo de Estiércol, y para cada sistema de manejo, se debe seleccionar la(s) categoría(s) de especie / ganado relevante. Para los sistemas de manejo de estiércol, consulte la Tabla 10.18.</t>
    </r>
  </si>
  <si>
    <r>
      <t>2</t>
    </r>
    <r>
      <rPr>
        <sz val="10"/>
        <rFont val="Calibri"/>
        <family val="2"/>
        <scheme val="minor"/>
      </rPr>
      <t xml:space="preserve"> Especifique las categorías de ganado según sea necesario utilizando líneas adicionales (por ejemplo, llamas, alpacas, renos, conejos, animales con pieles, etc.)</t>
    </r>
  </si>
  <si>
    <r>
      <t>3</t>
    </r>
    <r>
      <rPr>
        <sz val="10"/>
        <rFont val="Calibri"/>
        <family val="2"/>
        <scheme val="minor"/>
      </rPr>
      <t xml:space="preserve"> Se prefiere que los valores específicos del país se ingresen directamente en esta columna. Si no están disponibles, utilice los valores predeterminados de Nrate (T) y TAM para calcular esta variable.</t>
    </r>
  </si>
  <si>
    <r>
      <t>4</t>
    </r>
    <r>
      <rPr>
        <sz val="10"/>
        <rFont val="Calibri"/>
        <family val="2"/>
        <scheme val="minor"/>
      </rPr>
      <t xml:space="preserve"> Este valor se ingresará en la hoja de trabajo en Emisiones indirectas de N</t>
    </r>
    <r>
      <rPr>
        <vertAlign val="subscript"/>
        <sz val="10"/>
        <rFont val="Calibri"/>
        <family val="2"/>
        <scheme val="minor"/>
      </rPr>
      <t>2</t>
    </r>
    <r>
      <rPr>
        <sz val="10"/>
        <rFont val="Calibri"/>
        <family val="2"/>
        <scheme val="minor"/>
      </rPr>
      <t>O de la gestión del estiércol (ver categoría 3C6).</t>
    </r>
  </si>
  <si>
    <t>Emisiones por Quema de Biomasa en Tierras de Cultivos (Tierras de Cultivos que permanecen como Tierras de Cultivos)</t>
  </si>
  <si>
    <t>1 de 2</t>
  </si>
  <si>
    <t xml:space="preserve">Ecuación </t>
  </si>
  <si>
    <t>Ecuación 2.2</t>
  </si>
  <si>
    <t>Ecuación 2.27</t>
  </si>
  <si>
    <t>Categoría de uso de la tierra</t>
  </si>
  <si>
    <r>
      <t>Subcategorias para el año de notificación</t>
    </r>
    <r>
      <rPr>
        <vertAlign val="superscript"/>
        <sz val="10"/>
        <rFont val="Calibri"/>
        <family val="2"/>
        <scheme val="minor"/>
      </rPr>
      <t>1</t>
    </r>
  </si>
  <si>
    <t>Superficie  quemada</t>
  </si>
  <si>
    <r>
      <t>Masa de combustible disponible para combustión</t>
    </r>
    <r>
      <rPr>
        <vertAlign val="superscript"/>
        <sz val="10"/>
        <rFont val="Calibri"/>
        <family val="2"/>
        <scheme val="minor"/>
      </rPr>
      <t>2</t>
    </r>
  </si>
  <si>
    <r>
      <t>Factor de Combustión</t>
    </r>
    <r>
      <rPr>
        <vertAlign val="superscript"/>
        <sz val="10"/>
        <rFont val="Calibri"/>
        <family val="2"/>
        <scheme val="minor"/>
      </rPr>
      <t>3</t>
    </r>
  </si>
  <si>
    <t>Factor de Emisión para cada GEI</t>
  </si>
  <si>
    <r>
      <t>Emisiones de CH</t>
    </r>
    <r>
      <rPr>
        <vertAlign val="subscript"/>
        <sz val="10"/>
        <rFont val="Calibri"/>
        <family val="2"/>
        <scheme val="minor"/>
      </rPr>
      <t>4</t>
    </r>
    <r>
      <rPr>
        <sz val="10"/>
        <rFont val="Calibri"/>
        <family val="2"/>
        <scheme val="minor"/>
      </rPr>
      <t xml:space="preserve"> por fuego</t>
    </r>
  </si>
  <si>
    <t>Emisiones de CO por fuego</t>
  </si>
  <si>
    <r>
      <t>Emisiones de N</t>
    </r>
    <r>
      <rPr>
        <vertAlign val="subscript"/>
        <sz val="10"/>
        <rFont val="Calibri"/>
        <family val="2"/>
        <scheme val="minor"/>
      </rPr>
      <t>2</t>
    </r>
    <r>
      <rPr>
        <sz val="10"/>
        <rFont val="Calibri"/>
        <family val="2"/>
        <scheme val="minor"/>
      </rPr>
      <t>O por fuego</t>
    </r>
  </si>
  <si>
    <r>
      <t>Emisiones de NO</t>
    </r>
    <r>
      <rPr>
        <vertAlign val="subscript"/>
        <sz val="10"/>
        <rFont val="Calibri"/>
        <family val="2"/>
        <scheme val="minor"/>
      </rPr>
      <t>x</t>
    </r>
    <r>
      <rPr>
        <sz val="10"/>
        <rFont val="Calibri"/>
        <family val="2"/>
        <scheme val="minor"/>
      </rPr>
      <t xml:space="preserve"> por fuego</t>
    </r>
  </si>
  <si>
    <t>Emisiones de CH4 por fuego</t>
  </si>
  <si>
    <t>Emisiones de N2O por fuego</t>
  </si>
  <si>
    <t>Emisiones de NOx por fuego</t>
  </si>
  <si>
    <t xml:space="preserve">Uso de la tierra inicial </t>
  </si>
  <si>
    <t>Uso de la Tierra durante el año de reporte</t>
  </si>
  <si>
    <r>
      <t>(toneladas ha</t>
    </r>
    <r>
      <rPr>
        <vertAlign val="superscript"/>
        <sz val="10"/>
        <rFont val="Calibri"/>
        <family val="2"/>
        <scheme val="minor"/>
      </rPr>
      <t>-1</t>
    </r>
    <r>
      <rPr>
        <sz val="10"/>
        <rFont val="Calibri"/>
        <family val="2"/>
        <scheme val="minor"/>
      </rPr>
      <t>)</t>
    </r>
  </si>
  <si>
    <t>[g GEI</t>
  </si>
  <si>
    <r>
      <t>(toneladas CH</t>
    </r>
    <r>
      <rPr>
        <vertAlign val="subscript"/>
        <sz val="10"/>
        <rFont val="Calibri"/>
        <family val="2"/>
        <scheme val="minor"/>
      </rPr>
      <t>4</t>
    </r>
    <r>
      <rPr>
        <sz val="10"/>
        <rFont val="Calibri"/>
        <family val="2"/>
        <scheme val="minor"/>
      </rPr>
      <t>)</t>
    </r>
  </si>
  <si>
    <t>(toneladas CO)</t>
  </si>
  <si>
    <r>
      <t>(toneladas N</t>
    </r>
    <r>
      <rPr>
        <vertAlign val="subscript"/>
        <sz val="10"/>
        <rFont val="Calibri"/>
        <family val="2"/>
        <scheme val="minor"/>
      </rPr>
      <t>2</t>
    </r>
    <r>
      <rPr>
        <sz val="10"/>
        <rFont val="Calibri"/>
        <family val="2"/>
        <scheme val="minor"/>
      </rPr>
      <t>O)</t>
    </r>
  </si>
  <si>
    <t>(toneladas NOx)</t>
  </si>
  <si>
    <r>
      <t>(kg ms quemada)</t>
    </r>
    <r>
      <rPr>
        <vertAlign val="superscript"/>
        <sz val="10"/>
        <rFont val="Calibri"/>
        <family val="2"/>
        <scheme val="minor"/>
      </rPr>
      <t>-1</t>
    </r>
    <r>
      <rPr>
        <sz val="10"/>
        <rFont val="Calibri"/>
        <family val="2"/>
        <scheme val="minor"/>
      </rPr>
      <t>]</t>
    </r>
  </si>
  <si>
    <t> (Tabla 2.4)</t>
  </si>
  <si>
    <t>Tabla 2.6</t>
  </si>
  <si>
    <t>Tabla 2.5</t>
  </si>
  <si>
    <r>
      <t>L</t>
    </r>
    <r>
      <rPr>
        <vertAlign val="subscript"/>
        <sz val="10"/>
        <rFont val="Calibri"/>
        <family val="2"/>
        <scheme val="minor"/>
      </rPr>
      <t>fuego</t>
    </r>
    <r>
      <rPr>
        <sz val="10"/>
        <rFont val="Calibri"/>
        <family val="2"/>
        <scheme val="minor"/>
      </rPr>
      <t>-CH</t>
    </r>
    <r>
      <rPr>
        <vertAlign val="subscript"/>
        <sz val="10"/>
        <rFont val="Calibri"/>
        <family val="2"/>
        <scheme val="minor"/>
      </rPr>
      <t>4</t>
    </r>
    <r>
      <rPr>
        <sz val="10"/>
        <rFont val="Calibri"/>
        <family val="2"/>
        <scheme val="minor"/>
      </rPr>
      <t xml:space="preserve"> =</t>
    </r>
  </si>
  <si>
    <r>
      <t>L</t>
    </r>
    <r>
      <rPr>
        <vertAlign val="subscript"/>
        <sz val="10"/>
        <rFont val="Calibri"/>
        <family val="2"/>
        <scheme val="minor"/>
      </rPr>
      <t>fuego</t>
    </r>
    <r>
      <rPr>
        <sz val="10"/>
        <rFont val="Calibri"/>
        <family val="2"/>
        <scheme val="minor"/>
      </rPr>
      <t>-CO =</t>
    </r>
  </si>
  <si>
    <r>
      <t>L</t>
    </r>
    <r>
      <rPr>
        <vertAlign val="subscript"/>
        <sz val="10"/>
        <rFont val="Calibri"/>
        <family val="2"/>
        <scheme val="minor"/>
      </rPr>
      <t>fuego</t>
    </r>
    <r>
      <rPr>
        <sz val="10"/>
        <rFont val="Calibri"/>
        <family val="2"/>
        <scheme val="minor"/>
      </rPr>
      <t>-N</t>
    </r>
    <r>
      <rPr>
        <vertAlign val="subscript"/>
        <sz val="10"/>
        <rFont val="Calibri"/>
        <family val="2"/>
        <scheme val="minor"/>
      </rPr>
      <t>2</t>
    </r>
    <r>
      <rPr>
        <sz val="10"/>
        <rFont val="Calibri"/>
        <family val="2"/>
        <scheme val="minor"/>
      </rPr>
      <t>O =</t>
    </r>
  </si>
  <si>
    <r>
      <t>L</t>
    </r>
    <r>
      <rPr>
        <vertAlign val="subscript"/>
        <sz val="10"/>
        <rFont val="Calibri"/>
        <family val="2"/>
        <scheme val="minor"/>
      </rPr>
      <t>fuego</t>
    </r>
    <r>
      <rPr>
        <sz val="10"/>
        <rFont val="Calibri"/>
        <family val="2"/>
        <scheme val="minor"/>
      </rPr>
      <t>-NO</t>
    </r>
    <r>
      <rPr>
        <vertAlign val="subscript"/>
        <sz val="10"/>
        <rFont val="Calibri"/>
        <family val="2"/>
        <scheme val="minor"/>
      </rPr>
      <t>x</t>
    </r>
    <r>
      <rPr>
        <sz val="10"/>
        <rFont val="Calibri"/>
        <family val="2"/>
        <scheme val="minor"/>
      </rPr>
      <t xml:space="preserve"> =</t>
    </r>
  </si>
  <si>
    <r>
      <t>L</t>
    </r>
    <r>
      <rPr>
        <b/>
        <vertAlign val="subscript"/>
        <sz val="10"/>
        <rFont val="Calibri"/>
        <family val="2"/>
        <scheme val="minor"/>
      </rPr>
      <t>fuego</t>
    </r>
    <r>
      <rPr>
        <b/>
        <sz val="10"/>
        <rFont val="Calibri"/>
        <family val="2"/>
        <scheme val="minor"/>
      </rPr>
      <t>-CH</t>
    </r>
    <r>
      <rPr>
        <b/>
        <vertAlign val="subscript"/>
        <sz val="10"/>
        <rFont val="Calibri"/>
        <family val="2"/>
        <scheme val="minor"/>
      </rPr>
      <t>4</t>
    </r>
  </si>
  <si>
    <r>
      <t>L</t>
    </r>
    <r>
      <rPr>
        <b/>
        <vertAlign val="subscript"/>
        <sz val="10"/>
        <rFont val="Calibri"/>
        <family val="2"/>
        <scheme val="minor"/>
      </rPr>
      <t>fuego</t>
    </r>
    <r>
      <rPr>
        <b/>
        <sz val="10"/>
        <rFont val="Calibri"/>
        <family val="2"/>
        <scheme val="minor"/>
      </rPr>
      <t>-CO</t>
    </r>
  </si>
  <si>
    <r>
      <t>L</t>
    </r>
    <r>
      <rPr>
        <b/>
        <vertAlign val="subscript"/>
        <sz val="10"/>
        <rFont val="Calibri"/>
        <family val="2"/>
        <scheme val="minor"/>
      </rPr>
      <t>fuego</t>
    </r>
    <r>
      <rPr>
        <b/>
        <sz val="10"/>
        <rFont val="Calibri"/>
        <family val="2"/>
        <scheme val="minor"/>
      </rPr>
      <t>-N</t>
    </r>
    <r>
      <rPr>
        <b/>
        <vertAlign val="subscript"/>
        <sz val="10"/>
        <rFont val="Calibri"/>
        <family val="2"/>
        <scheme val="minor"/>
      </rPr>
      <t>2</t>
    </r>
    <r>
      <rPr>
        <b/>
        <sz val="10"/>
        <rFont val="Calibri"/>
        <family val="2"/>
        <scheme val="minor"/>
      </rPr>
      <t>O</t>
    </r>
  </si>
  <si>
    <r>
      <t>L</t>
    </r>
    <r>
      <rPr>
        <b/>
        <vertAlign val="subscript"/>
        <sz val="10"/>
        <rFont val="Calibri"/>
        <family val="2"/>
        <scheme val="minor"/>
      </rPr>
      <t>fuego</t>
    </r>
    <r>
      <rPr>
        <b/>
        <sz val="10"/>
        <rFont val="Calibri"/>
        <family val="2"/>
        <scheme val="minor"/>
      </rPr>
      <t>-NO</t>
    </r>
    <r>
      <rPr>
        <b/>
        <vertAlign val="subscript"/>
        <sz val="10"/>
        <rFont val="Calibri"/>
        <family val="2"/>
        <scheme val="minor"/>
      </rPr>
      <t>x</t>
    </r>
  </si>
  <si>
    <t>TC</t>
  </si>
  <si>
    <r>
      <t>1</t>
    </r>
    <r>
      <rPr>
        <sz val="10"/>
        <rFont val="Calibri"/>
        <family val="2"/>
        <scheme val="minor"/>
      </rPr>
      <t xml:space="preserve"> Para cada subcategoría, utilice líneas separadas para cada gas de efecto invernadero distinto del CO</t>
    </r>
    <r>
      <rPr>
        <vertAlign val="subscript"/>
        <sz val="10"/>
        <rFont val="Calibri"/>
        <family val="2"/>
        <scheme val="minor"/>
      </rPr>
      <t>2.</t>
    </r>
  </si>
  <si>
    <r>
      <t xml:space="preserve">2 </t>
    </r>
    <r>
      <rPr>
        <sz val="10"/>
        <rFont val="Calibri"/>
        <family val="2"/>
        <scheme val="minor"/>
      </rPr>
      <t>Cuando no se dispone de datos para MB y Cf, se puede utilizar un valor predeterminado para la cantidad de combustible realmente quemado (MB * Cf) (Tabla 2.4). En este caso, MB toma el valor tomado de la Tabla, mientras que Cf debe ser 1.</t>
    </r>
  </si>
  <si>
    <t>Emisiones por Quema de Biomasa en Tierras de Cultivos (Tierras convertidas en Tierras de Cultivos)</t>
  </si>
  <si>
    <t>2 de 2</t>
  </si>
  <si>
    <t>Ec. 2.2</t>
  </si>
  <si>
    <r>
      <t>1</t>
    </r>
    <r>
      <rPr>
        <sz val="10"/>
        <rFont val="Calibri"/>
        <family val="2"/>
        <scheme val="minor"/>
      </rPr>
      <t xml:space="preserve"> Las Tablas similares se deben completar por separado para cada uso inicial de la tierra y se deben sumar los subtotales. Si los datos por uso inicial de la tierra no están disponibles, use sólo "no CL" en esta columna.</t>
    </r>
  </si>
  <si>
    <r>
      <t>2</t>
    </r>
    <r>
      <rPr>
        <sz val="10"/>
        <rFont val="Calibri"/>
        <family val="2"/>
        <scheme val="minor"/>
      </rPr>
      <t xml:space="preserve"> Para cada subcategoría, utilice líneas separadas para cada gas de efecto invernadero distinto del CO</t>
    </r>
    <r>
      <rPr>
        <vertAlign val="subscript"/>
        <sz val="10"/>
        <rFont val="Calibri"/>
        <family val="2"/>
        <scheme val="minor"/>
      </rPr>
      <t>2.</t>
    </r>
  </si>
  <si>
    <r>
      <t xml:space="preserve">3 </t>
    </r>
    <r>
      <rPr>
        <sz val="10"/>
        <rFont val="Calibri"/>
        <family val="2"/>
        <scheme val="minor"/>
      </rPr>
      <t>Cuando no se dispone de datos para MB y Cf, se puede utilizar un valor predeterminado para la cantidad de combustible realmente quemado (MB * Cf) (Tabla 2.4). En este caso, MB toma el valor tomado de la Tabla, mientras que Cf debe ser 1.</t>
    </r>
  </si>
  <si>
    <t>Emisiones por Quema de Biomasa en Pastizales (Pastizales que permanecen como Pastizales)</t>
  </si>
  <si>
    <t>P</t>
  </si>
  <si>
    <t>Emisiones por Quema de Biomasa en Pastizales (Tierras convertidas en Pastizales)</t>
  </si>
  <si>
    <r>
      <t>Emisiones de CH</t>
    </r>
    <r>
      <rPr>
        <vertAlign val="subscript"/>
        <sz val="10"/>
        <rFont val="Calibri"/>
        <family val="2"/>
        <scheme val="minor"/>
      </rPr>
      <t xml:space="preserve">4 </t>
    </r>
    <r>
      <rPr>
        <sz val="10"/>
        <rFont val="Calibri"/>
        <family val="2"/>
        <scheme val="minor"/>
      </rPr>
      <t>por fuego</t>
    </r>
  </si>
  <si>
    <r>
      <t>1</t>
    </r>
    <r>
      <rPr>
        <sz val="10"/>
        <rFont val="Calibri"/>
        <family val="2"/>
        <scheme val="minor"/>
      </rPr>
      <t xml:space="preserve"> Las Tablas similares se deben completar por separado para cada uso inicial de la tierra y se deben sumar los subtotales. Si los datos por uso inicial de la tierra no están disponibles, use sólo "no P" en esta columna.</t>
    </r>
  </si>
  <si>
    <t>[no-P]</t>
  </si>
  <si>
    <t>Uso de la Tierra durante el año de notificación</t>
  </si>
  <si>
    <r>
      <t>Encalado: Emisiones anuales de CO</t>
    </r>
    <r>
      <rPr>
        <b/>
        <vertAlign val="subscript"/>
        <sz val="10"/>
        <rFont val="Calibri"/>
        <family val="2"/>
        <scheme val="minor"/>
      </rPr>
      <t>2</t>
    </r>
    <r>
      <rPr>
        <b/>
        <sz val="10"/>
        <rFont val="Calibri"/>
        <family val="2"/>
        <scheme val="minor"/>
      </rPr>
      <t>-C por Encalado</t>
    </r>
  </si>
  <si>
    <t>Código de Categoría</t>
  </si>
  <si>
    <t>Ecuación 11.12</t>
  </si>
  <si>
    <t>Tipo de encalado</t>
  </si>
  <si>
    <t>Emisiones anuales de C por encalado</t>
  </si>
  <si>
    <r>
      <t>Emisiones anuales de  CO</t>
    </r>
    <r>
      <rPr>
        <vertAlign val="subscript"/>
        <sz val="9"/>
        <rFont val="Calibri"/>
        <family val="2"/>
        <scheme val="minor"/>
      </rPr>
      <t xml:space="preserve">2 </t>
    </r>
    <r>
      <rPr>
        <sz val="9"/>
        <rFont val="Calibri"/>
        <family val="2"/>
        <scheme val="minor"/>
      </rPr>
      <t>por encalado</t>
    </r>
  </si>
  <si>
    <t>valor por defecto 0.12</t>
  </si>
  <si>
    <t>valor por defecto 0.13</t>
  </si>
  <si>
    <r>
      <t>M</t>
    </r>
    <r>
      <rPr>
        <b/>
        <vertAlign val="subscript"/>
        <sz val="10"/>
        <rFont val="Calibri"/>
        <family val="2"/>
        <scheme val="minor"/>
      </rPr>
      <t>Caliza</t>
    </r>
  </si>
  <si>
    <r>
      <t>EF</t>
    </r>
    <r>
      <rPr>
        <b/>
        <vertAlign val="subscript"/>
        <sz val="10"/>
        <rFont val="Calibri"/>
        <family val="2"/>
        <scheme val="minor"/>
      </rPr>
      <t>Caliza</t>
    </r>
  </si>
  <si>
    <r>
      <t>M</t>
    </r>
    <r>
      <rPr>
        <b/>
        <vertAlign val="subscript"/>
        <sz val="10"/>
        <rFont val="Calibri"/>
        <family val="2"/>
        <scheme val="minor"/>
      </rPr>
      <t>dolomita</t>
    </r>
  </si>
  <si>
    <r>
      <t>EF</t>
    </r>
    <r>
      <rPr>
        <b/>
        <vertAlign val="subscript"/>
        <sz val="10"/>
        <rFont val="Calibri"/>
        <family val="2"/>
        <scheme val="minor"/>
      </rPr>
      <t>Dolomita</t>
    </r>
  </si>
  <si>
    <r>
      <t>Emisión de CO</t>
    </r>
    <r>
      <rPr>
        <b/>
        <vertAlign val="subscript"/>
        <sz val="10"/>
        <rFont val="Calibri"/>
        <family val="2"/>
        <scheme val="minor"/>
      </rPr>
      <t>2</t>
    </r>
    <r>
      <rPr>
        <b/>
        <sz val="10"/>
        <rFont val="Calibri"/>
        <family val="2"/>
        <scheme val="minor"/>
      </rPr>
      <t xml:space="preserve">-C </t>
    </r>
  </si>
  <si>
    <t>Caliza</t>
  </si>
  <si>
    <t>Dolomita</t>
  </si>
  <si>
    <t>Ecuación 11.13</t>
  </si>
  <si>
    <t>Subcategorías para el año de notificación</t>
  </si>
  <si>
    <t>Cantidad anual de fertilizacion con urea</t>
  </si>
  <si>
    <t xml:space="preserve">Factor de emisión </t>
  </si>
  <si>
    <r>
      <t>Emisiones anuales de  CO</t>
    </r>
    <r>
      <rPr>
        <b/>
        <vertAlign val="subscript"/>
        <sz val="10"/>
        <rFont val="Calibri"/>
        <family val="2"/>
        <scheme val="minor"/>
      </rPr>
      <t xml:space="preserve">2 </t>
    </r>
    <r>
      <rPr>
        <b/>
        <sz val="10"/>
        <rFont val="Calibri"/>
        <family val="2"/>
        <scheme val="minor"/>
      </rPr>
      <t>por fertilización con urea</t>
    </r>
  </si>
  <si>
    <t>valor por defecto 0.20</t>
  </si>
  <si>
    <r>
      <t>Aplicación de urea: Emisiones anuales de CO</t>
    </r>
    <r>
      <rPr>
        <b/>
        <vertAlign val="subscript"/>
        <sz val="10"/>
        <rFont val="Calibri"/>
        <family val="2"/>
        <scheme val="minor"/>
      </rPr>
      <t>2</t>
    </r>
    <r>
      <rPr>
        <b/>
        <sz val="10"/>
        <rFont val="Calibri"/>
        <family val="2"/>
        <scheme val="minor"/>
      </rPr>
      <t xml:space="preserve"> por fertilización con urea</t>
    </r>
  </si>
  <si>
    <r>
      <t>Emisiones directas de N</t>
    </r>
    <r>
      <rPr>
        <b/>
        <vertAlign val="subscript"/>
        <sz val="10"/>
        <rFont val="Calibri"/>
        <family val="2"/>
        <scheme val="minor"/>
      </rPr>
      <t>2</t>
    </r>
    <r>
      <rPr>
        <b/>
        <sz val="10"/>
        <rFont val="Calibri"/>
        <family val="2"/>
        <scheme val="minor"/>
      </rPr>
      <t xml:space="preserve">O de suelos gestionados </t>
    </r>
  </si>
  <si>
    <t>Ecuación 11.1</t>
  </si>
  <si>
    <t>Tipo de entrada de N antropogénico</t>
  </si>
  <si>
    <t>Cantidad anual de N aplicado</t>
  </si>
  <si>
    <r>
      <t>Factor de emisión de emisiones de N</t>
    </r>
    <r>
      <rPr>
        <vertAlign val="subscript"/>
        <sz val="10"/>
        <rFont val="Calibri"/>
        <family val="2"/>
        <scheme val="minor"/>
      </rPr>
      <t>2</t>
    </r>
    <r>
      <rPr>
        <sz val="10"/>
        <rFont val="Calibri"/>
        <family val="2"/>
        <scheme val="minor"/>
      </rPr>
      <t>O de aportes de N</t>
    </r>
  </si>
  <si>
    <r>
      <t>Emisiones directas anuales de N</t>
    </r>
    <r>
      <rPr>
        <vertAlign val="subscript"/>
        <sz val="10"/>
        <color indexed="8"/>
        <rFont val="Calibri"/>
        <family val="2"/>
        <scheme val="minor"/>
      </rPr>
      <t>2</t>
    </r>
    <r>
      <rPr>
        <sz val="10"/>
        <color indexed="8"/>
        <rFont val="Calibri"/>
        <family val="2"/>
        <scheme val="minor"/>
      </rPr>
      <t xml:space="preserve">O-N producidas por suelos gestionados </t>
    </r>
  </si>
  <si>
    <r>
      <t xml:space="preserve"> [kg N</t>
    </r>
    <r>
      <rPr>
        <vertAlign val="subscript"/>
        <sz val="10"/>
        <rFont val="Calibri"/>
        <family val="2"/>
        <scheme val="minor"/>
      </rPr>
      <t>2</t>
    </r>
    <r>
      <rPr>
        <sz val="10"/>
        <rFont val="Calibri"/>
        <family val="2"/>
        <scheme val="minor"/>
      </rPr>
      <t>O-N (kg N aportes)</t>
    </r>
    <r>
      <rPr>
        <vertAlign val="superscript"/>
        <sz val="10"/>
        <rFont val="Calibri"/>
        <family val="2"/>
        <scheme val="minor"/>
      </rPr>
      <t>-1</t>
    </r>
    <r>
      <rPr>
        <sz val="10"/>
        <rFont val="Calibri"/>
        <family val="2"/>
        <scheme val="minor"/>
      </rPr>
      <t>]</t>
    </r>
  </si>
  <si>
    <r>
      <t>(kg N</t>
    </r>
    <r>
      <rPr>
        <vertAlign val="subscript"/>
        <sz val="10"/>
        <rFont val="Calibri"/>
        <family val="2"/>
        <scheme val="minor"/>
      </rPr>
      <t>2</t>
    </r>
    <r>
      <rPr>
        <sz val="10"/>
        <rFont val="Calibri"/>
        <family val="2"/>
        <scheme val="minor"/>
      </rPr>
      <t>O-N  año</t>
    </r>
    <r>
      <rPr>
        <vertAlign val="superscript"/>
        <sz val="10"/>
        <rFont val="Calibri"/>
        <family val="2"/>
        <scheme val="minor"/>
      </rPr>
      <t>-1</t>
    </r>
    <r>
      <rPr>
        <sz val="10"/>
        <rFont val="Calibri"/>
        <family val="2"/>
        <scheme val="minor"/>
      </rPr>
      <t>)</t>
    </r>
  </si>
  <si>
    <t>Tabla 11.1</t>
  </si>
  <si>
    <r>
      <t>N</t>
    </r>
    <r>
      <rPr>
        <vertAlign val="subscript"/>
        <sz val="10"/>
        <color indexed="8"/>
        <rFont val="Calibri"/>
        <family val="2"/>
        <scheme val="minor"/>
      </rPr>
      <t>2</t>
    </r>
    <r>
      <rPr>
        <sz val="10"/>
        <color indexed="8"/>
        <rFont val="Calibri"/>
        <family val="2"/>
        <scheme val="minor"/>
      </rPr>
      <t>O-N</t>
    </r>
    <r>
      <rPr>
        <vertAlign val="subscript"/>
        <sz val="10"/>
        <color indexed="8"/>
        <rFont val="Calibri"/>
        <family val="2"/>
        <scheme val="minor"/>
      </rPr>
      <t>aportes N</t>
    </r>
    <r>
      <rPr>
        <sz val="10"/>
        <color indexed="8"/>
        <rFont val="Calibri"/>
        <family val="2"/>
        <scheme val="minor"/>
      </rPr>
      <t xml:space="preserve"> = F * EF</t>
    </r>
  </si>
  <si>
    <r>
      <t>N</t>
    </r>
    <r>
      <rPr>
        <b/>
        <vertAlign val="subscript"/>
        <sz val="10"/>
        <color indexed="8"/>
        <rFont val="Calibri"/>
        <family val="2"/>
        <scheme val="minor"/>
      </rPr>
      <t>2</t>
    </r>
    <r>
      <rPr>
        <b/>
        <sz val="10"/>
        <color indexed="8"/>
        <rFont val="Calibri"/>
        <family val="2"/>
        <scheme val="minor"/>
      </rPr>
      <t>O-N</t>
    </r>
    <r>
      <rPr>
        <b/>
        <vertAlign val="subscript"/>
        <sz val="10"/>
        <color indexed="8"/>
        <rFont val="Calibri"/>
        <family val="2"/>
        <scheme val="minor"/>
      </rPr>
      <t>aportes N</t>
    </r>
  </si>
  <si>
    <r>
      <t>Tipo de entrada de N antropogénico para estimar emisiones directas anuales de  N</t>
    </r>
    <r>
      <rPr>
        <vertAlign val="subscript"/>
        <sz val="10"/>
        <rFont val="Calibri"/>
        <family val="2"/>
        <scheme val="minor"/>
      </rPr>
      <t>2</t>
    </r>
    <r>
      <rPr>
        <sz val="10"/>
        <rFont val="Calibri"/>
        <family val="2"/>
        <scheme val="minor"/>
      </rPr>
      <t>O-N producidas a partir de suelos gestionados</t>
    </r>
  </si>
  <si>
    <t>fertilizantes sintéticos</t>
  </si>
  <si>
    <r>
      <t>F</t>
    </r>
    <r>
      <rPr>
        <vertAlign val="subscript"/>
        <sz val="10"/>
        <rFont val="Calibri"/>
        <family val="2"/>
        <scheme val="minor"/>
      </rPr>
      <t>SN</t>
    </r>
    <r>
      <rPr>
        <sz val="10"/>
        <rFont val="Calibri"/>
        <family val="2"/>
        <scheme val="minor"/>
      </rPr>
      <t>: N en fertilizantes sintéticos</t>
    </r>
  </si>
  <si>
    <t xml:space="preserve">estiércol animal, compost, lodos cloacales </t>
  </si>
  <si>
    <r>
      <t>F</t>
    </r>
    <r>
      <rPr>
        <vertAlign val="subscript"/>
        <sz val="10"/>
        <rFont val="Calibri"/>
        <family val="2"/>
        <scheme val="minor"/>
      </rPr>
      <t>ON</t>
    </r>
    <r>
      <rPr>
        <sz val="10"/>
        <rFont val="Calibri"/>
        <family val="2"/>
        <scheme val="minor"/>
      </rPr>
      <t xml:space="preserve">: N en estiércol animal, compost, lodos cloacales, otros </t>
    </r>
  </si>
  <si>
    <t xml:space="preserve">residuos agrícolas </t>
  </si>
  <si>
    <r>
      <t>F</t>
    </r>
    <r>
      <rPr>
        <vertAlign val="subscript"/>
        <sz val="10"/>
        <rFont val="Calibri"/>
        <family val="2"/>
        <scheme val="minor"/>
      </rPr>
      <t>CR</t>
    </r>
    <r>
      <rPr>
        <sz val="10"/>
        <rFont val="Calibri"/>
        <family val="2"/>
        <scheme val="minor"/>
      </rPr>
      <t xml:space="preserve">: N en residuos agrícolas </t>
    </r>
  </si>
  <si>
    <t xml:space="preserve">cambio de uso o gestión de la tierra </t>
  </si>
  <si>
    <r>
      <t>F</t>
    </r>
    <r>
      <rPr>
        <vertAlign val="subscript"/>
        <sz val="10"/>
        <rFont val="Calibri"/>
        <family val="2"/>
        <scheme val="minor"/>
      </rPr>
      <t>SOM</t>
    </r>
    <r>
      <rPr>
        <sz val="10"/>
        <rFont val="Calibri"/>
        <family val="2"/>
        <scheme val="minor"/>
      </rPr>
      <t>: N en suelos minerales que estan minieralizados, relacionada con la pérdida de C del suelo como resultado de los cambios de uso o gestión de la tierra</t>
    </r>
  </si>
  <si>
    <r>
      <t>F</t>
    </r>
    <r>
      <rPr>
        <vertAlign val="subscript"/>
        <sz val="10"/>
        <rFont val="Calibri"/>
        <family val="2"/>
        <scheme val="minor"/>
      </rPr>
      <t>SN</t>
    </r>
    <r>
      <rPr>
        <sz val="10"/>
        <rFont val="Calibri"/>
        <family val="2"/>
        <scheme val="minor"/>
      </rPr>
      <t>: N  en fertilizantes sintéticos</t>
    </r>
  </si>
  <si>
    <t xml:space="preserve">FCR: N en residuos agrícolas </t>
  </si>
  <si>
    <t>FSOM: N en suelos minerales que estan minieralizados, relacionada con la pérdida de C del suelo como resultado de los cambios de uso o gestión de la tierra</t>
  </si>
  <si>
    <r>
      <t>Tipos de entradas de N antropogénico  para estimar las emisiones directas anuales de N</t>
    </r>
    <r>
      <rPr>
        <vertAlign val="subscript"/>
        <sz val="10"/>
        <rFont val="Calibri"/>
        <family val="2"/>
        <scheme val="minor"/>
      </rPr>
      <t>2</t>
    </r>
    <r>
      <rPr>
        <sz val="10"/>
        <rFont val="Calibri"/>
        <family val="2"/>
        <scheme val="minor"/>
      </rPr>
      <t>O-N producidas a partir del arroz inundado</t>
    </r>
  </si>
  <si>
    <r>
      <t>Tipo de entrada de N antropogénico</t>
    </r>
    <r>
      <rPr>
        <vertAlign val="superscript"/>
        <sz val="10"/>
        <rFont val="Calibri"/>
        <family val="2"/>
        <scheme val="minor"/>
      </rPr>
      <t>1,2</t>
    </r>
  </si>
  <si>
    <t>Superficie anual de sueos orgánicos drenado/ gestionados</t>
  </si>
  <si>
    <r>
      <t>Emisiones directas anuales de N</t>
    </r>
    <r>
      <rPr>
        <vertAlign val="subscript"/>
        <sz val="10"/>
        <rFont val="Calibri"/>
        <family val="2"/>
        <scheme val="minor"/>
      </rPr>
      <t>2</t>
    </r>
    <r>
      <rPr>
        <sz val="10"/>
        <rFont val="Calibri"/>
        <family val="2"/>
        <scheme val="minor"/>
      </rPr>
      <t>O-N de suelos orgánicos gestionados</t>
    </r>
  </si>
  <si>
    <t>Cantida de N  de la orina y el estiércol depositada por los animales en pastoreo sobre pasturas, prados y praderas</t>
  </si>
  <si>
    <r>
      <t>Factor de emisión para emisiones de  N</t>
    </r>
    <r>
      <rPr>
        <vertAlign val="subscript"/>
        <sz val="10"/>
        <rFont val="Calibri"/>
        <family val="2"/>
        <scheme val="minor"/>
      </rPr>
      <t>2</t>
    </r>
    <r>
      <rPr>
        <sz val="10"/>
        <rFont val="Calibri"/>
        <family val="2"/>
        <scheme val="minor"/>
      </rPr>
      <t>O del N de la orina y el estiércol depositado en pasturas, prados y praderas por animales en pastoreo</t>
    </r>
  </si>
  <si>
    <r>
      <t>Emisiones directas anuales de  N</t>
    </r>
    <r>
      <rPr>
        <vertAlign val="subscript"/>
        <sz val="10"/>
        <rFont val="Calibri"/>
        <family val="2"/>
        <scheme val="minor"/>
      </rPr>
      <t>2</t>
    </r>
    <r>
      <rPr>
        <sz val="10"/>
        <rFont val="Calibri"/>
        <family val="2"/>
        <scheme val="minor"/>
      </rPr>
      <t>O de aportes de orina y estiércol a tierras de pastoreo</t>
    </r>
  </si>
  <si>
    <r>
      <t>Emisiones directas anuales de  N</t>
    </r>
    <r>
      <rPr>
        <vertAlign val="subscript"/>
        <sz val="10"/>
        <rFont val="Calibri"/>
        <family val="2"/>
        <scheme val="minor"/>
      </rPr>
      <t>2</t>
    </r>
    <r>
      <rPr>
        <sz val="10"/>
        <rFont val="Calibri"/>
        <family val="2"/>
        <scheme val="minor"/>
      </rPr>
      <t xml:space="preserve">O producidas a partir de suelos gestionados </t>
    </r>
  </si>
  <si>
    <r>
      <t>(kg N</t>
    </r>
    <r>
      <rPr>
        <vertAlign val="subscript"/>
        <sz val="10"/>
        <rFont val="Calibri"/>
        <family val="2"/>
        <scheme val="minor"/>
      </rPr>
      <t>2</t>
    </r>
    <r>
      <rPr>
        <sz val="10"/>
        <rFont val="Calibri"/>
        <family val="2"/>
        <scheme val="minor"/>
      </rPr>
      <t>O-N año</t>
    </r>
    <r>
      <rPr>
        <vertAlign val="superscript"/>
        <sz val="10"/>
        <rFont val="Calibri"/>
        <family val="2"/>
        <scheme val="minor"/>
      </rPr>
      <t>-1</t>
    </r>
    <r>
      <rPr>
        <sz val="10"/>
        <rFont val="Calibri"/>
        <family val="2"/>
        <scheme val="minor"/>
      </rPr>
      <t>)</t>
    </r>
  </si>
  <si>
    <r>
      <t>ha</t>
    </r>
    <r>
      <rPr>
        <vertAlign val="superscript"/>
        <sz val="10"/>
        <rFont val="Calibri"/>
        <family val="2"/>
        <scheme val="minor"/>
      </rPr>
      <t>-1</t>
    </r>
    <r>
      <rPr>
        <sz val="10"/>
        <rFont val="Calibri"/>
        <family val="2"/>
        <scheme val="minor"/>
      </rPr>
      <t xml:space="preserve"> año</t>
    </r>
    <r>
      <rPr>
        <vertAlign val="superscript"/>
        <sz val="10"/>
        <rFont val="Calibri"/>
        <family val="2"/>
        <scheme val="minor"/>
      </rPr>
      <t>-1</t>
    </r>
    <r>
      <rPr>
        <sz val="10"/>
        <rFont val="Calibri"/>
        <family val="2"/>
        <scheme val="minor"/>
      </rPr>
      <t>)</t>
    </r>
  </si>
  <si>
    <r>
      <t>(kg apotes N)</t>
    </r>
    <r>
      <rPr>
        <vertAlign val="superscript"/>
        <sz val="10"/>
        <rFont val="Calibri"/>
        <family val="2"/>
        <scheme val="minor"/>
      </rPr>
      <t>-1</t>
    </r>
    <r>
      <rPr>
        <sz val="10"/>
        <rFont val="Calibri"/>
        <family val="2"/>
        <scheme val="minor"/>
      </rPr>
      <t>]</t>
    </r>
  </si>
  <si>
    <r>
      <t>N</t>
    </r>
    <r>
      <rPr>
        <vertAlign val="subscript"/>
        <sz val="10"/>
        <rFont val="Calibri"/>
        <family val="2"/>
        <scheme val="minor"/>
      </rPr>
      <t>2</t>
    </r>
    <r>
      <rPr>
        <sz val="10"/>
        <rFont val="Calibri"/>
        <family val="2"/>
        <scheme val="minor"/>
      </rPr>
      <t>O</t>
    </r>
    <r>
      <rPr>
        <vertAlign val="subscript"/>
        <sz val="10"/>
        <rFont val="Calibri"/>
        <family val="2"/>
        <scheme val="minor"/>
      </rPr>
      <t>Directo</t>
    </r>
    <r>
      <rPr>
        <sz val="10"/>
        <rFont val="Calibri"/>
        <family val="2"/>
        <scheme val="minor"/>
      </rPr>
      <t>-N = N</t>
    </r>
    <r>
      <rPr>
        <vertAlign val="subscript"/>
        <sz val="10"/>
        <rFont val="Calibri"/>
        <family val="2"/>
        <scheme val="minor"/>
      </rPr>
      <t>2</t>
    </r>
    <r>
      <rPr>
        <sz val="10"/>
        <rFont val="Calibri"/>
        <family val="2"/>
        <scheme val="minor"/>
      </rPr>
      <t>O-N</t>
    </r>
    <r>
      <rPr>
        <vertAlign val="subscript"/>
        <sz val="10"/>
        <rFont val="Calibri"/>
        <family val="2"/>
        <scheme val="minor"/>
      </rPr>
      <t>N input</t>
    </r>
    <r>
      <rPr>
        <sz val="10"/>
        <rFont val="Calibri"/>
        <family val="2"/>
        <scheme val="minor"/>
      </rPr>
      <t xml:space="preserve"> + N</t>
    </r>
    <r>
      <rPr>
        <vertAlign val="subscript"/>
        <sz val="10"/>
        <rFont val="Calibri"/>
        <family val="2"/>
        <scheme val="minor"/>
      </rPr>
      <t>2</t>
    </r>
    <r>
      <rPr>
        <sz val="10"/>
        <rFont val="Calibri"/>
        <family val="2"/>
        <scheme val="minor"/>
      </rPr>
      <t>O-N</t>
    </r>
    <r>
      <rPr>
        <vertAlign val="subscript"/>
        <sz val="10"/>
        <rFont val="Calibri"/>
        <family val="2"/>
        <scheme val="minor"/>
      </rPr>
      <t>OS</t>
    </r>
    <r>
      <rPr>
        <sz val="10"/>
        <rFont val="Calibri"/>
        <family val="2"/>
        <scheme val="minor"/>
      </rPr>
      <t xml:space="preserve"> + N</t>
    </r>
    <r>
      <rPr>
        <vertAlign val="subscript"/>
        <sz val="10"/>
        <rFont val="Calibri"/>
        <family val="2"/>
        <scheme val="minor"/>
      </rPr>
      <t>2</t>
    </r>
    <r>
      <rPr>
        <sz val="10"/>
        <rFont val="Calibri"/>
        <family val="2"/>
        <scheme val="minor"/>
      </rPr>
      <t>O-N</t>
    </r>
    <r>
      <rPr>
        <vertAlign val="subscript"/>
        <sz val="10"/>
        <rFont val="Calibri"/>
        <family val="2"/>
        <scheme val="minor"/>
      </rPr>
      <t>PRP</t>
    </r>
  </si>
  <si>
    <r>
      <t>N</t>
    </r>
    <r>
      <rPr>
        <b/>
        <vertAlign val="subscript"/>
        <sz val="10"/>
        <rFont val="Calibri"/>
        <family val="2"/>
        <scheme val="minor"/>
      </rPr>
      <t>2</t>
    </r>
    <r>
      <rPr>
        <b/>
        <sz val="10"/>
        <rFont val="Calibri"/>
        <family val="2"/>
        <scheme val="minor"/>
      </rPr>
      <t>O</t>
    </r>
    <r>
      <rPr>
        <b/>
        <vertAlign val="subscript"/>
        <sz val="10"/>
        <rFont val="Calibri"/>
        <family val="2"/>
        <scheme val="minor"/>
      </rPr>
      <t>Directo</t>
    </r>
    <r>
      <rPr>
        <b/>
        <sz val="10"/>
        <rFont val="Calibri"/>
        <family val="2"/>
        <scheme val="minor"/>
      </rPr>
      <t>-N</t>
    </r>
  </si>
  <si>
    <t xml:space="preserve">
Suelos orgánicos gestionados</t>
  </si>
  <si>
    <t>Insumos de orina y estiércol a suelos de pastoreo</t>
  </si>
  <si>
    <r>
      <t xml:space="preserve">1 </t>
    </r>
    <r>
      <rPr>
        <sz val="8"/>
        <rFont val="Calibri"/>
        <family val="2"/>
        <scheme val="minor"/>
      </rPr>
      <t>El área debe estar desagregada por las categorías de Tierras de cultivo y Pastizales (CG), Bosque (F), Templado (Temp), Tropical (Trop), Rico en nutrientes (NR) y Pobre de nutrientes (NP), respectivamente, ver Ecuación 11.1.</t>
    </r>
  </si>
  <si>
    <r>
      <t>2</t>
    </r>
    <r>
      <rPr>
        <sz val="8"/>
        <rFont val="Calibri"/>
        <family val="2"/>
        <scheme val="minor"/>
      </rPr>
      <t xml:space="preserve"> El monto debe ser desagregado por CPP y SO, que se refieren a Bovinos, Aves y Porcinos, y Ovinos y Otros animales, respectivamente. Ver Ecuación 11.1.</t>
    </r>
  </si>
  <si>
    <r>
      <t>Emisiones indirectas de N</t>
    </r>
    <r>
      <rPr>
        <b/>
        <vertAlign val="subscript"/>
        <sz val="10"/>
        <rFont val="Calibri"/>
        <family val="2"/>
        <scheme val="minor"/>
      </rPr>
      <t>2</t>
    </r>
    <r>
      <rPr>
        <b/>
        <sz val="10"/>
        <rFont val="Calibri"/>
        <family val="2"/>
        <scheme val="minor"/>
      </rPr>
      <t>O  de suelos gestionados: N</t>
    </r>
    <r>
      <rPr>
        <b/>
        <vertAlign val="subscript"/>
        <sz val="10"/>
        <rFont val="Calibri"/>
        <family val="2"/>
        <scheme val="minor"/>
      </rPr>
      <t>2</t>
    </r>
    <r>
      <rPr>
        <b/>
        <sz val="10"/>
        <rFont val="Calibri"/>
        <family val="2"/>
        <scheme val="minor"/>
      </rPr>
      <t xml:space="preserve">O producido por deposición atmosférica de N volatilizado de suelos gestionados </t>
    </r>
  </si>
  <si>
    <t>Ecuación 11.9</t>
  </si>
  <si>
    <t xml:space="preserve">Cantidad anual de N de fertilizante sintetico aplicado a los suelos </t>
  </si>
  <si>
    <t xml:space="preserve">Fracción de N de fertilizante sintético  que se volatiliza </t>
  </si>
  <si>
    <t>Cantidad anual de estiércol animal, compost, lodos cloacales y otros agregados de N orgánico aplicada a los suelos</t>
  </si>
  <si>
    <t>Cantidad anual de N de la orina y el estiércol depositada por animales de pastoreo en pasturas, prados y praderas</t>
  </si>
  <si>
    <t>Fracción de materiales fertilizantes de N orgánico (FON) y de N de orina y estiércol depositada por animales de pastoreo (FPRP) que se volatiliza</t>
  </si>
  <si>
    <r>
      <t>Factor de emision para emisiones de N</t>
    </r>
    <r>
      <rPr>
        <vertAlign val="subscript"/>
        <sz val="10"/>
        <rFont val="Calibri"/>
        <family val="2"/>
        <scheme val="minor"/>
      </rPr>
      <t>2</t>
    </r>
    <r>
      <rPr>
        <sz val="10"/>
        <rFont val="Calibri"/>
        <family val="2"/>
        <scheme val="minor"/>
      </rPr>
      <t>O por deposición atmosférica de N en los sueos y las superficies de agua</t>
    </r>
  </si>
  <si>
    <r>
      <t>Cantidad anual de N</t>
    </r>
    <r>
      <rPr>
        <vertAlign val="subscript"/>
        <sz val="10"/>
        <rFont val="Calibri"/>
        <family val="2"/>
        <scheme val="minor"/>
      </rPr>
      <t>2</t>
    </r>
    <r>
      <rPr>
        <sz val="10"/>
        <rFont val="Calibri"/>
        <family val="2"/>
        <scheme val="minor"/>
      </rPr>
      <t>O-N roducida por deposición atmosférica de N volatilizado de suelos gestionados</t>
    </r>
  </si>
  <si>
    <r>
      <t>(kg NH</t>
    </r>
    <r>
      <rPr>
        <vertAlign val="subscript"/>
        <sz val="10"/>
        <rFont val="Calibri"/>
        <family val="2"/>
        <scheme val="minor"/>
      </rPr>
      <t>3</t>
    </r>
    <r>
      <rPr>
        <sz val="10"/>
        <rFont val="Calibri"/>
        <family val="2"/>
        <scheme val="minor"/>
      </rPr>
      <t>-N + NO</t>
    </r>
    <r>
      <rPr>
        <vertAlign val="subscript"/>
        <sz val="10"/>
        <rFont val="Calibri"/>
        <family val="2"/>
        <scheme val="minor"/>
      </rPr>
      <t>x</t>
    </r>
    <r>
      <rPr>
        <sz val="10"/>
        <rFont val="Calibri"/>
        <family val="2"/>
        <scheme val="minor"/>
      </rPr>
      <t>-N) (kg de N aplicado)</t>
    </r>
    <r>
      <rPr>
        <vertAlign val="superscript"/>
        <sz val="10"/>
        <rFont val="Calibri"/>
        <family val="2"/>
        <scheme val="minor"/>
      </rPr>
      <t>-1</t>
    </r>
  </si>
  <si>
    <r>
      <t>(kg NH</t>
    </r>
    <r>
      <rPr>
        <vertAlign val="subscript"/>
        <sz val="10"/>
        <rFont val="Calibri"/>
        <family val="2"/>
        <scheme val="minor"/>
      </rPr>
      <t>3</t>
    </r>
    <r>
      <rPr>
        <sz val="10"/>
        <rFont val="Calibri"/>
        <family val="2"/>
        <scheme val="minor"/>
      </rPr>
      <t>-N + NO</t>
    </r>
    <r>
      <rPr>
        <vertAlign val="subscript"/>
        <sz val="10"/>
        <rFont val="Calibri"/>
        <family val="2"/>
        <scheme val="minor"/>
      </rPr>
      <t>x</t>
    </r>
    <r>
      <rPr>
        <sz val="10"/>
        <rFont val="Calibri"/>
        <family val="2"/>
        <scheme val="minor"/>
      </rPr>
      <t>-N) (kg de N aplicado o depositado)</t>
    </r>
    <r>
      <rPr>
        <vertAlign val="superscript"/>
        <sz val="10"/>
        <rFont val="Calibri"/>
        <family val="2"/>
        <scheme val="minor"/>
      </rPr>
      <t>-1</t>
    </r>
  </si>
  <si>
    <r>
      <t>(kg N</t>
    </r>
    <r>
      <rPr>
        <vertAlign val="subscript"/>
        <sz val="10"/>
        <rFont val="Calibri"/>
        <family val="2"/>
        <scheme val="minor"/>
      </rPr>
      <t>2</t>
    </r>
    <r>
      <rPr>
        <sz val="10"/>
        <rFont val="Calibri"/>
        <family val="2"/>
        <scheme val="minor"/>
      </rPr>
      <t>O-N) (kg NH</t>
    </r>
    <r>
      <rPr>
        <vertAlign val="subscript"/>
        <sz val="10"/>
        <rFont val="Calibri"/>
        <family val="2"/>
        <scheme val="minor"/>
      </rPr>
      <t>3</t>
    </r>
    <r>
      <rPr>
        <sz val="10"/>
        <rFont val="Calibri"/>
        <family val="2"/>
        <scheme val="minor"/>
      </rPr>
      <t>-N + NO</t>
    </r>
    <r>
      <rPr>
        <vertAlign val="subscript"/>
        <sz val="10"/>
        <rFont val="Calibri"/>
        <family val="2"/>
        <scheme val="minor"/>
      </rPr>
      <t>x</t>
    </r>
    <r>
      <rPr>
        <sz val="10"/>
        <rFont val="Calibri"/>
        <family val="2"/>
        <scheme val="minor"/>
      </rPr>
      <t>-N volatilizado)</t>
    </r>
    <r>
      <rPr>
        <vertAlign val="superscript"/>
        <sz val="10"/>
        <rFont val="Calibri"/>
        <family val="2"/>
        <scheme val="minor"/>
      </rPr>
      <t>-1</t>
    </r>
  </si>
  <si>
    <t>Tabla 11.3</t>
  </si>
  <si>
    <r>
      <t>Emisiones indirectas de N</t>
    </r>
    <r>
      <rPr>
        <b/>
        <vertAlign val="subscript"/>
        <sz val="10"/>
        <rFont val="Calibri"/>
        <family val="2"/>
        <scheme val="minor"/>
      </rPr>
      <t>2</t>
    </r>
    <r>
      <rPr>
        <b/>
        <sz val="10"/>
        <rFont val="Calibri"/>
        <family val="2"/>
        <scheme val="minor"/>
      </rPr>
      <t>O de suelos gestionados: N</t>
    </r>
    <r>
      <rPr>
        <b/>
        <vertAlign val="subscript"/>
        <sz val="10"/>
        <rFont val="Calibri"/>
        <family val="2"/>
        <scheme val="minor"/>
      </rPr>
      <t>2</t>
    </r>
    <r>
      <rPr>
        <b/>
        <sz val="10"/>
        <rFont val="Calibri"/>
        <family val="2"/>
        <scheme val="minor"/>
      </rPr>
      <t xml:space="preserve">O por lixiviación/escorrentía de suelos gestionados </t>
    </r>
  </si>
  <si>
    <t>Ecuación 11.10</t>
  </si>
  <si>
    <t xml:space="preserve">
Tipo de entrada de N antropogénico</t>
  </si>
  <si>
    <t>Cantidad anual de N de fertilizantes sintéticos aplicada a los suelos</t>
  </si>
  <si>
    <t>Cantidad anual de estiércol animal gestionado, compost, lodos cloacales y otros agregados de N orgánico aplicada a los suelos</t>
  </si>
  <si>
    <t>Cantidad anual de N de la orina y el estiércol depositada por los animales en pastoreo en pasturas, prados y praderas</t>
  </si>
  <si>
    <t>Cantidad de N en los residuos agrícolas (aéreos y subterráneos), incluyendo los cultivos fijadores de N y de la renovación de forraje/pastura, devuelta a los suelos anualmente</t>
  </si>
  <si>
    <t>Cantidad anual de N mineralizado en suelos minerales relacionada con la pérdida de C del suelo de la materia orgánica del suelo, como resultado de cambios en el uso o la gestión de la tierra</t>
  </si>
  <si>
    <t xml:space="preserve">Fracción de todo el N agregado en suelos gestionadosque se pierden por lixiviación y escorrentía </t>
  </si>
  <si>
    <r>
      <t>Factor de emisión para emisiones de N</t>
    </r>
    <r>
      <rPr>
        <vertAlign val="subscript"/>
        <sz val="10"/>
        <rFont val="Calibri"/>
        <family val="2"/>
        <scheme val="minor"/>
      </rPr>
      <t>2</t>
    </r>
    <r>
      <rPr>
        <sz val="10"/>
        <rFont val="Calibri"/>
        <family val="2"/>
        <scheme val="minor"/>
      </rPr>
      <t>O por lixiviación y escorrentía</t>
    </r>
  </si>
  <si>
    <r>
      <t>Cantidad anual de  N</t>
    </r>
    <r>
      <rPr>
        <vertAlign val="subscript"/>
        <sz val="10"/>
        <rFont val="Calibri"/>
        <family val="2"/>
        <scheme val="minor"/>
      </rPr>
      <t>2</t>
    </r>
    <r>
      <rPr>
        <sz val="10"/>
        <rFont val="Calibri"/>
        <family val="2"/>
        <scheme val="minor"/>
      </rPr>
      <t>O-N producido a partir de suelos gestionados en regiones donde se produce lixiviación y escorrentía</t>
    </r>
  </si>
  <si>
    <r>
      <t>[kg N (kg de N agregado)</t>
    </r>
    <r>
      <rPr>
        <vertAlign val="superscript"/>
        <sz val="10"/>
        <rFont val="Calibri"/>
        <family val="2"/>
        <scheme val="minor"/>
      </rPr>
      <t>-1</t>
    </r>
    <r>
      <rPr>
        <sz val="10"/>
        <rFont val="Calibri"/>
        <family val="2"/>
        <scheme val="minor"/>
      </rPr>
      <t>]</t>
    </r>
  </si>
  <si>
    <t xml:space="preserve">(kg N lixiviación y </t>
  </si>
  <si>
    <r>
      <t>escorrentía)</t>
    </r>
    <r>
      <rPr>
        <vertAlign val="superscript"/>
        <sz val="10"/>
        <rFont val="Calibri"/>
        <family val="2"/>
        <scheme val="minor"/>
      </rPr>
      <t>-1</t>
    </r>
    <r>
      <rPr>
        <sz val="10"/>
        <rFont val="Calibri"/>
        <family val="2"/>
        <scheme val="minor"/>
      </rPr>
      <t>]</t>
    </r>
  </si>
  <si>
    <r>
      <t>N</t>
    </r>
    <r>
      <rPr>
        <vertAlign val="subscript"/>
        <sz val="10"/>
        <rFont val="Calibri"/>
        <family val="2"/>
        <scheme val="minor"/>
      </rPr>
      <t>2</t>
    </r>
    <r>
      <rPr>
        <sz val="10"/>
        <rFont val="Calibri"/>
        <family val="2"/>
        <scheme val="minor"/>
      </rPr>
      <t>O</t>
    </r>
    <r>
      <rPr>
        <vertAlign val="subscript"/>
        <sz val="10"/>
        <rFont val="Calibri"/>
        <family val="2"/>
        <scheme val="minor"/>
      </rPr>
      <t>(L)</t>
    </r>
    <r>
      <rPr>
        <sz val="10"/>
        <rFont val="Calibri"/>
        <family val="2"/>
        <scheme val="minor"/>
      </rPr>
      <t>-N = (F</t>
    </r>
    <r>
      <rPr>
        <vertAlign val="subscript"/>
        <sz val="10"/>
        <rFont val="Calibri"/>
        <family val="2"/>
        <scheme val="minor"/>
      </rPr>
      <t>SN</t>
    </r>
    <r>
      <rPr>
        <sz val="10"/>
        <rFont val="Calibri"/>
        <family val="2"/>
        <scheme val="minor"/>
      </rPr>
      <t xml:space="preserve"> + F</t>
    </r>
    <r>
      <rPr>
        <vertAlign val="subscript"/>
        <sz val="10"/>
        <rFont val="Calibri"/>
        <family val="2"/>
        <scheme val="minor"/>
      </rPr>
      <t>ON</t>
    </r>
    <r>
      <rPr>
        <sz val="10"/>
        <rFont val="Calibri"/>
        <family val="2"/>
        <scheme val="minor"/>
      </rPr>
      <t xml:space="preserve"> + F</t>
    </r>
    <r>
      <rPr>
        <vertAlign val="subscript"/>
        <sz val="10"/>
        <rFont val="Calibri"/>
        <family val="2"/>
        <scheme val="minor"/>
      </rPr>
      <t>PRP</t>
    </r>
    <r>
      <rPr>
        <sz val="10"/>
        <rFont val="Calibri"/>
        <family val="2"/>
        <scheme val="minor"/>
      </rPr>
      <t xml:space="preserve"> + F</t>
    </r>
    <r>
      <rPr>
        <vertAlign val="subscript"/>
        <sz val="10"/>
        <rFont val="Calibri"/>
        <family val="2"/>
        <scheme val="minor"/>
      </rPr>
      <t>CR</t>
    </r>
    <r>
      <rPr>
        <sz val="10"/>
        <rFont val="Calibri"/>
        <family val="2"/>
        <scheme val="minor"/>
      </rPr>
      <t xml:space="preserve"> + F</t>
    </r>
    <r>
      <rPr>
        <vertAlign val="subscript"/>
        <sz val="10"/>
        <rFont val="Calibri"/>
        <family val="2"/>
        <scheme val="minor"/>
      </rPr>
      <t>SOM</t>
    </r>
    <r>
      <rPr>
        <sz val="10"/>
        <rFont val="Calibri"/>
        <family val="2"/>
        <scheme val="minor"/>
      </rPr>
      <t>) * Frac</t>
    </r>
    <r>
      <rPr>
        <vertAlign val="subscript"/>
        <sz val="10"/>
        <rFont val="Calibri"/>
        <family val="2"/>
        <scheme val="minor"/>
      </rPr>
      <t xml:space="preserve">LIXIVIACIÓN-(H) </t>
    </r>
    <r>
      <rPr>
        <sz val="10"/>
        <rFont val="Calibri"/>
        <family val="2"/>
        <scheme val="minor"/>
      </rPr>
      <t>* EF</t>
    </r>
    <r>
      <rPr>
        <vertAlign val="subscript"/>
        <sz val="10"/>
        <rFont val="Calibri"/>
        <family val="2"/>
        <scheme val="minor"/>
      </rPr>
      <t>5</t>
    </r>
  </si>
  <si>
    <r>
      <t>Frac</t>
    </r>
    <r>
      <rPr>
        <b/>
        <vertAlign val="subscript"/>
        <sz val="10"/>
        <rFont val="Calibri"/>
        <family val="2"/>
        <scheme val="minor"/>
      </rPr>
      <t>LIXIVIACIÓN-(H)</t>
    </r>
  </si>
  <si>
    <t>Ecuación 10.26</t>
  </si>
  <si>
    <t>Ecuación 10.27</t>
  </si>
  <si>
    <t>Fracción de nitrógeno del estiércol de ganado gestionado que se volatiliza</t>
  </si>
  <si>
    <t>Tabla 10.22</t>
  </si>
  <si>
    <t>Ecuación 10.34</t>
  </si>
  <si>
    <t>cantidad de nitrógeno del estiércol gestionado para la categoría de ganado T que se pierde en el MMS</t>
  </si>
  <si>
    <t>Número de animales</t>
  </si>
  <si>
    <t xml:space="preserve">Fracción de la excreción total anual de nitrógeno en el MMS de cada especie/categoría de ganado </t>
  </si>
  <si>
    <t>Cantidad de nitrógeno de las camas</t>
  </si>
  <si>
    <t>cantidad de nitrógeno de estiércol gestionado disponible para su aplicación en suelos gestionados o para alimento, combustible o para la construcción</t>
  </si>
  <si>
    <t>(por ciento)</t>
  </si>
  <si>
    <t>(cabeza)</t>
  </si>
  <si>
    <t>Tabla 10.23</t>
  </si>
  <si>
    <t>(Si es aplicable a MMS, consulte el texto de la Ecuación 10.34)</t>
  </si>
  <si>
    <t>Ecuación  5.1</t>
  </si>
  <si>
    <t>Ecuación 5.2</t>
  </si>
  <si>
    <t>Ecuación 5.3</t>
  </si>
  <si>
    <t>Ecosistema de arroz</t>
  </si>
  <si>
    <t>Superficie anual cosechada</t>
  </si>
  <si>
    <t>Periodo de cultivo del arroz</t>
  </si>
  <si>
    <t>Factor de emisión básico para tierras inundadas permanentemente sin abonos orgánicos</t>
  </si>
  <si>
    <t>Factor de ajuste para compensar las diferencias del régimen hídrico durante el período de cultivo</t>
  </si>
  <si>
    <t>Tasa de aplicación de abonos orgánicos en peso fresco</t>
  </si>
  <si>
    <t>Factor de conversión para abono orgánico</t>
  </si>
  <si>
    <t>Factor de ajuste para tipo y cantidad de abono orgánico aplicado</t>
  </si>
  <si>
    <t>(día)</t>
  </si>
  <si>
    <t>Tabla 5.11</t>
  </si>
  <si>
    <t>Tabla 5.12</t>
  </si>
  <si>
    <t>Tabla 5.13</t>
  </si>
  <si>
    <t>Tabla 5.14</t>
  </si>
  <si>
    <t xml:space="preserve">Irrigadas </t>
  </si>
  <si>
    <t xml:space="preserve">De secano y aguas profundas </t>
  </si>
  <si>
    <t>Factor de escala por tipo de suelo, cultivo de arroz, etc., si está disponible</t>
  </si>
  <si>
    <t>Factor de emisión diario ajustado para un área cosechada en particular</t>
  </si>
  <si>
    <t>De secano y aguas profundas</t>
  </si>
  <si>
    <t>Dictamen de Experto. Correo eletrónico de Rolando Barahona. Fecha: 17-09-2020</t>
  </si>
  <si>
    <t>Dictamen de Experto (Carlos Gómez) Correo electrónico de fecha 11-09-2022</t>
  </si>
  <si>
    <t>[no-TC]</t>
  </si>
  <si>
    <t>Cultivo de arroz</t>
  </si>
  <si>
    <t>DEPARTAMENTO</t>
  </si>
  <si>
    <t>Población animal</t>
  </si>
  <si>
    <t>Vínculo</t>
  </si>
  <si>
    <t>Propuesta de cálculo para la población de equinons y burros, burras, mulas y cuyes y la superficie de pastos naturales. Orden de Servicio N° 2016- 1187. Dirección General de Asuntos Ambientales Agrarios. MIDAGRI.</t>
  </si>
  <si>
    <t>Proyección Población de caballos, burros final.xlsx</t>
  </si>
  <si>
    <t>01.06.2021</t>
  </si>
  <si>
    <t>Población de animales (cabezas)</t>
  </si>
  <si>
    <t xml:space="preserve">DEPARTAMENTO </t>
  </si>
  <si>
    <t>Población de vacas en ordeño [cabezas]</t>
  </si>
  <si>
    <t>Producción de leche cruda (t)</t>
  </si>
  <si>
    <t>Emisiones por quema de biomasa (3C1) - Información base</t>
  </si>
  <si>
    <t xml:space="preserve">Departamento </t>
  </si>
  <si>
    <t>Fertilizantes nitrogenados</t>
  </si>
  <si>
    <t>Fermentación entérica (3A1), Manejo de estiércol (3A2) y Emisiones indirectas por manejo de estiércol (3C6) - Información base</t>
  </si>
  <si>
    <t>Tierras de cultivo</t>
  </si>
  <si>
    <t>Pastizales</t>
  </si>
  <si>
    <t>Encalado (3C2) - Información base</t>
  </si>
  <si>
    <t>No se cuenta con información para estimar esta categoría.</t>
  </si>
  <si>
    <t>Elemento</t>
  </si>
  <si>
    <t>Cantidad consumida [t]</t>
  </si>
  <si>
    <t>Consumo anual de Caliza (CaCO3) y Dolomita (CaMg(CO3)2) en cultivos agrícolas (t)</t>
  </si>
  <si>
    <t>Aplicación de urea (3C3) - Información base</t>
  </si>
  <si>
    <t>Cantidad anual importada de urea (t)</t>
  </si>
  <si>
    <t>Arroz (3C7) - Información base</t>
  </si>
  <si>
    <t>Quema de biomasa (3C1) - Información procesada</t>
  </si>
  <si>
    <t>Encalado (3C2) - Información procesada</t>
  </si>
  <si>
    <t xml:space="preserve">Insumo </t>
  </si>
  <si>
    <t>Aplicación de urea (3C3) - Información procesada</t>
  </si>
  <si>
    <t>Fermentación Entérica (3A1)</t>
  </si>
  <si>
    <r>
      <t xml:space="preserve">Peso vivo medio nacional </t>
    </r>
    <r>
      <rPr>
        <b/>
        <i/>
        <sz val="10"/>
        <color theme="1"/>
        <rFont val="Calibri"/>
        <family val="2"/>
        <scheme val="minor"/>
      </rPr>
      <t xml:space="preserve">(Peso </t>
    </r>
    <r>
      <rPr>
        <b/>
        <sz val="10"/>
        <color theme="1"/>
        <rFont val="Calibri"/>
        <family val="2"/>
        <scheme val="minor"/>
      </rPr>
      <t xml:space="preserve">o </t>
    </r>
    <r>
      <rPr>
        <b/>
        <i/>
        <sz val="10"/>
        <color theme="1"/>
        <rFont val="Calibri"/>
        <family val="2"/>
        <scheme val="minor"/>
      </rPr>
      <t>BW)</t>
    </r>
    <r>
      <rPr>
        <b/>
        <sz val="10"/>
        <color theme="1"/>
        <rFont val="Calibri"/>
        <family val="2"/>
        <scheme val="minor"/>
      </rPr>
      <t xml:space="preserve">
[Kg]</t>
    </r>
  </si>
  <si>
    <r>
      <t xml:space="preserve">Ganancia de peso medio nacional </t>
    </r>
    <r>
      <rPr>
        <b/>
        <i/>
        <sz val="10"/>
        <color theme="1"/>
        <rFont val="Calibri"/>
        <family val="2"/>
        <scheme val="minor"/>
      </rPr>
      <t xml:space="preserve">(WG)
</t>
    </r>
    <r>
      <rPr>
        <b/>
        <sz val="10"/>
        <color theme="1"/>
        <rFont val="Calibri"/>
        <family val="2"/>
        <scheme val="minor"/>
      </rPr>
      <t>[Kg/día]</t>
    </r>
  </si>
  <si>
    <t>Manejo del estiércol (3A2)</t>
  </si>
  <si>
    <r>
      <t>Temperatura promedio anual 
[</t>
    </r>
    <r>
      <rPr>
        <b/>
        <sz val="10"/>
        <rFont val="Calibri"/>
        <family val="2"/>
      </rPr>
      <t>°</t>
    </r>
    <r>
      <rPr>
        <b/>
        <sz val="10"/>
        <rFont val="Calibri"/>
        <family val="2"/>
        <scheme val="minor"/>
      </rPr>
      <t>C]</t>
    </r>
  </si>
  <si>
    <r>
      <t>(GgCO</t>
    </r>
    <r>
      <rPr>
        <b/>
        <vertAlign val="subscript"/>
        <sz val="9"/>
        <rFont val="Calibri"/>
        <family val="2"/>
        <scheme val="minor"/>
      </rPr>
      <t>2</t>
    </r>
    <r>
      <rPr>
        <sz val="9"/>
        <rFont val="Calibri"/>
        <family val="2"/>
        <scheme val="minor"/>
      </rPr>
      <t>)</t>
    </r>
  </si>
  <si>
    <t>Representatividad de la población de vacunos por categoría, sexo, edad y sector (%)</t>
  </si>
  <si>
    <t>INEI (s/f). IV Censo Nacional Agropecuario 2012.</t>
  </si>
  <si>
    <t xml:space="preserve">http://censos.inei.gob.pe/Cenagro/redatam/# </t>
  </si>
  <si>
    <t>Distribución de la población de aves por especie  (%)</t>
  </si>
  <si>
    <r>
      <t>Esta información proviene del dictamen de expertos recogido en el proceso de elaboración del RAGEI Agricultura 2016, y se emplea para estimar:
a) La población media anual de aves, en base al promedio ponderado de los tipos de aves y su periodo de vida. 
b) El peso vivo promedio de aves.</t>
    </r>
    <r>
      <rPr>
        <sz val="10"/>
        <color theme="1"/>
        <rFont val="Calibri"/>
        <family val="2"/>
        <scheme val="minor"/>
      </rPr>
      <t xml:space="preserve"> </t>
    </r>
    <r>
      <rPr>
        <i/>
        <sz val="10"/>
        <color theme="1"/>
        <rFont val="Calibri"/>
        <family val="2"/>
        <scheme val="minor"/>
      </rPr>
      <t xml:space="preserve"> </t>
    </r>
  </si>
  <si>
    <t>Sistemas de manejo de estiércol</t>
  </si>
  <si>
    <t>Periodo de vida de especies ganaderas que viven menos de 1 año (meses y días)</t>
  </si>
  <si>
    <t>% Población</t>
  </si>
  <si>
    <t>Representatividad 
[%]</t>
  </si>
  <si>
    <t>Participación porcentual de los Sistemas de Manejo de Estiércol, por especie (%)</t>
  </si>
  <si>
    <t>Proporción del área total de cada cultivo donde se quema biomasa (%)</t>
  </si>
  <si>
    <t>Porcentaje de quema de pastizales (%)</t>
  </si>
  <si>
    <r>
      <t>Emisiones directas (3C4) e indirectas (3C5) de N</t>
    </r>
    <r>
      <rPr>
        <b/>
        <vertAlign val="subscript"/>
        <sz val="12"/>
        <color theme="1"/>
        <rFont val="Calibri"/>
        <family val="2"/>
        <scheme val="minor"/>
      </rPr>
      <t>2</t>
    </r>
    <r>
      <rPr>
        <b/>
        <sz val="12"/>
        <color theme="1"/>
        <rFont val="Calibri"/>
        <family val="2"/>
        <scheme val="minor"/>
      </rPr>
      <t>O de suelos gestionados - Información procesada</t>
    </r>
  </si>
  <si>
    <t>Aportes de N a suelos gestionados</t>
  </si>
  <si>
    <t xml:space="preserve">Con esta información se estima el contenido de Nitrógeno que estaría siendo aplicado al suelo, por el uso de los fertilizantes nitrogenados de la Tabla 1. </t>
  </si>
  <si>
    <t>Concentración de Nitrógeno por tipo de fertilizante (%)</t>
  </si>
  <si>
    <t xml:space="preserve">FAO (2002). Los fertilizantes y su uso. </t>
  </si>
  <si>
    <t>http://www.fao.org/3/a-x4781s.pdf</t>
  </si>
  <si>
    <t>Concentración de N [%]</t>
  </si>
  <si>
    <t>Fermentación entérica (3A1), Manejo de estiércol (3A2) y Emisiones indirectas por manejo de estiércol (3C6) - Información procesada</t>
  </si>
  <si>
    <t>Población media anual del ganado</t>
  </si>
  <si>
    <t>Población media anual del ganado vacuno - caracterización mejorada</t>
  </si>
  <si>
    <t>Caracterización mejorada de vacunos</t>
  </si>
  <si>
    <t>Población anual [cabezas/año]</t>
  </si>
  <si>
    <t>Vacas</t>
  </si>
  <si>
    <t xml:space="preserve">Toros </t>
  </si>
  <si>
    <t>Bueyes</t>
  </si>
  <si>
    <t xml:space="preserve">Vaquillas </t>
  </si>
  <si>
    <t>Vaquillonas</t>
  </si>
  <si>
    <t xml:space="preserve">Toretes </t>
  </si>
  <si>
    <t>Terneros</t>
  </si>
  <si>
    <t xml:space="preserve">Recategorización clases CENAGRO </t>
  </si>
  <si>
    <t xml:space="preserve">Vaquillona lechera joven de reemplazo </t>
  </si>
  <si>
    <t xml:space="preserve">Vaquillona joven de reemplazo para carne </t>
  </si>
  <si>
    <t>Clases CENAGRO</t>
  </si>
  <si>
    <t>Otras razas no lecheras</t>
  </si>
  <si>
    <t>Razas Holstein + Brown Swiss</t>
  </si>
  <si>
    <t xml:space="preserve">Clases vaquillas y vaquillonas </t>
  </si>
  <si>
    <t>Población media anual [cabezas/año]</t>
  </si>
  <si>
    <t xml:space="preserve">Población media anual del ganado vacuno lechero y otro ganado vacuno </t>
  </si>
  <si>
    <t xml:space="preserve">Otro ganado vacuno </t>
  </si>
  <si>
    <t>Clasificación según temperatura promedio anual por región</t>
  </si>
  <si>
    <r>
      <t xml:space="preserve">La información proviene de la información desagregada por raza y tipo de ganado vacuno, que presenta el CENAGRO para el año 2012. Se han reconfigurado las categorias de CENAGRO para acondicionarlas a la caracterización mejorada del RAGEI. Esto incluye:
a) La separación de la categoría </t>
    </r>
    <r>
      <rPr>
        <i/>
        <sz val="10"/>
        <color theme="1"/>
        <rFont val="Calibri"/>
        <family val="2"/>
        <scheme val="minor"/>
      </rPr>
      <t>Vacas</t>
    </r>
    <r>
      <rPr>
        <sz val="10"/>
        <color theme="1"/>
        <rFont val="Calibri"/>
        <family val="2"/>
        <scheme val="minor"/>
      </rPr>
      <t xml:space="preserve">en </t>
    </r>
    <r>
      <rPr>
        <i/>
        <sz val="10"/>
        <color theme="1"/>
        <rFont val="Calibri"/>
        <family val="2"/>
        <scheme val="minor"/>
      </rPr>
      <t xml:space="preserve">Vacas adultas lecheras en producción </t>
    </r>
    <r>
      <rPr>
        <sz val="10"/>
        <color theme="1"/>
        <rFont val="Calibri"/>
        <family val="2"/>
        <scheme val="minor"/>
      </rPr>
      <t xml:space="preserve">y </t>
    </r>
    <r>
      <rPr>
        <i/>
        <sz val="10"/>
        <color theme="1"/>
        <rFont val="Calibri"/>
        <family val="2"/>
        <scheme val="minor"/>
      </rPr>
      <t xml:space="preserve">Vacas adultas para producción.
</t>
    </r>
    <r>
      <rPr>
        <sz val="10"/>
        <color theme="1"/>
        <rFont val="Calibri"/>
        <family val="2"/>
        <scheme val="minor"/>
      </rPr>
      <t xml:space="preserve">b) La unificación de las categorías </t>
    </r>
    <r>
      <rPr>
        <i/>
        <sz val="10"/>
        <color theme="1"/>
        <rFont val="Calibri"/>
        <family val="2"/>
        <scheme val="minor"/>
      </rPr>
      <t xml:space="preserve">Toros </t>
    </r>
    <r>
      <rPr>
        <sz val="10"/>
        <color theme="1"/>
        <rFont val="Calibri"/>
        <family val="2"/>
        <scheme val="minor"/>
      </rPr>
      <t xml:space="preserve">y </t>
    </r>
    <r>
      <rPr>
        <i/>
        <sz val="10"/>
        <color theme="1"/>
        <rFont val="Calibri"/>
        <family val="2"/>
        <scheme val="minor"/>
      </rPr>
      <t xml:space="preserve">Bueyes </t>
    </r>
    <r>
      <rPr>
        <sz val="10"/>
        <color theme="1"/>
        <rFont val="Calibri"/>
        <family val="2"/>
        <scheme val="minor"/>
      </rPr>
      <t xml:space="preserve">en </t>
    </r>
    <r>
      <rPr>
        <i/>
        <sz val="10"/>
        <color theme="1"/>
        <rFont val="Calibri"/>
        <family val="2"/>
        <scheme val="minor"/>
      </rPr>
      <t xml:space="preserve">Toros y bueyes.
</t>
    </r>
    <r>
      <rPr>
        <sz val="10"/>
        <color theme="1"/>
        <rFont val="Calibri"/>
        <family val="2"/>
        <scheme val="minor"/>
      </rPr>
      <t xml:space="preserve">c) La unificación de </t>
    </r>
    <r>
      <rPr>
        <i/>
        <sz val="10"/>
        <color theme="1"/>
        <rFont val="Calibri"/>
        <family val="2"/>
        <scheme val="minor"/>
      </rPr>
      <t>Vaquillas</t>
    </r>
    <r>
      <rPr>
        <sz val="10"/>
        <color theme="1"/>
        <rFont val="Calibri"/>
        <family val="2"/>
        <scheme val="minor"/>
      </rPr>
      <t xml:space="preserve"> y </t>
    </r>
    <r>
      <rPr>
        <i/>
        <sz val="10"/>
        <color theme="1"/>
        <rFont val="Calibri"/>
        <family val="2"/>
        <scheme val="minor"/>
      </rPr>
      <t>Vaquillonas</t>
    </r>
    <r>
      <rPr>
        <sz val="10"/>
        <color theme="1"/>
        <rFont val="Calibri"/>
        <family val="2"/>
        <scheme val="minor"/>
      </rPr>
      <t xml:space="preserve"> para su posterior desagregación por raza, en </t>
    </r>
    <r>
      <rPr>
        <i/>
        <sz val="10"/>
        <color theme="1"/>
        <rFont val="Calibri"/>
        <family val="2"/>
        <scheme val="minor"/>
      </rPr>
      <t xml:space="preserve">Vaquilla lechera joven de reemplazo </t>
    </r>
    <r>
      <rPr>
        <sz val="10"/>
        <color theme="1"/>
        <rFont val="Calibri"/>
        <family val="2"/>
        <scheme val="minor"/>
      </rPr>
      <t xml:space="preserve">(Holstein y Brown Swiss) y </t>
    </r>
    <r>
      <rPr>
        <i/>
        <sz val="10"/>
        <color theme="1"/>
        <rFont val="Calibri"/>
        <family val="2"/>
        <scheme val="minor"/>
      </rPr>
      <t>Vaquilla joven de reemplazo para carne</t>
    </r>
    <r>
      <rPr>
        <sz val="10"/>
        <color theme="1"/>
        <rFont val="Calibri"/>
        <family val="2"/>
        <scheme val="minor"/>
      </rPr>
      <t xml:space="preserve"> (otras razas). 
Luego, se estimaron los porcentajes de cada clase de interés, asumiendo que la distribución porcentual del 2012 es aplicable al año de evaluación. La determinación de estos porcentajes permiten desagregar la población del ganado vacuno de acuerdo a las subcategorías de la caracterización del ganado de Nivel 2.</t>
    </r>
  </si>
  <si>
    <t>Emisiones de Metano por Fermentación Entérica de vacunos (Nivel 2)</t>
  </si>
  <si>
    <t>Vacunos lecheros</t>
  </si>
  <si>
    <t xml:space="preserve">Cultivo de Arroz (3C7) - Información Procesada </t>
  </si>
  <si>
    <t>Subtotal Selva Alta</t>
  </si>
  <si>
    <t>Subtotal Selva Baja</t>
  </si>
  <si>
    <t>Subtotal Costa Norte</t>
  </si>
  <si>
    <t>Subtotal Costa Sur</t>
  </si>
  <si>
    <t>Superficie cosechada anual por departamento, agrupada según zona de cultivo</t>
  </si>
  <si>
    <t>Arroz (3C7)</t>
  </si>
  <si>
    <r>
      <t>Factor de emisión
 (kg CH</t>
    </r>
    <r>
      <rPr>
        <b/>
        <vertAlign val="subscript"/>
        <sz val="10"/>
        <rFont val="Calibri"/>
        <family val="2"/>
        <scheme val="minor"/>
      </rPr>
      <t>4</t>
    </r>
    <r>
      <rPr>
        <b/>
        <sz val="10"/>
        <rFont val="Calibri"/>
        <family val="2"/>
        <scheme val="minor"/>
      </rPr>
      <t xml:space="preserve"> ha</t>
    </r>
    <r>
      <rPr>
        <b/>
        <vertAlign val="superscript"/>
        <sz val="10"/>
        <rFont val="Calibri"/>
        <family val="2"/>
        <scheme val="minor"/>
      </rPr>
      <t>-1</t>
    </r>
    <r>
      <rPr>
        <b/>
        <sz val="10"/>
        <rFont val="Calibri"/>
        <family val="2"/>
        <scheme val="minor"/>
      </rPr>
      <t xml:space="preserve"> d</t>
    </r>
    <r>
      <rPr>
        <b/>
        <vertAlign val="superscript"/>
        <sz val="10"/>
        <rFont val="Calibri"/>
        <family val="2"/>
        <scheme val="minor"/>
      </rPr>
      <t>-1</t>
    </r>
    <r>
      <rPr>
        <b/>
        <sz val="10"/>
        <rFont val="Calibri"/>
        <family val="2"/>
        <scheme val="minor"/>
      </rPr>
      <t>)</t>
    </r>
  </si>
  <si>
    <t>Factores de emisión indirecta de N2O de suelos gestionados</t>
  </si>
  <si>
    <r>
      <t>Factores de emisión indirecta de N</t>
    </r>
    <r>
      <rPr>
        <b/>
        <vertAlign val="subscript"/>
        <sz val="10"/>
        <rFont val="Calibri"/>
        <family val="2"/>
        <scheme val="minor"/>
      </rPr>
      <t>2</t>
    </r>
    <r>
      <rPr>
        <b/>
        <sz val="10"/>
        <rFont val="Calibri"/>
        <family val="2"/>
        <scheme val="minor"/>
      </rPr>
      <t>O de suelos manejados</t>
    </r>
  </si>
  <si>
    <t>Departamentos no productores de arroz</t>
  </si>
  <si>
    <r>
      <t xml:space="preserve">Emisión de metano </t>
    </r>
    <r>
      <rPr>
        <b/>
        <i/>
        <sz val="10"/>
        <rFont val="Calibri"/>
        <family val="2"/>
        <scheme val="minor"/>
      </rPr>
      <t>(EF</t>
    </r>
    <r>
      <rPr>
        <b/>
        <i/>
        <vertAlign val="subscript"/>
        <sz val="10"/>
        <rFont val="Calibri"/>
        <family val="2"/>
        <scheme val="minor"/>
      </rPr>
      <t>(T)</t>
    </r>
    <r>
      <rPr>
        <b/>
        <i/>
        <sz val="10"/>
        <rFont val="Calibri"/>
        <family val="2"/>
        <scheme val="minor"/>
      </rPr>
      <t>)</t>
    </r>
    <r>
      <rPr>
        <b/>
        <sz val="10"/>
        <rFont val="Calibri"/>
        <family val="2"/>
        <scheme val="minor"/>
      </rPr>
      <t xml:space="preserve"> 
[Kg de CH</t>
    </r>
    <r>
      <rPr>
        <b/>
        <vertAlign val="subscript"/>
        <sz val="10"/>
        <rFont val="Calibri"/>
        <family val="2"/>
        <scheme val="minor"/>
      </rPr>
      <t>4</t>
    </r>
    <r>
      <rPr>
        <b/>
        <sz val="10"/>
        <rFont val="Calibri"/>
        <family val="2"/>
        <scheme val="minor"/>
      </rPr>
      <t>/cabeza/año]</t>
    </r>
  </si>
  <si>
    <t>Cálculo de los factores de emisión de metano procedente de la fermentación entérica de vacunos - Nivel 2</t>
  </si>
  <si>
    <r>
      <t xml:space="preserve">Energía neta para mantenimiento </t>
    </r>
    <r>
      <rPr>
        <b/>
        <i/>
        <sz val="10"/>
        <rFont val="Calibri"/>
        <family val="2"/>
        <scheme val="minor"/>
      </rPr>
      <t>(NE</t>
    </r>
    <r>
      <rPr>
        <b/>
        <i/>
        <vertAlign val="subscript"/>
        <sz val="10"/>
        <rFont val="Calibri"/>
        <family val="2"/>
        <scheme val="minor"/>
      </rPr>
      <t>m</t>
    </r>
    <r>
      <rPr>
        <b/>
        <i/>
        <sz val="10"/>
        <rFont val="Calibri"/>
        <family val="2"/>
        <scheme val="minor"/>
      </rPr>
      <t xml:space="preserve">)
</t>
    </r>
    <r>
      <rPr>
        <b/>
        <sz val="10"/>
        <rFont val="Calibri"/>
        <family val="2"/>
        <scheme val="minor"/>
      </rPr>
      <t>[MJ/día]</t>
    </r>
  </si>
  <si>
    <r>
      <t xml:space="preserve">Energía neta para actividad </t>
    </r>
    <r>
      <rPr>
        <b/>
        <i/>
        <sz val="10"/>
        <rFont val="Calibri"/>
        <family val="2"/>
        <scheme val="minor"/>
      </rPr>
      <t>(NE</t>
    </r>
    <r>
      <rPr>
        <b/>
        <i/>
        <vertAlign val="subscript"/>
        <sz val="10"/>
        <rFont val="Calibri"/>
        <family val="2"/>
        <scheme val="minor"/>
      </rPr>
      <t>a</t>
    </r>
    <r>
      <rPr>
        <b/>
        <i/>
        <sz val="10"/>
        <rFont val="Calibri"/>
        <family val="2"/>
        <scheme val="minor"/>
      </rPr>
      <t xml:space="preserve">)
</t>
    </r>
    <r>
      <rPr>
        <b/>
        <sz val="10"/>
        <rFont val="Calibri"/>
        <family val="2"/>
        <scheme val="minor"/>
      </rPr>
      <t>[MJ/día]</t>
    </r>
  </si>
  <si>
    <r>
      <t xml:space="preserve">Energía neta para crecimiento </t>
    </r>
    <r>
      <rPr>
        <b/>
        <i/>
        <sz val="10"/>
        <rFont val="Calibri"/>
        <family val="2"/>
        <scheme val="minor"/>
      </rPr>
      <t>(NE</t>
    </r>
    <r>
      <rPr>
        <b/>
        <i/>
        <vertAlign val="subscript"/>
        <sz val="10"/>
        <rFont val="Calibri"/>
        <family val="2"/>
        <scheme val="minor"/>
      </rPr>
      <t>g</t>
    </r>
    <r>
      <rPr>
        <b/>
        <i/>
        <sz val="10"/>
        <rFont val="Calibri"/>
        <family val="2"/>
        <scheme val="minor"/>
      </rPr>
      <t xml:space="preserve">)
</t>
    </r>
    <r>
      <rPr>
        <b/>
        <sz val="10"/>
        <rFont val="Calibri"/>
        <family val="2"/>
        <scheme val="minor"/>
      </rPr>
      <t>[MJ/día]</t>
    </r>
  </si>
  <si>
    <r>
      <t xml:space="preserve">Energía neta para lactancia </t>
    </r>
    <r>
      <rPr>
        <b/>
        <i/>
        <sz val="10"/>
        <rFont val="Calibri"/>
        <family val="2"/>
        <scheme val="minor"/>
      </rPr>
      <t>(NE</t>
    </r>
    <r>
      <rPr>
        <b/>
        <i/>
        <vertAlign val="subscript"/>
        <sz val="10"/>
        <rFont val="Calibri"/>
        <family val="2"/>
        <scheme val="minor"/>
      </rPr>
      <t>l</t>
    </r>
    <r>
      <rPr>
        <b/>
        <i/>
        <sz val="10"/>
        <rFont val="Calibri"/>
        <family val="2"/>
        <scheme val="minor"/>
      </rPr>
      <t xml:space="preserve">)
</t>
    </r>
    <r>
      <rPr>
        <b/>
        <sz val="10"/>
        <rFont val="Calibri"/>
        <family val="2"/>
        <scheme val="minor"/>
      </rPr>
      <t>[MJ/día]</t>
    </r>
  </si>
  <si>
    <r>
      <t xml:space="preserve">Energía neta para el trabajo </t>
    </r>
    <r>
      <rPr>
        <b/>
        <i/>
        <sz val="10"/>
        <rFont val="Calibri"/>
        <family val="2"/>
        <scheme val="minor"/>
      </rPr>
      <t>(NE</t>
    </r>
    <r>
      <rPr>
        <b/>
        <i/>
        <vertAlign val="subscript"/>
        <sz val="10"/>
        <rFont val="Calibri"/>
        <family val="2"/>
        <scheme val="minor"/>
      </rPr>
      <t>trabajo</t>
    </r>
    <r>
      <rPr>
        <b/>
        <i/>
        <sz val="10"/>
        <rFont val="Calibri"/>
        <family val="2"/>
        <scheme val="minor"/>
      </rPr>
      <t xml:space="preserve">)
</t>
    </r>
    <r>
      <rPr>
        <b/>
        <sz val="10"/>
        <rFont val="Calibri"/>
        <family val="2"/>
        <scheme val="minor"/>
      </rPr>
      <t>[MJ/día]</t>
    </r>
  </si>
  <si>
    <r>
      <t xml:space="preserve">Energía neta para la preñez </t>
    </r>
    <r>
      <rPr>
        <b/>
        <i/>
        <sz val="10"/>
        <rFont val="Calibri"/>
        <family val="2"/>
        <scheme val="minor"/>
      </rPr>
      <t>(NE</t>
    </r>
    <r>
      <rPr>
        <b/>
        <i/>
        <vertAlign val="subscript"/>
        <sz val="10"/>
        <rFont val="Calibri"/>
        <family val="2"/>
        <scheme val="minor"/>
      </rPr>
      <t>p</t>
    </r>
    <r>
      <rPr>
        <b/>
        <i/>
        <sz val="10"/>
        <rFont val="Calibri"/>
        <family val="2"/>
        <scheme val="minor"/>
      </rPr>
      <t xml:space="preserve">)
</t>
    </r>
    <r>
      <rPr>
        <b/>
        <sz val="10"/>
        <rFont val="Calibri"/>
        <family val="2"/>
        <scheme val="minor"/>
      </rPr>
      <t>[MJ/día]</t>
    </r>
  </si>
  <si>
    <r>
      <t xml:space="preserve">Relación entre la energía disponible en una dieta para mantenimiento y la energía digerible consumida </t>
    </r>
    <r>
      <rPr>
        <b/>
        <i/>
        <sz val="9.8"/>
        <rFont val="Calibri"/>
        <family val="2"/>
        <scheme val="minor"/>
      </rPr>
      <t>(REM)</t>
    </r>
    <r>
      <rPr>
        <b/>
        <sz val="9.8"/>
        <rFont val="Calibri"/>
        <family val="2"/>
        <scheme val="minor"/>
      </rPr>
      <t xml:space="preserve"> </t>
    </r>
  </si>
  <si>
    <r>
      <t xml:space="preserve">Relación entre la energía disponible en una dieta para crecimiento y la energía digerible consumida </t>
    </r>
    <r>
      <rPr>
        <b/>
        <i/>
        <sz val="9.8"/>
        <rFont val="Calibri"/>
        <family val="2"/>
        <scheme val="minor"/>
      </rPr>
      <t>(REG)</t>
    </r>
    <r>
      <rPr>
        <b/>
        <sz val="9.8"/>
        <rFont val="Calibri"/>
        <family val="2"/>
        <scheme val="minor"/>
      </rPr>
      <t xml:space="preserve"> </t>
    </r>
  </si>
  <si>
    <r>
      <t xml:space="preserve">Energía bruta para vacunos </t>
    </r>
    <r>
      <rPr>
        <b/>
        <i/>
        <sz val="10"/>
        <rFont val="Calibri"/>
        <family val="2"/>
        <scheme val="minor"/>
      </rPr>
      <t>(GE)</t>
    </r>
    <r>
      <rPr>
        <b/>
        <sz val="10"/>
        <rFont val="Calibri"/>
        <family val="2"/>
        <scheme val="minor"/>
      </rPr>
      <t xml:space="preserve">
[MJ/día]</t>
    </r>
  </si>
  <si>
    <r>
      <t xml:space="preserve">Ingesta de materia seca para vacunos </t>
    </r>
    <r>
      <rPr>
        <b/>
        <i/>
        <sz val="10"/>
        <rFont val="Calibri"/>
        <family val="2"/>
        <scheme val="minor"/>
      </rPr>
      <t xml:space="preserve">(DMI)
</t>
    </r>
    <r>
      <rPr>
        <b/>
        <sz val="10"/>
        <rFont val="Calibri"/>
        <family val="2"/>
        <scheme val="minor"/>
      </rPr>
      <t>[kg/día]</t>
    </r>
  </si>
  <si>
    <r>
      <t xml:space="preserve">Concentración de energía neta diaria </t>
    </r>
    <r>
      <rPr>
        <b/>
        <i/>
        <sz val="10"/>
        <rFont val="Calibri"/>
        <family val="2"/>
        <scheme val="minor"/>
      </rPr>
      <t>(NE</t>
    </r>
    <r>
      <rPr>
        <b/>
        <i/>
        <vertAlign val="subscript"/>
        <sz val="10"/>
        <rFont val="Calibri"/>
        <family val="2"/>
        <scheme val="minor"/>
      </rPr>
      <t>ma</t>
    </r>
    <r>
      <rPr>
        <b/>
        <i/>
        <sz val="10"/>
        <rFont val="Calibri"/>
        <family val="2"/>
        <scheme val="minor"/>
      </rPr>
      <t xml:space="preserve">)
</t>
    </r>
    <r>
      <rPr>
        <b/>
        <sz val="10"/>
        <rFont val="Calibri"/>
        <family val="2"/>
        <scheme val="minor"/>
      </rPr>
      <t>[MJ/kg]</t>
    </r>
  </si>
  <si>
    <r>
      <t>Factor de emisión de CH</t>
    </r>
    <r>
      <rPr>
        <b/>
        <vertAlign val="subscript"/>
        <sz val="10"/>
        <rFont val="Calibri"/>
        <family val="2"/>
        <scheme val="minor"/>
      </rPr>
      <t>4</t>
    </r>
    <r>
      <rPr>
        <b/>
        <sz val="10"/>
        <rFont val="Calibri"/>
        <family val="2"/>
        <scheme val="minor"/>
      </rPr>
      <t xml:space="preserve"> por fermentación entérica de vacunos </t>
    </r>
    <r>
      <rPr>
        <b/>
        <i/>
        <sz val="10"/>
        <rFont val="Calibri"/>
        <family val="2"/>
        <scheme val="minor"/>
      </rPr>
      <t>(EF)</t>
    </r>
    <r>
      <rPr>
        <b/>
        <sz val="10"/>
        <rFont val="Calibri"/>
        <family val="2"/>
        <scheme val="minor"/>
      </rPr>
      <t xml:space="preserve">
[kg CH</t>
    </r>
    <r>
      <rPr>
        <b/>
        <vertAlign val="subscript"/>
        <sz val="10"/>
        <rFont val="Calibri"/>
        <family val="2"/>
        <scheme val="minor"/>
      </rPr>
      <t>4</t>
    </r>
    <r>
      <rPr>
        <b/>
        <sz val="10"/>
        <rFont val="Calibri"/>
        <family val="2"/>
        <scheme val="minor"/>
      </rPr>
      <t>/cabeza/mes]</t>
    </r>
  </si>
  <si>
    <t>Peso y digestibilidad de vacunos</t>
  </si>
  <si>
    <r>
      <t xml:space="preserve">Digestibilidad media de la dieta </t>
    </r>
    <r>
      <rPr>
        <b/>
        <i/>
        <sz val="10"/>
        <color theme="1"/>
        <rFont val="Calibri"/>
        <family val="2"/>
        <scheme val="minor"/>
      </rPr>
      <t>(DE%)</t>
    </r>
  </si>
  <si>
    <t>MIDAGRI (2020). Dictamen de expertos.</t>
  </si>
  <si>
    <t>Producción Anual de cultivos (t)</t>
  </si>
  <si>
    <t xml:space="preserve">Ganado </t>
  </si>
  <si>
    <t xml:space="preserve">Suelos </t>
  </si>
  <si>
    <t xml:space="preserve">Coeficientes </t>
  </si>
  <si>
    <r>
      <t>Directrices del IPCC de 2006: Las emisiones de N</t>
    </r>
    <r>
      <rPr>
        <vertAlign val="subscript"/>
        <sz val="10"/>
        <color theme="1"/>
        <rFont val="Calibri"/>
        <family val="2"/>
        <scheme val="minor"/>
      </rPr>
      <t>2</t>
    </r>
    <r>
      <rPr>
        <sz val="10"/>
        <color theme="1"/>
        <rFont val="Calibri"/>
        <family val="2"/>
        <scheme val="minor"/>
      </rPr>
      <t>O generadas por el estiércol en el sistema «pastura, prados y praderas» se producen directa e indirectamente desde el suelo y, por lo tanto, se declaran bajo la categoría «Emisiones de N</t>
    </r>
    <r>
      <rPr>
        <vertAlign val="subscript"/>
        <sz val="10"/>
        <color theme="1"/>
        <rFont val="Calibri"/>
        <family val="2"/>
        <scheme val="minor"/>
      </rPr>
      <t>2</t>
    </r>
    <r>
      <rPr>
        <sz val="10"/>
        <color theme="1"/>
        <rFont val="Calibri"/>
        <family val="2"/>
        <scheme val="minor"/>
      </rPr>
      <t>O de suelos gestionados». Las emisiones relacionadas con la quema de estiércol como combustible se declaran bajo «Quema de combustible», o bajo «Combustión de desechos» si se queman sin recuperación de energía.</t>
    </r>
  </si>
  <si>
    <t>Directrices del IPCC de 2006: Factores de emisión para distribución diaria de valor cero</t>
  </si>
  <si>
    <r>
      <t>∆CMinerales, LU (t C año</t>
    </r>
    <r>
      <rPr>
        <b/>
        <vertAlign val="superscript"/>
        <sz val="10"/>
        <rFont val="Calibri"/>
        <family val="2"/>
        <scheme val="minor"/>
      </rPr>
      <t>-1</t>
    </r>
    <r>
      <rPr>
        <b/>
        <sz val="10"/>
        <rFont val="Calibri"/>
        <family val="2"/>
        <scheme val="minor"/>
      </rPr>
      <t>)</t>
    </r>
  </si>
  <si>
    <r>
      <t>Factores de emisión de CH</t>
    </r>
    <r>
      <rPr>
        <b/>
        <vertAlign val="subscript"/>
        <sz val="10"/>
        <rFont val="Calibri"/>
        <family val="2"/>
        <scheme val="minor"/>
      </rPr>
      <t>4</t>
    </r>
    <r>
      <rPr>
        <b/>
        <sz val="10"/>
        <rFont val="Calibri"/>
        <family val="2"/>
        <scheme val="minor"/>
      </rPr>
      <t xml:space="preserve"> por manejo del estiércol por temperatura</t>
    </r>
  </si>
  <si>
    <r>
      <t>Tasa de Excreción de Nitrógeno por defecto [(1000 kg animal)</t>
    </r>
    <r>
      <rPr>
        <b/>
        <vertAlign val="superscript"/>
        <sz val="10"/>
        <color theme="1"/>
        <rFont val="Calibri"/>
        <family val="2"/>
        <scheme val="minor"/>
      </rPr>
      <t>-1</t>
    </r>
    <r>
      <rPr>
        <b/>
        <sz val="10"/>
        <color theme="1"/>
        <rFont val="Calibri"/>
        <family val="2"/>
        <scheme val="minor"/>
      </rPr>
      <t xml:space="preserve"> día-</t>
    </r>
    <r>
      <rPr>
        <b/>
        <vertAlign val="superscript"/>
        <sz val="10"/>
        <color theme="1"/>
        <rFont val="Calibri"/>
        <family val="2"/>
        <scheme val="minor"/>
      </rPr>
      <t>1</t>
    </r>
    <r>
      <rPr>
        <b/>
        <sz val="10"/>
        <color theme="1"/>
        <rFont val="Calibri"/>
        <family val="2"/>
        <scheme val="minor"/>
      </rPr>
      <t>]</t>
    </r>
  </si>
  <si>
    <r>
      <t>Factores de emisión (g kg</t>
    </r>
    <r>
      <rPr>
        <b/>
        <vertAlign val="superscript"/>
        <sz val="10"/>
        <rFont val="Calibri"/>
        <family val="2"/>
        <scheme val="minor"/>
      </rPr>
      <t>-1</t>
    </r>
    <r>
      <rPr>
        <b/>
        <sz val="10"/>
        <rFont val="Calibri"/>
        <family val="2"/>
        <scheme val="minor"/>
      </rPr>
      <t xml:space="preserve"> de materia seca quemada) para distintos tipos de quemado</t>
    </r>
  </si>
  <si>
    <r>
      <t>Sabana y pastizales
(kg dm burnt)</t>
    </r>
    <r>
      <rPr>
        <b/>
        <vertAlign val="superscript"/>
        <sz val="10"/>
        <rFont val="Calibri"/>
        <family val="2"/>
        <scheme val="minor"/>
      </rPr>
      <t>-1</t>
    </r>
  </si>
  <si>
    <r>
      <t>Residuos de Agricultura
(kg dm burnt)</t>
    </r>
    <r>
      <rPr>
        <b/>
        <vertAlign val="superscript"/>
        <sz val="10"/>
        <rFont val="Calibri"/>
        <family val="2"/>
        <scheme val="minor"/>
      </rPr>
      <t>-1</t>
    </r>
  </si>
  <si>
    <t>Quema de biomasa  (3C1)</t>
  </si>
  <si>
    <t>Directrices del IPCC de 2006 - Planillas de Cálculo C1</t>
  </si>
  <si>
    <t>Encalado (3C2)</t>
  </si>
  <si>
    <r>
      <t>Encalado
t de C (t de insumo)</t>
    </r>
    <r>
      <rPr>
        <b/>
        <vertAlign val="superscript"/>
        <sz val="10"/>
        <rFont val="Calibri"/>
        <family val="2"/>
        <scheme val="minor"/>
      </rPr>
      <t>-1</t>
    </r>
  </si>
  <si>
    <r>
      <t>Aplicación de Urea
t de C (t de insumo)</t>
    </r>
    <r>
      <rPr>
        <b/>
        <vertAlign val="superscript"/>
        <sz val="10"/>
        <rFont val="Calibri"/>
        <family val="2"/>
        <scheme val="minor"/>
      </rPr>
      <t>-1</t>
    </r>
  </si>
  <si>
    <r>
      <t>Superficie cosechada
(m</t>
    </r>
    <r>
      <rPr>
        <b/>
        <vertAlign val="superscript"/>
        <sz val="10"/>
        <rFont val="Calibri"/>
        <family val="2"/>
        <scheme val="minor"/>
      </rPr>
      <t>2</t>
    </r>
    <r>
      <rPr>
        <b/>
        <sz val="10"/>
        <rFont val="Calibri"/>
        <family val="2"/>
        <scheme val="minor"/>
      </rPr>
      <t xml:space="preserve"> x10</t>
    </r>
    <r>
      <rPr>
        <b/>
        <vertAlign val="superscript"/>
        <sz val="10"/>
        <rFont val="Calibri"/>
        <family val="2"/>
        <scheme val="minor"/>
      </rPr>
      <t>-9</t>
    </r>
    <r>
      <rPr>
        <b/>
        <sz val="10"/>
        <rFont val="Calibri"/>
        <family val="2"/>
        <scheme val="minor"/>
      </rPr>
      <t>)</t>
    </r>
  </si>
  <si>
    <t>Periodo de cultivo de arroz según zona de producción (días)</t>
  </si>
  <si>
    <t>Zona de producción</t>
  </si>
  <si>
    <t>Periodo de cultivo [dias]</t>
  </si>
  <si>
    <t>Participación de los sistemas de riego del arroz según zona de producción  (%)</t>
  </si>
  <si>
    <t>Participación (%)</t>
  </si>
  <si>
    <t xml:space="preserve">Tipo de riego </t>
  </si>
  <si>
    <t xml:space="preserve">Periodo de cultivo nacional </t>
  </si>
  <si>
    <t xml:space="preserve">Días </t>
  </si>
  <si>
    <t>Periodo de cultivo</t>
  </si>
  <si>
    <t xml:space="preserve">Nacional </t>
  </si>
  <si>
    <t>Representatividad (%)</t>
  </si>
  <si>
    <t>Emisiones indirectas de N2O por manejo de estiercol (3C6)</t>
  </si>
  <si>
    <r>
      <t>kg N</t>
    </r>
    <r>
      <rPr>
        <b/>
        <vertAlign val="subscript"/>
        <sz val="10"/>
        <rFont val="Calibri"/>
        <family val="2"/>
        <scheme val="minor"/>
      </rPr>
      <t>2</t>
    </r>
    <r>
      <rPr>
        <b/>
        <sz val="10"/>
        <rFont val="Calibri"/>
        <family val="2"/>
        <scheme val="minor"/>
      </rPr>
      <t>O–N (kg NH</t>
    </r>
    <r>
      <rPr>
        <b/>
        <vertAlign val="subscript"/>
        <sz val="10"/>
        <rFont val="Calibri"/>
        <family val="2"/>
        <scheme val="minor"/>
      </rPr>
      <t>3</t>
    </r>
    <r>
      <rPr>
        <b/>
        <sz val="10"/>
        <rFont val="Calibri"/>
        <family val="2"/>
        <scheme val="minor"/>
      </rPr>
      <t>–N + NOX–N volatilizado)</t>
    </r>
    <r>
      <rPr>
        <b/>
        <vertAlign val="superscript"/>
        <sz val="10"/>
        <rFont val="Calibri"/>
        <family val="2"/>
        <scheme val="minor"/>
      </rPr>
      <t>-1</t>
    </r>
  </si>
  <si>
    <r>
      <t>Factores de emisión directa de N</t>
    </r>
    <r>
      <rPr>
        <b/>
        <vertAlign val="subscript"/>
        <sz val="10"/>
        <rFont val="Calibri"/>
        <family val="2"/>
        <scheme val="minor"/>
      </rPr>
      <t>2</t>
    </r>
    <r>
      <rPr>
        <b/>
        <sz val="10"/>
        <rFont val="Calibri"/>
        <family val="2"/>
        <scheme val="minor"/>
      </rPr>
      <t>O de suelos manejados</t>
    </r>
  </si>
  <si>
    <r>
      <t>Emisión directa de N</t>
    </r>
    <r>
      <rPr>
        <b/>
        <vertAlign val="subscript"/>
        <sz val="10"/>
        <rFont val="Calibri"/>
        <family val="2"/>
        <scheme val="minor"/>
      </rPr>
      <t>2</t>
    </r>
    <r>
      <rPr>
        <b/>
        <sz val="10"/>
        <rFont val="Calibri"/>
        <family val="2"/>
        <scheme val="minor"/>
      </rPr>
      <t>O de suelos manejados 
[kg N</t>
    </r>
    <r>
      <rPr>
        <b/>
        <vertAlign val="subscript"/>
        <sz val="10"/>
        <rFont val="Calibri"/>
        <family val="2"/>
        <scheme val="minor"/>
      </rPr>
      <t>2</t>
    </r>
    <r>
      <rPr>
        <b/>
        <sz val="10"/>
        <rFont val="Calibri"/>
        <family val="2"/>
        <scheme val="minor"/>
      </rPr>
      <t>O–N (kg N)</t>
    </r>
    <r>
      <rPr>
        <b/>
        <vertAlign val="superscript"/>
        <sz val="10"/>
        <rFont val="Calibri"/>
        <family val="2"/>
        <scheme val="minor"/>
      </rPr>
      <t>-1</t>
    </r>
    <r>
      <rPr>
        <b/>
        <sz val="10"/>
        <rFont val="Calibri"/>
        <family val="2"/>
        <scheme val="minor"/>
      </rPr>
      <t>]</t>
    </r>
  </si>
  <si>
    <r>
      <t>Factores de emisión directa de N</t>
    </r>
    <r>
      <rPr>
        <b/>
        <vertAlign val="subscript"/>
        <sz val="10"/>
        <rFont val="Calibri"/>
        <family val="2"/>
        <scheme val="minor"/>
      </rPr>
      <t>2</t>
    </r>
    <r>
      <rPr>
        <b/>
        <sz val="10"/>
        <rFont val="Calibri"/>
        <family val="2"/>
        <scheme val="minor"/>
      </rPr>
      <t>O de suelos gestionados</t>
    </r>
  </si>
  <si>
    <t>Factores por defecto para la estimación del N agregado a los suelos a partir de Residuos Agrícolas  (variables para el cálculo de los datos de actividad en 3C4_3C5 InfoProc)</t>
  </si>
  <si>
    <r>
      <t>∆CMinerales, LU
 (t C año</t>
    </r>
    <r>
      <rPr>
        <b/>
        <vertAlign val="superscript"/>
        <sz val="10"/>
        <rFont val="Calibri"/>
        <family val="2"/>
        <scheme val="minor"/>
      </rPr>
      <t>-1</t>
    </r>
    <r>
      <rPr>
        <b/>
        <sz val="10"/>
        <rFont val="Calibri"/>
        <family val="2"/>
        <scheme val="minor"/>
      </rPr>
      <t>)</t>
    </r>
  </si>
  <si>
    <t>Descargar archivo pdf y buscar la página 11, cuadro 5, el valor de importación de fertilizantes químicos químicos</t>
  </si>
  <si>
    <t>: Panel Intergubernamental sobre Cambio Climático</t>
  </si>
  <si>
    <t>Estadisticas agrarias anuales generadas por el Ministerio de Desarrollo Agrario y Riego. 
Los datos de población de animales vivos por región, se usa para los cálculos de las emisiones de GEI provenientes de la fermentación entérica y el manejo del estiércol.
En el Perú y a través del MINAGRI no se genera periódicamente información nacional de estos tipos de ganado: caballos, mulas, asnos y cuyes. Se ha tomado como referencia un estudio de estimación de la población en base a una proyección lineal de la población reportada en los censos agropecuarios disponibles.</t>
  </si>
  <si>
    <t xml:space="preserve">Los cultivos de caña de azúcar, arroz y algodón son los únicos se queman como práctica agronómica.
</t>
  </si>
  <si>
    <t>MIDAGRI (2021). Dictamen de expertos para el RAGEI 2018.</t>
  </si>
  <si>
    <t>El porcentaje de quema proviene de la opinión de expertos colectado para el RAGEI Agricultura 2018. Este valor es aplicable a las tierras de pastizales que permanecen como tales.</t>
  </si>
  <si>
    <t>Poblacion CENAGRO 2012 (cabezas)</t>
  </si>
  <si>
    <t>Unidades</t>
  </si>
  <si>
    <t xml:space="preserve">Cultivos anuales </t>
  </si>
  <si>
    <r>
      <t>Fuentes agregadas y fuentes de emisión no-CO</t>
    </r>
    <r>
      <rPr>
        <b/>
        <vertAlign val="subscript"/>
        <sz val="10"/>
        <color rgb="FF2F5597"/>
        <rFont val="Calibri"/>
        <family val="2"/>
      </rPr>
      <t>2</t>
    </r>
    <r>
      <rPr>
        <b/>
        <sz val="10"/>
        <color rgb="FF2F5597"/>
        <rFont val="Calibri"/>
        <family val="2"/>
      </rPr>
      <t xml:space="preserve"> en la tierra</t>
    </r>
  </si>
  <si>
    <t xml:space="preserve">Código de categorías </t>
  </si>
  <si>
    <t>Ecuación 5.1</t>
  </si>
  <si>
    <t>Factor de ajuste para compensar las diferencias del régimen hídrico durante la temporada previa al cultivo</t>
  </si>
  <si>
    <t>Ec. 10.19 y 10.20</t>
  </si>
  <si>
    <t>NE: NO ESTIMADO POR FALTA DE DATOS DE ACTIVIDAD
NO: NO OCURRE</t>
  </si>
  <si>
    <t xml:space="preserve">Proyección realizada por MINAM, para estimar superficies de permanencia y conversión del uso, para todas las categorías de uso de la tierra, en base a datos espaciales. No se cuenta con información actualizada para el año 2018, para propósitos del calculo, se utilizará informacion del RAGEI 2016
</t>
  </si>
  <si>
    <t xml:space="preserve">Proyección realizada por MINAM, para estimar superficies de permanencia y conversión del uso, para todas las categorías de uso de la tierra, en base a datos espaciales.No se cuenta con información actualizada para el año 2018. Para propósitos del calculo, se utilizará informacion del año 2016
</t>
  </si>
  <si>
    <t>Fuente: IPCC, 2013.  Climate Change 2013: The Physical Science Basis. Contribution of Working Group I to the Fifth Assessment Report of the Intergovernmental Panel on Climate Change. Disponible en: https://www.ipcc.ch/report/ar5/wg1/</t>
  </si>
  <si>
    <t>Alvarado V.; Medrano J.; Haro J.; Castro J.; Dickhoefer U.; Gómez, C. 2021.  Enteric methane emissions from lactating dairy cows grazing cultivated and native pastures in the high Andes of Peru. Livestock Science. Volume 243, January 2021. https://www.sciencedirect.com/science/article/abs/pii/S1871141320319910</t>
  </si>
  <si>
    <t xml:space="preserve">Solo se proporcionan valores de producción para los cultivos que no tienen un valor por defecto de la masa de combustible disponible para combustión: algodón. Se agruparon los cultivos anuales en una sola fila 
</t>
  </si>
  <si>
    <r>
      <t>Fuentes agregadas y fuentes de emisión no-CO</t>
    </r>
    <r>
      <rPr>
        <b/>
        <vertAlign val="subscript"/>
        <sz val="10"/>
        <color rgb="FF2F5597"/>
        <rFont val="Calibri"/>
        <family val="2"/>
        <scheme val="minor"/>
      </rPr>
      <t>2</t>
    </r>
    <r>
      <rPr>
        <b/>
        <sz val="10"/>
        <color rgb="FF2F5597"/>
        <rFont val="Calibri"/>
        <family val="2"/>
        <scheme val="minor"/>
      </rPr>
      <t xml:space="preserve"> en la tierra</t>
    </r>
  </si>
  <si>
    <t xml:space="preserve">Código </t>
  </si>
  <si>
    <t xml:space="preserve">Gráficos </t>
  </si>
  <si>
    <r>
      <t>Dióxido de Carbono
[GgCO</t>
    </r>
    <r>
      <rPr>
        <b/>
        <vertAlign val="subscript"/>
        <sz val="10"/>
        <rFont val="Calibri"/>
        <family val="2"/>
      </rPr>
      <t>2</t>
    </r>
    <r>
      <rPr>
        <b/>
        <sz val="10"/>
        <rFont val="Calibri"/>
        <family val="2"/>
      </rPr>
      <t xml:space="preserve">] </t>
    </r>
  </si>
  <si>
    <r>
      <t>Metano
[GgCH</t>
    </r>
    <r>
      <rPr>
        <b/>
        <vertAlign val="subscript"/>
        <sz val="10"/>
        <rFont val="Calibri"/>
        <family val="2"/>
      </rPr>
      <t>4</t>
    </r>
    <r>
      <rPr>
        <b/>
        <sz val="10"/>
        <rFont val="Calibri"/>
        <family val="2"/>
      </rPr>
      <t>]</t>
    </r>
  </si>
  <si>
    <r>
      <t>Óxido nitroso
[GgN</t>
    </r>
    <r>
      <rPr>
        <b/>
        <vertAlign val="subscript"/>
        <sz val="10"/>
        <rFont val="Calibri"/>
        <family val="2"/>
      </rPr>
      <t>2</t>
    </r>
    <r>
      <rPr>
        <b/>
        <sz val="10"/>
        <rFont val="Calibri"/>
        <family val="2"/>
      </rPr>
      <t>O]</t>
    </r>
  </si>
  <si>
    <r>
      <t>Emisiones de GEI
[GgCO</t>
    </r>
    <r>
      <rPr>
        <b/>
        <vertAlign val="subscript"/>
        <sz val="10"/>
        <color rgb="FF000000"/>
        <rFont val="Calibri"/>
        <family val="2"/>
      </rPr>
      <t>2</t>
    </r>
    <r>
      <rPr>
        <b/>
        <sz val="10"/>
        <color rgb="FF000000"/>
        <rFont val="Calibri"/>
        <family val="2"/>
      </rPr>
      <t>eq]</t>
    </r>
  </si>
  <si>
    <t>Instituto Nacional de Estadistica e Informatica (sf) - Perú: Anuario de Estadísticas Ambientales 2021.</t>
  </si>
  <si>
    <t>https://www.inei.gob.pe/media/MenuRecursivo/publicaciones_digitales/Est/Lib1827/libro.pdf</t>
  </si>
  <si>
    <t>08.03.2022</t>
  </si>
  <si>
    <r>
      <t>Cultivo de Arroz: Emsiones anuales de CH</t>
    </r>
    <r>
      <rPr>
        <b/>
        <vertAlign val="subscript"/>
        <sz val="11"/>
        <rFont val="Calibri"/>
        <family val="2"/>
        <scheme val="minor"/>
      </rPr>
      <t>4</t>
    </r>
    <r>
      <rPr>
        <b/>
        <sz val="11"/>
        <rFont val="Calibri"/>
        <family val="2"/>
        <scheme val="minor"/>
      </rPr>
      <t xml:space="preserve"> por arroz</t>
    </r>
  </si>
  <si>
    <r>
      <t>Subcategorias para el año de notificación</t>
    </r>
    <r>
      <rPr>
        <vertAlign val="superscript"/>
        <sz val="11"/>
        <rFont val="Calibri"/>
        <family val="2"/>
        <scheme val="minor"/>
      </rPr>
      <t>1</t>
    </r>
    <r>
      <rPr>
        <sz val="11"/>
        <rFont val="Calibri"/>
        <family val="2"/>
        <scheme val="minor"/>
      </rPr>
      <t> </t>
    </r>
  </si>
  <si>
    <r>
      <t>(ha año</t>
    </r>
    <r>
      <rPr>
        <vertAlign val="superscript"/>
        <sz val="11"/>
        <rFont val="Calibri"/>
        <family val="2"/>
        <scheme val="minor"/>
      </rPr>
      <t>-1</t>
    </r>
    <r>
      <rPr>
        <sz val="11"/>
        <rFont val="Calibri"/>
        <family val="2"/>
        <scheme val="minor"/>
      </rPr>
      <t>)</t>
    </r>
  </si>
  <si>
    <r>
      <t>kg CH</t>
    </r>
    <r>
      <rPr>
        <vertAlign val="subscript"/>
        <sz val="11"/>
        <rFont val="Calibri"/>
        <family val="2"/>
        <scheme val="minor"/>
      </rPr>
      <t xml:space="preserve">4 </t>
    </r>
    <r>
      <rPr>
        <sz val="11"/>
        <rFont val="Calibri"/>
        <family val="2"/>
        <scheme val="minor"/>
      </rPr>
      <t>ha</t>
    </r>
    <r>
      <rPr>
        <vertAlign val="superscript"/>
        <sz val="11"/>
        <rFont val="Calibri"/>
        <family val="2"/>
        <scheme val="minor"/>
      </rPr>
      <t>-1</t>
    </r>
    <r>
      <rPr>
        <sz val="11"/>
        <rFont val="Calibri"/>
        <family val="2"/>
        <scheme val="minor"/>
      </rPr>
      <t xml:space="preserve"> día</t>
    </r>
    <r>
      <rPr>
        <vertAlign val="superscript"/>
        <sz val="11"/>
        <rFont val="Calibri"/>
        <family val="2"/>
        <scheme val="minor"/>
      </rPr>
      <t>-1</t>
    </r>
  </si>
  <si>
    <r>
      <t>(toneladas ha</t>
    </r>
    <r>
      <rPr>
        <vertAlign val="superscript"/>
        <sz val="11"/>
        <rFont val="Calibri"/>
        <family val="2"/>
        <scheme val="minor"/>
      </rPr>
      <t>-1</t>
    </r>
    <r>
      <rPr>
        <sz val="11"/>
        <rFont val="Calibri"/>
        <family val="2"/>
        <scheme val="minor"/>
      </rPr>
      <t>)</t>
    </r>
  </si>
  <si>
    <r>
      <t>SF</t>
    </r>
    <r>
      <rPr>
        <vertAlign val="subscript"/>
        <sz val="11"/>
        <rFont val="Calibri"/>
        <family val="2"/>
        <scheme val="minor"/>
      </rPr>
      <t>o</t>
    </r>
    <r>
      <rPr>
        <sz val="11"/>
        <rFont val="Calibri"/>
        <family val="2"/>
        <scheme val="minor"/>
      </rPr>
      <t xml:space="preserve"> =</t>
    </r>
  </si>
  <si>
    <r>
      <t>(1+ROA</t>
    </r>
    <r>
      <rPr>
        <vertAlign val="subscript"/>
        <sz val="11"/>
        <rFont val="Calibri"/>
        <family val="2"/>
        <scheme val="minor"/>
      </rPr>
      <t>i</t>
    </r>
    <r>
      <rPr>
        <sz val="11"/>
        <rFont val="Calibri"/>
        <family val="2"/>
        <scheme val="minor"/>
      </rPr>
      <t xml:space="preserve"> * CFOA</t>
    </r>
    <r>
      <rPr>
        <vertAlign val="subscript"/>
        <sz val="11"/>
        <rFont val="Calibri"/>
        <family val="2"/>
        <scheme val="minor"/>
      </rPr>
      <t>i</t>
    </r>
    <r>
      <rPr>
        <sz val="11"/>
        <rFont val="Calibri"/>
        <family val="2"/>
        <scheme val="minor"/>
      </rPr>
      <t>)</t>
    </r>
    <r>
      <rPr>
        <vertAlign val="superscript"/>
        <sz val="11"/>
        <rFont val="Calibri"/>
        <family val="2"/>
        <scheme val="minor"/>
      </rPr>
      <t>0.59</t>
    </r>
  </si>
  <si>
    <r>
      <t>EF</t>
    </r>
    <r>
      <rPr>
        <b/>
        <vertAlign val="subscript"/>
        <sz val="11"/>
        <rFont val="Calibri"/>
        <family val="2"/>
        <scheme val="minor"/>
      </rPr>
      <t>c</t>
    </r>
  </si>
  <si>
    <r>
      <t>SF</t>
    </r>
    <r>
      <rPr>
        <b/>
        <vertAlign val="subscript"/>
        <sz val="11"/>
        <rFont val="Calibri"/>
        <family val="2"/>
        <scheme val="minor"/>
      </rPr>
      <t>W</t>
    </r>
  </si>
  <si>
    <r>
      <t>SF</t>
    </r>
    <r>
      <rPr>
        <b/>
        <vertAlign val="subscript"/>
        <sz val="11"/>
        <rFont val="Calibri"/>
        <family val="2"/>
        <scheme val="minor"/>
      </rPr>
      <t>p</t>
    </r>
  </si>
  <si>
    <r>
      <t>ROA</t>
    </r>
    <r>
      <rPr>
        <b/>
        <vertAlign val="subscript"/>
        <sz val="11"/>
        <rFont val="Calibri"/>
        <family val="2"/>
        <scheme val="minor"/>
      </rPr>
      <t>i</t>
    </r>
  </si>
  <si>
    <r>
      <t>CFOA</t>
    </r>
    <r>
      <rPr>
        <b/>
        <vertAlign val="subscript"/>
        <sz val="11"/>
        <rFont val="Calibri"/>
        <family val="2"/>
        <scheme val="minor"/>
      </rPr>
      <t>i</t>
    </r>
  </si>
  <si>
    <r>
      <t>SF</t>
    </r>
    <r>
      <rPr>
        <b/>
        <vertAlign val="subscript"/>
        <sz val="11"/>
        <rFont val="Calibri"/>
        <family val="2"/>
        <scheme val="minor"/>
      </rPr>
      <t>o</t>
    </r>
  </si>
  <si>
    <r>
      <t>Cultivo de arroz: Emisiones anuales de CH</t>
    </r>
    <r>
      <rPr>
        <b/>
        <vertAlign val="subscript"/>
        <sz val="11"/>
        <rFont val="Calibri"/>
        <family val="2"/>
        <scheme val="minor"/>
      </rPr>
      <t>4</t>
    </r>
    <r>
      <rPr>
        <b/>
        <sz val="11"/>
        <rFont val="Calibri"/>
        <family val="2"/>
        <scheme val="minor"/>
      </rPr>
      <t xml:space="preserve"> por arroz</t>
    </r>
  </si>
  <si>
    <r>
      <t>Emisiones anuales de CH</t>
    </r>
    <r>
      <rPr>
        <vertAlign val="subscript"/>
        <sz val="11"/>
        <rFont val="Calibri"/>
        <family val="2"/>
        <scheme val="minor"/>
      </rPr>
      <t>4</t>
    </r>
    <r>
      <rPr>
        <sz val="11"/>
        <rFont val="Calibri"/>
        <family val="2"/>
        <scheme val="minor"/>
      </rPr>
      <t xml:space="preserve"> por el cultivo de arroz</t>
    </r>
  </si>
  <si>
    <r>
      <t>(kg CH</t>
    </r>
    <r>
      <rPr>
        <vertAlign val="subscript"/>
        <sz val="11"/>
        <rFont val="Calibri"/>
        <family val="2"/>
        <scheme val="minor"/>
      </rPr>
      <t>4</t>
    </r>
    <r>
      <rPr>
        <sz val="11"/>
        <rFont val="Calibri"/>
        <family val="2"/>
        <scheme val="minor"/>
      </rPr>
      <t xml:space="preserve"> ha</t>
    </r>
    <r>
      <rPr>
        <vertAlign val="superscript"/>
        <sz val="11"/>
        <rFont val="Calibri"/>
        <family val="2"/>
        <scheme val="minor"/>
      </rPr>
      <t>-1</t>
    </r>
    <r>
      <rPr>
        <sz val="11"/>
        <rFont val="Calibri"/>
        <family val="2"/>
        <scheme val="minor"/>
      </rPr>
      <t xml:space="preserve"> día</t>
    </r>
    <r>
      <rPr>
        <vertAlign val="superscript"/>
        <sz val="11"/>
        <rFont val="Calibri"/>
        <family val="2"/>
        <scheme val="minor"/>
      </rPr>
      <t>-1</t>
    </r>
    <r>
      <rPr>
        <sz val="11"/>
        <rFont val="Calibri"/>
        <family val="2"/>
        <scheme val="minor"/>
      </rPr>
      <t>)</t>
    </r>
  </si>
  <si>
    <r>
      <t>Gg CH</t>
    </r>
    <r>
      <rPr>
        <vertAlign val="subscript"/>
        <sz val="11"/>
        <rFont val="Calibri"/>
        <family val="2"/>
        <scheme val="minor"/>
      </rPr>
      <t>4</t>
    </r>
    <r>
      <rPr>
        <sz val="11"/>
        <rFont val="Calibri"/>
        <family val="2"/>
        <scheme val="minor"/>
      </rPr>
      <t xml:space="preserve"> año</t>
    </r>
    <r>
      <rPr>
        <vertAlign val="superscript"/>
        <sz val="11"/>
        <rFont val="Calibri"/>
        <family val="2"/>
        <scheme val="minor"/>
      </rPr>
      <t>-1</t>
    </r>
  </si>
  <si>
    <r>
      <t>EF</t>
    </r>
    <r>
      <rPr>
        <vertAlign val="subscript"/>
        <sz val="11"/>
        <rFont val="Calibri"/>
        <family val="2"/>
        <scheme val="minor"/>
      </rPr>
      <t>i</t>
    </r>
    <r>
      <rPr>
        <sz val="11"/>
        <rFont val="Calibri"/>
        <family val="2"/>
        <scheme val="minor"/>
      </rPr>
      <t xml:space="preserve"> = EF</t>
    </r>
    <r>
      <rPr>
        <vertAlign val="subscript"/>
        <sz val="11"/>
        <rFont val="Calibri"/>
        <family val="2"/>
        <scheme val="minor"/>
      </rPr>
      <t>c</t>
    </r>
    <r>
      <rPr>
        <sz val="11"/>
        <rFont val="Calibri"/>
        <family val="2"/>
        <scheme val="minor"/>
      </rPr>
      <t xml:space="preserve"> * SF</t>
    </r>
    <r>
      <rPr>
        <vertAlign val="subscript"/>
        <sz val="11"/>
        <rFont val="Calibri"/>
        <family val="2"/>
        <scheme val="minor"/>
      </rPr>
      <t>w</t>
    </r>
    <r>
      <rPr>
        <sz val="11"/>
        <rFont val="Calibri"/>
        <family val="2"/>
        <scheme val="minor"/>
      </rPr>
      <t xml:space="preserve"> * SF</t>
    </r>
    <r>
      <rPr>
        <vertAlign val="subscript"/>
        <sz val="11"/>
        <rFont val="Calibri"/>
        <family val="2"/>
        <scheme val="minor"/>
      </rPr>
      <t>p</t>
    </r>
    <r>
      <rPr>
        <sz val="11"/>
        <rFont val="Calibri"/>
        <family val="2"/>
        <scheme val="minor"/>
      </rPr>
      <t xml:space="preserve"> * SF</t>
    </r>
    <r>
      <rPr>
        <vertAlign val="subscript"/>
        <sz val="11"/>
        <rFont val="Calibri"/>
        <family val="2"/>
        <scheme val="minor"/>
      </rPr>
      <t>o</t>
    </r>
    <r>
      <rPr>
        <sz val="11"/>
        <rFont val="Calibri"/>
        <family val="2"/>
        <scheme val="minor"/>
      </rPr>
      <t xml:space="preserve"> * SF</t>
    </r>
    <r>
      <rPr>
        <vertAlign val="subscript"/>
        <sz val="11"/>
        <rFont val="Calibri"/>
        <family val="2"/>
        <scheme val="minor"/>
      </rPr>
      <t>s,r</t>
    </r>
  </si>
  <si>
    <r>
      <t>CH</t>
    </r>
    <r>
      <rPr>
        <vertAlign val="subscript"/>
        <sz val="11"/>
        <rFont val="Calibri"/>
        <family val="2"/>
        <scheme val="minor"/>
      </rPr>
      <t>4Rice</t>
    </r>
    <r>
      <rPr>
        <sz val="11"/>
        <rFont val="Calibri"/>
        <family val="2"/>
        <scheme val="minor"/>
      </rPr>
      <t xml:space="preserve"> = A * t * EF</t>
    </r>
    <r>
      <rPr>
        <vertAlign val="subscript"/>
        <sz val="11"/>
        <rFont val="Calibri"/>
        <family val="2"/>
        <scheme val="minor"/>
      </rPr>
      <t>i</t>
    </r>
    <r>
      <rPr>
        <sz val="11"/>
        <rFont val="Calibri"/>
        <family val="2"/>
        <scheme val="minor"/>
      </rPr>
      <t xml:space="preserve"> * 10</t>
    </r>
    <r>
      <rPr>
        <vertAlign val="superscript"/>
        <sz val="11"/>
        <rFont val="Calibri"/>
        <family val="2"/>
        <scheme val="minor"/>
      </rPr>
      <t>-6</t>
    </r>
  </si>
  <si>
    <r>
      <t>SF</t>
    </r>
    <r>
      <rPr>
        <b/>
        <vertAlign val="subscript"/>
        <sz val="11"/>
        <rFont val="Calibri"/>
        <family val="2"/>
        <scheme val="minor"/>
      </rPr>
      <t>s,r</t>
    </r>
  </si>
  <si>
    <r>
      <t>EF</t>
    </r>
    <r>
      <rPr>
        <b/>
        <vertAlign val="subscript"/>
        <sz val="11"/>
        <rFont val="Calibri"/>
        <family val="2"/>
        <scheme val="minor"/>
      </rPr>
      <t>i</t>
    </r>
  </si>
  <si>
    <r>
      <t>CH</t>
    </r>
    <r>
      <rPr>
        <b/>
        <vertAlign val="subscript"/>
        <sz val="11"/>
        <rFont val="Calibri"/>
        <family val="2"/>
        <scheme val="minor"/>
      </rPr>
      <t>4Arroz</t>
    </r>
  </si>
  <si>
    <r>
      <t xml:space="preserve">1 </t>
    </r>
    <r>
      <rPr>
        <sz val="9"/>
        <rFont val="Calibri"/>
        <family val="2"/>
        <scheme val="minor"/>
      </rPr>
      <t>El ecosistema del arroz se puede estratificar según los regímenes hídricos, el tipo y la cantidad de enmiendas orgánicas y otras condiciones bajo las cuales las emisiones de CH</t>
    </r>
    <r>
      <rPr>
        <vertAlign val="subscript"/>
        <sz val="9"/>
        <rFont val="Calibri"/>
        <family val="2"/>
        <scheme val="minor"/>
      </rPr>
      <t>4</t>
    </r>
    <r>
      <rPr>
        <sz val="9"/>
        <rFont val="Calibri"/>
        <family val="2"/>
        <scheme val="minor"/>
      </rPr>
      <t xml:space="preserve">  del arroz pueden variar </t>
    </r>
  </si>
  <si>
    <r>
      <t xml:space="preserve">1 </t>
    </r>
    <r>
      <rPr>
        <sz val="9"/>
        <rFont val="Calibri"/>
        <family val="2"/>
        <scheme val="minor"/>
      </rPr>
      <t>La tierra debe estratificarse según los ecosistemas, los regímenes hídricos, el tipo y la cantidad de enmiendas orgánicas y otras condiciones en las que las emisiones de CH</t>
    </r>
    <r>
      <rPr>
        <vertAlign val="subscript"/>
        <sz val="9"/>
        <rFont val="Calibri"/>
        <family val="2"/>
        <scheme val="minor"/>
      </rPr>
      <t xml:space="preserve">4 </t>
    </r>
    <r>
      <rPr>
        <sz val="9"/>
        <rFont val="Calibri"/>
        <family val="2"/>
        <scheme val="minor"/>
      </rPr>
      <t>del arroz pueden variar. El desglose del área de cosecha anual de arroz debe realizarse al menos para tres regímenes de agua de referencia, incluidos los de regadío, de secano y de secano. Dentro de cada estrato, los subestratos deben estar separados para cada tipo de enmienda orgánica (ver Ecuación 5.3).</t>
    </r>
  </si>
  <si>
    <r>
      <t>Emisiones indirectas de N</t>
    </r>
    <r>
      <rPr>
        <b/>
        <vertAlign val="subscript"/>
        <sz val="11"/>
        <rFont val="Calibri"/>
        <family val="2"/>
        <scheme val="minor"/>
      </rPr>
      <t>2</t>
    </r>
    <r>
      <rPr>
        <b/>
        <sz val="11"/>
        <rFont val="Calibri"/>
        <family val="2"/>
        <scheme val="minor"/>
      </rPr>
      <t>O por manejo del estiércol</t>
    </r>
    <r>
      <rPr>
        <b/>
        <vertAlign val="superscript"/>
        <sz val="11"/>
        <rFont val="Calibri"/>
        <family val="2"/>
        <scheme val="minor"/>
      </rPr>
      <t>1</t>
    </r>
  </si>
  <si>
    <r>
      <t>Emisiones indirectas de N</t>
    </r>
    <r>
      <rPr>
        <b/>
        <vertAlign val="subscript"/>
        <sz val="11"/>
        <rFont val="Calibri"/>
        <family val="2"/>
        <scheme val="minor"/>
      </rPr>
      <t>2</t>
    </r>
    <r>
      <rPr>
        <b/>
        <sz val="11"/>
        <rFont val="Calibri"/>
        <family val="2"/>
        <scheme val="minor"/>
      </rPr>
      <t>O debido a la volatilización por Manejo del Estiércol</t>
    </r>
  </si>
  <si>
    <r>
      <t>Sistemas de Manejo del Estiércol (MMS)</t>
    </r>
    <r>
      <rPr>
        <vertAlign val="superscript"/>
        <sz val="11"/>
        <rFont val="Calibri"/>
        <family val="2"/>
        <scheme val="minor"/>
      </rPr>
      <t>1</t>
    </r>
  </si>
  <si>
    <r>
      <t>Especies/ Categorías de ganado</t>
    </r>
    <r>
      <rPr>
        <vertAlign val="superscript"/>
        <sz val="11"/>
        <rFont val="Calibri"/>
        <family val="2"/>
        <scheme val="minor"/>
      </rPr>
      <t>2</t>
    </r>
  </si>
  <si>
    <r>
      <t xml:space="preserve">Nitrógeno total excretado por MMS </t>
    </r>
    <r>
      <rPr>
        <vertAlign val="superscript"/>
        <sz val="11"/>
        <rFont val="Calibri"/>
        <family val="2"/>
        <scheme val="minor"/>
      </rPr>
      <t xml:space="preserve">3 </t>
    </r>
  </si>
  <si>
    <r>
      <t>Cantidad de nitrógeno del estiércol que se pierde debido a la volatilización de  NH</t>
    </r>
    <r>
      <rPr>
        <vertAlign val="subscript"/>
        <sz val="11"/>
        <rFont val="Calibri"/>
        <family val="2"/>
        <scheme val="minor"/>
      </rPr>
      <t>3</t>
    </r>
    <r>
      <rPr>
        <sz val="11"/>
        <rFont val="Calibri"/>
        <family val="2"/>
        <scheme val="minor"/>
      </rPr>
      <t xml:space="preserve"> y NO</t>
    </r>
    <r>
      <rPr>
        <vertAlign val="subscript"/>
        <sz val="11"/>
        <rFont val="Calibri"/>
        <family val="2"/>
        <scheme val="minor"/>
      </rPr>
      <t>x</t>
    </r>
  </si>
  <si>
    <r>
      <t>Factor de emisión de emisiones N</t>
    </r>
    <r>
      <rPr>
        <vertAlign val="subscript"/>
        <sz val="11"/>
        <rFont val="Calibri"/>
        <family val="2"/>
        <scheme val="minor"/>
      </rPr>
      <t>2</t>
    </r>
    <r>
      <rPr>
        <sz val="11"/>
        <rFont val="Calibri"/>
        <family val="2"/>
        <scheme val="minor"/>
      </rPr>
      <t>O por deposición atmosférica de nitrógeno en suelos y superficies de agua</t>
    </r>
  </si>
  <si>
    <r>
      <t>Emisiones indirectas de N</t>
    </r>
    <r>
      <rPr>
        <vertAlign val="subscript"/>
        <sz val="11"/>
        <rFont val="Calibri"/>
        <family val="2"/>
        <scheme val="minor"/>
      </rPr>
      <t>2</t>
    </r>
    <r>
      <rPr>
        <sz val="11"/>
        <rFont val="Calibri"/>
        <family val="2"/>
        <scheme val="minor"/>
      </rPr>
      <t>O debido a la volatilización por Manejo del Estiércol</t>
    </r>
  </si>
  <si>
    <r>
      <t>kg N año</t>
    </r>
    <r>
      <rPr>
        <vertAlign val="superscript"/>
        <sz val="11"/>
        <rFont val="Calibri"/>
        <family val="2"/>
        <scheme val="minor"/>
      </rPr>
      <t>-1</t>
    </r>
  </si>
  <si>
    <r>
      <t>[kg N</t>
    </r>
    <r>
      <rPr>
        <vertAlign val="subscript"/>
        <sz val="11"/>
        <rFont val="Calibri"/>
        <family val="2"/>
        <scheme val="minor"/>
      </rPr>
      <t>2</t>
    </r>
    <r>
      <rPr>
        <sz val="11"/>
        <rFont val="Calibri"/>
        <family val="2"/>
        <scheme val="minor"/>
      </rPr>
      <t>O-N (kg NH</t>
    </r>
    <r>
      <rPr>
        <vertAlign val="subscript"/>
        <sz val="11"/>
        <rFont val="Calibri"/>
        <family val="2"/>
        <scheme val="minor"/>
      </rPr>
      <t>3</t>
    </r>
    <r>
      <rPr>
        <sz val="11"/>
        <rFont val="Calibri"/>
        <family val="2"/>
        <scheme val="minor"/>
      </rPr>
      <t>-N + NO</t>
    </r>
    <r>
      <rPr>
        <vertAlign val="subscript"/>
        <sz val="11"/>
        <rFont val="Calibri"/>
        <family val="2"/>
        <scheme val="minor"/>
      </rPr>
      <t>x</t>
    </r>
    <r>
      <rPr>
        <sz val="11"/>
        <rFont val="Calibri"/>
        <family val="2"/>
        <scheme val="minor"/>
      </rPr>
      <t>-N volatilizado)</t>
    </r>
    <r>
      <rPr>
        <vertAlign val="superscript"/>
        <sz val="11"/>
        <rFont val="Calibri"/>
        <family val="2"/>
        <scheme val="minor"/>
      </rPr>
      <t>-1</t>
    </r>
    <r>
      <rPr>
        <sz val="11"/>
        <rFont val="Calibri"/>
        <family val="2"/>
        <scheme val="minor"/>
      </rPr>
      <t>]</t>
    </r>
  </si>
  <si>
    <r>
      <t>kg N</t>
    </r>
    <r>
      <rPr>
        <vertAlign val="subscript"/>
        <sz val="11"/>
        <rFont val="Calibri"/>
        <family val="2"/>
        <scheme val="minor"/>
      </rPr>
      <t>2</t>
    </r>
    <r>
      <rPr>
        <sz val="11"/>
        <rFont val="Calibri"/>
        <family val="2"/>
        <scheme val="minor"/>
      </rPr>
      <t>O año</t>
    </r>
    <r>
      <rPr>
        <vertAlign val="superscript"/>
        <sz val="11"/>
        <rFont val="Calibri"/>
        <family val="2"/>
        <scheme val="minor"/>
      </rPr>
      <t>-1</t>
    </r>
  </si>
  <si>
    <r>
      <t>(Gg N</t>
    </r>
    <r>
      <rPr>
        <b/>
        <vertAlign val="subscript"/>
        <sz val="11"/>
        <rFont val="Calibri"/>
        <family val="2"/>
        <scheme val="minor"/>
      </rPr>
      <t>2</t>
    </r>
    <r>
      <rPr>
        <b/>
        <sz val="11"/>
        <rFont val="Calibri"/>
        <family val="2"/>
        <scheme val="minor"/>
      </rPr>
      <t>O)</t>
    </r>
  </si>
  <si>
    <r>
      <t>N</t>
    </r>
    <r>
      <rPr>
        <vertAlign val="subscript"/>
        <sz val="11"/>
        <rFont val="Calibri"/>
        <family val="2"/>
        <scheme val="minor"/>
      </rPr>
      <t>volatilización-MMS</t>
    </r>
    <r>
      <rPr>
        <sz val="11"/>
        <rFont val="Calibri"/>
        <family val="2"/>
        <scheme val="minor"/>
      </rPr>
      <t xml:space="preserve"> =</t>
    </r>
  </si>
  <si>
    <r>
      <t>N</t>
    </r>
    <r>
      <rPr>
        <vertAlign val="subscript"/>
        <sz val="11"/>
        <rFont val="Calibri"/>
        <family val="2"/>
        <scheme val="minor"/>
      </rPr>
      <t>2</t>
    </r>
    <r>
      <rPr>
        <sz val="11"/>
        <rFont val="Calibri"/>
        <family val="2"/>
        <scheme val="minor"/>
      </rPr>
      <t>O</t>
    </r>
    <r>
      <rPr>
        <vertAlign val="subscript"/>
        <sz val="11"/>
        <rFont val="Calibri"/>
        <family val="2"/>
        <scheme val="minor"/>
      </rPr>
      <t>G(mm)</t>
    </r>
    <r>
      <rPr>
        <sz val="11"/>
        <rFont val="Calibri"/>
        <family val="2"/>
        <scheme val="minor"/>
      </rPr>
      <t xml:space="preserve">  = NE</t>
    </r>
    <r>
      <rPr>
        <vertAlign val="subscript"/>
        <sz val="11"/>
        <rFont val="Calibri"/>
        <family val="2"/>
        <scheme val="minor"/>
      </rPr>
      <t>volatilización-MMS</t>
    </r>
    <r>
      <rPr>
        <sz val="11"/>
        <rFont val="Calibri"/>
        <family val="2"/>
        <scheme val="minor"/>
      </rPr>
      <t xml:space="preserve"> * EF</t>
    </r>
    <r>
      <rPr>
        <vertAlign val="subscript"/>
        <sz val="11"/>
        <rFont val="Calibri"/>
        <family val="2"/>
        <scheme val="minor"/>
      </rPr>
      <t>4</t>
    </r>
    <r>
      <rPr>
        <sz val="11"/>
        <rFont val="Calibri"/>
        <family val="2"/>
        <scheme val="minor"/>
      </rPr>
      <t xml:space="preserve"> * 44/28</t>
    </r>
  </si>
  <si>
    <r>
      <t>NE</t>
    </r>
    <r>
      <rPr>
        <vertAlign val="subscript"/>
        <sz val="11"/>
        <rFont val="Calibri"/>
        <family val="2"/>
        <scheme val="minor"/>
      </rPr>
      <t>MMS</t>
    </r>
    <r>
      <rPr>
        <sz val="11"/>
        <rFont val="Calibri"/>
        <family val="2"/>
        <scheme val="minor"/>
      </rPr>
      <t xml:space="preserve"> * Frac</t>
    </r>
    <r>
      <rPr>
        <vertAlign val="subscript"/>
        <sz val="11"/>
        <rFont val="Calibri"/>
        <family val="2"/>
        <scheme val="minor"/>
      </rPr>
      <t>(GasMS)</t>
    </r>
  </si>
  <si>
    <r>
      <t>NE</t>
    </r>
    <r>
      <rPr>
        <b/>
        <vertAlign val="subscript"/>
        <sz val="11"/>
        <rFont val="Calibri"/>
        <family val="2"/>
        <scheme val="minor"/>
      </rPr>
      <t>MMS</t>
    </r>
  </si>
  <si>
    <r>
      <t>Frac</t>
    </r>
    <r>
      <rPr>
        <b/>
        <vertAlign val="subscript"/>
        <sz val="11"/>
        <rFont val="Calibri"/>
        <family val="2"/>
        <scheme val="minor"/>
      </rPr>
      <t>(GasMS)</t>
    </r>
  </si>
  <si>
    <r>
      <t>N</t>
    </r>
    <r>
      <rPr>
        <b/>
        <vertAlign val="subscript"/>
        <sz val="11"/>
        <rFont val="Calibri"/>
        <family val="2"/>
        <scheme val="minor"/>
      </rPr>
      <t>volatilization-MMS</t>
    </r>
    <r>
      <rPr>
        <b/>
        <sz val="11"/>
        <rFont val="Calibri"/>
        <family val="2"/>
        <scheme val="minor"/>
      </rPr>
      <t xml:space="preserve"> </t>
    </r>
  </si>
  <si>
    <r>
      <t>EF</t>
    </r>
    <r>
      <rPr>
        <b/>
        <vertAlign val="subscript"/>
        <sz val="11"/>
        <rFont val="Calibri"/>
        <family val="2"/>
        <scheme val="minor"/>
      </rPr>
      <t>4</t>
    </r>
  </si>
  <si>
    <r>
      <t>N</t>
    </r>
    <r>
      <rPr>
        <b/>
        <vertAlign val="subscript"/>
        <sz val="11"/>
        <rFont val="Calibri"/>
        <family val="2"/>
        <scheme val="minor"/>
      </rPr>
      <t>2</t>
    </r>
    <r>
      <rPr>
        <b/>
        <sz val="11"/>
        <rFont val="Calibri"/>
        <family val="2"/>
        <scheme val="minor"/>
      </rPr>
      <t>O</t>
    </r>
    <r>
      <rPr>
        <b/>
        <vertAlign val="subscript"/>
        <sz val="11"/>
        <rFont val="Calibri"/>
        <family val="2"/>
        <scheme val="minor"/>
      </rPr>
      <t xml:space="preserve">G(mm) </t>
    </r>
  </si>
  <si>
    <r>
      <t>Sistemas de Manejo del Estiercol (MMS)</t>
    </r>
    <r>
      <rPr>
        <vertAlign val="superscript"/>
        <sz val="11"/>
        <rFont val="Calibri"/>
        <family val="2"/>
        <scheme val="minor"/>
      </rPr>
      <t>2</t>
    </r>
  </si>
  <si>
    <r>
      <t>Especies/ Categorías de ganado</t>
    </r>
    <r>
      <rPr>
        <vertAlign val="superscript"/>
        <sz val="11"/>
        <rFont val="Calibri"/>
        <family val="2"/>
        <scheme val="minor"/>
      </rPr>
      <t xml:space="preserve"> 3</t>
    </r>
  </si>
  <si>
    <r>
      <t>(kg N año</t>
    </r>
    <r>
      <rPr>
        <vertAlign val="superscript"/>
        <sz val="11"/>
        <rFont val="Calibri"/>
        <family val="2"/>
        <scheme val="minor"/>
      </rPr>
      <t>-1</t>
    </r>
    <r>
      <rPr>
        <sz val="11"/>
        <rFont val="Calibri"/>
        <family val="2"/>
        <scheme val="minor"/>
      </rPr>
      <t>)</t>
    </r>
  </si>
  <si>
    <r>
      <t>(kg N animal</t>
    </r>
    <r>
      <rPr>
        <vertAlign val="superscript"/>
        <sz val="11"/>
        <rFont val="Calibri"/>
        <family val="2"/>
        <scheme val="minor"/>
      </rPr>
      <t>-1</t>
    </r>
    <r>
      <rPr>
        <sz val="11"/>
        <rFont val="Calibri"/>
        <family val="2"/>
        <scheme val="minor"/>
      </rPr>
      <t xml:space="preserve"> año</t>
    </r>
    <r>
      <rPr>
        <vertAlign val="superscript"/>
        <sz val="11"/>
        <rFont val="Calibri"/>
        <family val="2"/>
        <scheme val="minor"/>
      </rPr>
      <t>-1</t>
    </r>
    <r>
      <rPr>
        <sz val="11"/>
        <rFont val="Calibri"/>
        <family val="2"/>
        <scheme val="minor"/>
      </rPr>
      <t>)</t>
    </r>
  </si>
  <si>
    <r>
      <t>N</t>
    </r>
    <r>
      <rPr>
        <vertAlign val="subscript"/>
        <sz val="11"/>
        <rFont val="Calibri"/>
        <family val="2"/>
        <scheme val="minor"/>
      </rPr>
      <t>MMS_Avb</t>
    </r>
    <r>
      <rPr>
        <sz val="11"/>
        <rFont val="Calibri"/>
        <family val="2"/>
        <scheme val="minor"/>
      </rPr>
      <t xml:space="preserve"> = NE</t>
    </r>
    <r>
      <rPr>
        <vertAlign val="subscript"/>
        <sz val="11"/>
        <rFont val="Calibri"/>
        <family val="2"/>
        <scheme val="minor"/>
      </rPr>
      <t>MMS</t>
    </r>
    <r>
      <rPr>
        <sz val="11"/>
        <rFont val="Calibri"/>
        <family val="2"/>
        <scheme val="minor"/>
      </rPr>
      <t xml:space="preserve"> * (1- Frac</t>
    </r>
    <r>
      <rPr>
        <vertAlign val="subscript"/>
        <sz val="11"/>
        <rFont val="Calibri"/>
        <family val="2"/>
        <scheme val="minor"/>
      </rPr>
      <t>PérdidaMS</t>
    </r>
    <r>
      <rPr>
        <sz val="11"/>
        <rFont val="Calibri"/>
        <family val="2"/>
        <scheme val="minor"/>
      </rPr>
      <t xml:space="preserve"> * 10</t>
    </r>
    <r>
      <rPr>
        <vertAlign val="superscript"/>
        <sz val="11"/>
        <rFont val="Calibri"/>
        <family val="2"/>
        <scheme val="minor"/>
      </rPr>
      <t>-2</t>
    </r>
    <r>
      <rPr>
        <sz val="11"/>
        <rFont val="Calibri"/>
        <family val="2"/>
        <scheme val="minor"/>
      </rPr>
      <t>) + N</t>
    </r>
    <r>
      <rPr>
        <vertAlign val="subscript"/>
        <sz val="11"/>
        <rFont val="Calibri"/>
        <family val="2"/>
        <scheme val="minor"/>
      </rPr>
      <t>(T)</t>
    </r>
    <r>
      <rPr>
        <sz val="11"/>
        <rFont val="Calibri"/>
        <family val="2"/>
        <scheme val="minor"/>
      </rPr>
      <t xml:space="preserve"> * MS</t>
    </r>
    <r>
      <rPr>
        <vertAlign val="subscript"/>
        <sz val="11"/>
        <rFont val="Calibri"/>
        <family val="2"/>
        <scheme val="minor"/>
      </rPr>
      <t>(T,S)</t>
    </r>
    <r>
      <rPr>
        <sz val="11"/>
        <rFont val="Calibri"/>
        <family val="2"/>
        <scheme val="minor"/>
      </rPr>
      <t xml:space="preserve"> * N</t>
    </r>
    <r>
      <rPr>
        <vertAlign val="subscript"/>
        <sz val="11"/>
        <rFont val="Calibri"/>
        <family val="2"/>
        <scheme val="minor"/>
      </rPr>
      <t>camaMS</t>
    </r>
  </si>
  <si>
    <r>
      <t>Frac</t>
    </r>
    <r>
      <rPr>
        <b/>
        <vertAlign val="subscript"/>
        <sz val="11"/>
        <rFont val="Calibri"/>
        <family val="2"/>
        <scheme val="minor"/>
      </rPr>
      <t>(PérdidasMS)</t>
    </r>
  </si>
  <si>
    <r>
      <t>N</t>
    </r>
    <r>
      <rPr>
        <b/>
        <vertAlign val="subscript"/>
        <sz val="11"/>
        <rFont val="Calibri"/>
        <family val="2"/>
        <scheme val="minor"/>
      </rPr>
      <t>(T)</t>
    </r>
  </si>
  <si>
    <r>
      <t>MS</t>
    </r>
    <r>
      <rPr>
        <b/>
        <vertAlign val="subscript"/>
        <sz val="11"/>
        <rFont val="Calibri"/>
        <family val="2"/>
        <scheme val="minor"/>
      </rPr>
      <t>(T,S)</t>
    </r>
  </si>
  <si>
    <r>
      <t>N</t>
    </r>
    <r>
      <rPr>
        <b/>
        <vertAlign val="subscript"/>
        <sz val="11"/>
        <rFont val="Calibri"/>
        <family val="2"/>
        <scheme val="minor"/>
      </rPr>
      <t>camasMS</t>
    </r>
  </si>
  <si>
    <r>
      <t>N</t>
    </r>
    <r>
      <rPr>
        <b/>
        <vertAlign val="subscript"/>
        <sz val="11"/>
        <rFont val="Calibri"/>
        <family val="2"/>
        <scheme val="minor"/>
      </rPr>
      <t>MMS_Avb</t>
    </r>
  </si>
  <si>
    <r>
      <t xml:space="preserve">1 </t>
    </r>
    <r>
      <rPr>
        <sz val="9"/>
        <rFont val="Calibri"/>
        <family val="2"/>
        <scheme val="minor"/>
      </rPr>
      <t>Los cálculos deben ser realizados por el Sistema de Manejo de Estiércol, y para cada sistema de manejo, se debe seleccionar la(s) categoría(s) de especie/ ganado relevante. Para los sistemas de manejo de estiércol, consulte la Tabla 10.18.</t>
    </r>
  </si>
  <si>
    <r>
      <t>2</t>
    </r>
    <r>
      <rPr>
        <sz val="9"/>
        <rFont val="Calibri"/>
        <family val="2"/>
        <scheme val="minor"/>
      </rPr>
      <t xml:space="preserve"> Especifique las categorías de ganado según sea necesario utilizando líneas adicionales (por ejemplo, llamas, alpacas, renos, conejos, animales con pieles, etc.)</t>
    </r>
  </si>
  <si>
    <r>
      <t>3</t>
    </r>
    <r>
      <rPr>
        <sz val="9"/>
        <rFont val="Calibri"/>
        <family val="2"/>
        <scheme val="minor"/>
      </rPr>
      <t xml:space="preserve"> Consulte la hoja de trabajo para N</t>
    </r>
    <r>
      <rPr>
        <vertAlign val="subscript"/>
        <sz val="9"/>
        <rFont val="Calibri"/>
        <family val="2"/>
        <scheme val="minor"/>
      </rPr>
      <t>2</t>
    </r>
    <r>
      <rPr>
        <sz val="9"/>
        <rFont val="Calibri"/>
        <family val="2"/>
        <scheme val="minor"/>
      </rPr>
      <t>O directo de la gestión del estiércol (3A2) para conocer el valor de la excreción de N total para el MMS (NEMMS).</t>
    </r>
  </si>
  <si>
    <r>
      <t xml:space="preserve">1 </t>
    </r>
    <r>
      <rPr>
        <sz val="9"/>
        <rFont val="Calibri"/>
        <family val="2"/>
        <scheme val="minor"/>
      </rPr>
      <t>Los datos de nitrógeno disponibles que se estimarán en esta hoja de trabajo son necesarios para coordinar con el cálculo y el informe de las emisiones de N</t>
    </r>
    <r>
      <rPr>
        <vertAlign val="subscript"/>
        <sz val="9"/>
        <rFont val="Calibri"/>
        <family val="2"/>
        <scheme val="minor"/>
      </rPr>
      <t>2</t>
    </r>
    <r>
      <rPr>
        <sz val="9"/>
        <rFont val="Calibri"/>
        <family val="2"/>
        <scheme val="minor"/>
      </rPr>
      <t>O de los suelos gestionados (consulte el Capítulo 11).</t>
    </r>
  </si>
  <si>
    <r>
      <t xml:space="preserve">2 </t>
    </r>
    <r>
      <rPr>
        <sz val="9"/>
        <rFont val="Calibri"/>
        <family val="2"/>
        <scheme val="minor"/>
      </rPr>
      <t>Los cálculos deben ser realizados por el Sistema de Manejo de Estiércol, y para cada sistema de manejo, se debe seleccionar la (s) categoría (s) de especie / ganado relevante, y se debe usar el mismo conjunto de hojas de trabajo para todos los sistemas de manejo. Para los sistemas de manejo de estiércol, consulte la Tabla 10.18.</t>
    </r>
  </si>
  <si>
    <r>
      <t>3</t>
    </r>
    <r>
      <rPr>
        <sz val="9"/>
        <rFont val="Calibri"/>
        <family val="2"/>
        <scheme val="minor"/>
      </rPr>
      <t xml:space="preserve"> Especifique las categorías de ganado según sea necesario utilizando líneas adicionales (por ejemplo, llamas, alpacas, renos, conejos, animales con pieles, etc.)</t>
    </r>
  </si>
  <si>
    <t>EF4 (volatilización y reposición de N)</t>
  </si>
  <si>
    <t>REPORTE ANUAL DE GASES DE EFECTO INVERNADERO - AÑO 2019</t>
  </si>
  <si>
    <r>
      <t>CO</t>
    </r>
    <r>
      <rPr>
        <vertAlign val="subscript"/>
        <sz val="10"/>
        <color rgb="FF000000"/>
        <rFont val="Calibri"/>
        <family val="2"/>
      </rPr>
      <t>2</t>
    </r>
    <r>
      <rPr>
        <sz val="10"/>
        <color rgb="FF000000"/>
        <rFont val="Calibri"/>
        <family val="2"/>
      </rPr>
      <t>eq</t>
    </r>
  </si>
  <si>
    <t xml:space="preserve">Masa típica animal </t>
  </si>
  <si>
    <t>Directrices del IPCC de 2006
Directrices del IPCC de 2006 refinadas 2019</t>
  </si>
  <si>
    <t>Directrices del IPCC de  2006</t>
  </si>
  <si>
    <t>Directrices del IPCC de 2006</t>
  </si>
  <si>
    <t>Directrices del IPCC de 2006 refinadas 2019</t>
  </si>
  <si>
    <t>3C7 FE</t>
  </si>
  <si>
    <t>3C6 FE</t>
  </si>
  <si>
    <t>3C5 FE</t>
  </si>
  <si>
    <t>3A1_3A2 FE</t>
  </si>
  <si>
    <t>3C1 FE</t>
  </si>
  <si>
    <t>3C2 FE</t>
  </si>
  <si>
    <t>3C3 FE</t>
  </si>
  <si>
    <t>3C4 FE</t>
  </si>
  <si>
    <t>MIDAGRI (2020). Anuario Estadístico de producción ganadera y avícola 2019. Dirección de estadística Agraria. MINAGRI</t>
  </si>
  <si>
    <t>CENAGRO 2012</t>
  </si>
  <si>
    <t xml:space="preserve">Dictamen de Expertos 2020. MINAGRI
Dictamen de Expertos </t>
  </si>
  <si>
    <t>MIDAGRI 2020. Anuario Estadístico de Producción Agrícola 2019.</t>
  </si>
  <si>
    <t>Instituto Nacional de Estadistica e Informatica (sf) - Perú: Anuario de Estadísticas Ambientales 2019</t>
  </si>
  <si>
    <t>MIDAGRI (2020). Anuario Estadístico de producción ganadera y avícola 2019</t>
  </si>
  <si>
    <t>Aplicación de Nitrógeno en el cultivo de arroz, por departamento (kg N/ha/año)</t>
  </si>
  <si>
    <t>Departamento (ha)</t>
  </si>
  <si>
    <r>
      <t>Emisiones directas (3C4) e indirectas (3C5) de N</t>
    </r>
    <r>
      <rPr>
        <b/>
        <vertAlign val="subscript"/>
        <sz val="10"/>
        <color theme="1"/>
        <rFont val="Calibri"/>
        <family val="2"/>
        <scheme val="minor"/>
      </rPr>
      <t>2</t>
    </r>
    <r>
      <rPr>
        <b/>
        <sz val="10"/>
        <color theme="1"/>
        <rFont val="Calibri"/>
        <family val="2"/>
        <scheme val="minor"/>
      </rPr>
      <t>O de suelos gestionados - Información base</t>
    </r>
  </si>
  <si>
    <t>Departamento (t)</t>
  </si>
  <si>
    <t>Incertidumbre por fuente - Reporte Anual de Gases de Efecto Invernadero - Sector Agricultura - 2016</t>
  </si>
  <si>
    <t>B</t>
  </si>
  <si>
    <t>E</t>
  </si>
  <si>
    <t>Código de categorías de fuentes 2006</t>
  </si>
  <si>
    <t>Gas</t>
  </si>
  <si>
    <t>Incertidumbre en los datos de nivel de actividad</t>
  </si>
  <si>
    <t>Incertidumbre en el factor de emisión</t>
  </si>
  <si>
    <t>Incertidumbre combinada</t>
  </si>
  <si>
    <t>Código de la categoría IPCC</t>
  </si>
  <si>
    <t>Datos de entrada</t>
  </si>
  <si>
    <t>√(E^2+F^2 )</t>
  </si>
  <si>
    <t>CO2</t>
  </si>
  <si>
    <t>3A</t>
  </si>
  <si>
    <t>CH4</t>
  </si>
  <si>
    <t>3A1a</t>
  </si>
  <si>
    <t>3A1ai</t>
  </si>
  <si>
    <t>3A1c</t>
  </si>
  <si>
    <t>3A1aii</t>
  </si>
  <si>
    <t>3A1d</t>
  </si>
  <si>
    <t>3A1e</t>
  </si>
  <si>
    <t>3A1f</t>
  </si>
  <si>
    <t>3A1g</t>
  </si>
  <si>
    <t>3A1h</t>
  </si>
  <si>
    <t>3A1j</t>
  </si>
  <si>
    <t>3A2a</t>
  </si>
  <si>
    <t>3A2c</t>
  </si>
  <si>
    <t>3A2d</t>
  </si>
  <si>
    <t>3A2ai</t>
  </si>
  <si>
    <t>3A2e</t>
  </si>
  <si>
    <t>3A2aii</t>
  </si>
  <si>
    <t>3A2f</t>
  </si>
  <si>
    <t>3A2g</t>
  </si>
  <si>
    <t>N2O</t>
  </si>
  <si>
    <t>3A2h</t>
  </si>
  <si>
    <t>3A2i</t>
  </si>
  <si>
    <t>3A2j</t>
  </si>
  <si>
    <t>3C1</t>
  </si>
  <si>
    <t xml:space="preserve">Quema de biomasa en pastizales </t>
  </si>
  <si>
    <t>Emisiones directas de N2O de suelos gestionados</t>
  </si>
  <si>
    <t>Emisiones indirectas de N2O de suelos gestionados</t>
  </si>
  <si>
    <t>Emisiones indirectas de N2O por manejo del estiércol</t>
  </si>
  <si>
    <t>DESCRIPCIÓN DE LOS VALORES DE INCERTIDUMBRE RECOMENDADOS</t>
  </si>
  <si>
    <t>3.A.1. Fermentación entérica</t>
  </si>
  <si>
    <t>Incertidumbre de los datos de actividad</t>
  </si>
  <si>
    <t>Límite inferior (%)</t>
  </si>
  <si>
    <t>Límite Superior (%)</t>
  </si>
  <si>
    <t>Valor a utilizar (%)</t>
  </si>
  <si>
    <t>Valor de Incertidumbre</t>
  </si>
  <si>
    <t>Población anual de ganado vacuno por región</t>
  </si>
  <si>
    <t>Datos de actividad (%)</t>
  </si>
  <si>
    <t>Factor de emisión (%) - CH4</t>
  </si>
  <si>
    <t>Población anual de ganado ovino por región</t>
  </si>
  <si>
    <t>Ganado vacuno lechero</t>
  </si>
  <si>
    <t>Población anual de ganado caprino por región</t>
  </si>
  <si>
    <t>Otro ganado vacuno no lechero</t>
  </si>
  <si>
    <t>Población anual de camélidos por región</t>
  </si>
  <si>
    <t xml:space="preserve">Población anual de equinos por región </t>
  </si>
  <si>
    <t>ND</t>
  </si>
  <si>
    <t>Población anual de porcinos por región</t>
  </si>
  <si>
    <t xml:space="preserve">Población anual de cuyes por región </t>
  </si>
  <si>
    <t>Incertidumbre de los factores de emisión - CH4</t>
  </si>
  <si>
    <t>Otros: Cuyes</t>
  </si>
  <si>
    <t>Parámetro</t>
  </si>
  <si>
    <t>Emisiones de metano (CH4) de otro ganado (otras especies de animal)</t>
  </si>
  <si>
    <t>Directrices del IPCC de 2006 Volumen 4, Capítulo 10, Cuadro 10.10</t>
  </si>
  <si>
    <t>Emisiones de metano (CH4) de ganado vacuno lechero</t>
  </si>
  <si>
    <t>Digestibilidad media de la dieta de vacuno por categoría sector, edad, género</t>
  </si>
  <si>
    <t>Emisiones de metano (CH4) de ganado vacuno no lechero</t>
  </si>
  <si>
    <t>Gg CO2eq</t>
  </si>
  <si>
    <t>3.A.2. Gestión del Estiércol</t>
  </si>
  <si>
    <t>Factor de emisión (%) - N2O</t>
  </si>
  <si>
    <t xml:space="preserve">Población anual de aves por región </t>
  </si>
  <si>
    <t>Muslas y asnos</t>
  </si>
  <si>
    <t>Población anual de cuyes por región</t>
  </si>
  <si>
    <t>Límite superior (%)</t>
  </si>
  <si>
    <t>Emisiones de metano (CH4)</t>
  </si>
  <si>
    <t>Directrices del IPCC de 2006. Vol.4. Cap.10. Pg.10.51</t>
  </si>
  <si>
    <t>Incertidumbre de los factores de emisión - N2O</t>
  </si>
  <si>
    <t>Emisiones directas de óxido nitroso (N2O)</t>
  </si>
  <si>
    <t>Directrices del IPCC de 2006. Vol.4. Cap.10. Pg.10.71</t>
  </si>
  <si>
    <t>3.C.1. Emisiones por quema de biomasa</t>
  </si>
  <si>
    <t>Superficie Anual de cultivos por región</t>
  </si>
  <si>
    <t>Superficie anual de pastizales por región</t>
  </si>
  <si>
    <t>OBP2003. Página 3,33</t>
  </si>
  <si>
    <t>Quema de biomasa en pastizales</t>
  </si>
  <si>
    <t>Valor por defecto</t>
  </si>
  <si>
    <t xml:space="preserve">Límite inferior </t>
  </si>
  <si>
    <t>Límite superior</t>
  </si>
  <si>
    <t>Factor de emisión de CH4 para residuos agrícolas</t>
  </si>
  <si>
    <t>±20</t>
  </si>
  <si>
    <t>OBP 2000 página 4.98</t>
  </si>
  <si>
    <t>Factor de emisión de CH4 para pastizales</t>
  </si>
  <si>
    <t>Directrices del IPCC de 2006. Vol. 4   Cap.2   Página 2.53</t>
  </si>
  <si>
    <t>Factor de emisión N2O para residuos agrícolas</t>
  </si>
  <si>
    <t>Factor de emisión N2O para pastizales</t>
  </si>
  <si>
    <t>3.C.3. Urea</t>
  </si>
  <si>
    <t>Valor a utilizar(%)</t>
  </si>
  <si>
    <t>NOTA: Se usa los datos directo de importaciones, por lo que se considera que la incertidumbr een el dato de actividad es cero.</t>
  </si>
  <si>
    <t>Factor de emisión (%)</t>
  </si>
  <si>
    <t>Directrices del IPCC de 2006. Vol. 4   Cap.11   Página 11.34</t>
  </si>
  <si>
    <t>Incertidumbre de los factores de emisión</t>
  </si>
  <si>
    <t xml:space="preserve">Aplicación de Urea </t>
  </si>
  <si>
    <t>±50</t>
  </si>
  <si>
    <t>3.C.4. Emisiones directas de N2O de suelos gestionados</t>
  </si>
  <si>
    <t>Valor promedio de A y B  (%)</t>
  </si>
  <si>
    <t>Límite inferior</t>
  </si>
  <si>
    <t>Límite Superior</t>
  </si>
  <si>
    <t>Emisiones directas de N2O de suelos manejados</t>
  </si>
  <si>
    <t>Superficie anual de principales cultivos por región</t>
  </si>
  <si>
    <t>Población anual de animales por región</t>
  </si>
  <si>
    <t>Producción anual de cultivos</t>
  </si>
  <si>
    <t>Producción anual de leguminosas</t>
  </si>
  <si>
    <t>Producción anual de caña de azúcar</t>
  </si>
  <si>
    <t>Producción anual de Cereales</t>
  </si>
  <si>
    <t>Producción anual de Tubérculos y raíces</t>
  </si>
  <si>
    <t>Producción anual de cultivos transitorios</t>
  </si>
  <si>
    <t>Producción anual de cultivos permanentes</t>
  </si>
  <si>
    <t>EF1 para aportes de N de fertilizantes minerales, abonos orgánicos y residuos agrícolas, y N mineralizado de suelos minerales a causa de pérdida de carbono del suelo [kg N2O–N (kg N)-1]</t>
  </si>
  <si>
    <t>Directrices del IPCC de 2006. Vol. 4   Cap.11   Cuadro. 11.1</t>
  </si>
  <si>
    <t xml:space="preserve">EF1FR para arrozales inundado </t>
  </si>
  <si>
    <t xml:space="preserve">EF3PRP, SO para ovinos y «otros animales» [kg N2O–N (kg N)- 1] </t>
  </si>
  <si>
    <t>3.C.5. Emisiones indirectas de N2O de suelos gestionados</t>
  </si>
  <si>
    <t>Emisiones indirectas de N2O de suelos manejados</t>
  </si>
  <si>
    <t>Población de ganado vacuno por región</t>
  </si>
  <si>
    <t>Población de ganado ovino por región</t>
  </si>
  <si>
    <t>Población de ganado caprino por región</t>
  </si>
  <si>
    <t>Población de camélidos por región</t>
  </si>
  <si>
    <t xml:space="preserve">Población de equinos por región </t>
  </si>
  <si>
    <t>Población de porcinos por región</t>
  </si>
  <si>
    <t xml:space="preserve">Población de cuyes por región </t>
  </si>
  <si>
    <t xml:space="preserve">Población de aves por región </t>
  </si>
  <si>
    <t>Producción de leguminosas</t>
  </si>
  <si>
    <t>Producción de caña de azúcar</t>
  </si>
  <si>
    <t>Producción mensual de Cereales</t>
  </si>
  <si>
    <t>Producción mensual de Tubérculos y raíces</t>
  </si>
  <si>
    <t>Producción mensual de cultivos transitorios</t>
  </si>
  <si>
    <t>Producción mensual de cultivos permanentes</t>
  </si>
  <si>
    <t>EF4 [volatilización y re-deposición de N], kg N2O–N
 (kg NH3–N + NOX–N volatilizado)-1</t>
  </si>
  <si>
    <t>Directrices del IPCC de 2006. Volumen 4 - Capitulo 11 - Cuadro 11.3</t>
  </si>
  <si>
    <t>FracGASF [Volatilización de fertilizante sintético], 
(kg NH3–N + NOx–N) (kg N aplicado) –1</t>
  </si>
  <si>
    <t>Directrices del IPCC de 2006 Revisadas en 2019  Vol. 4   Cap.11   Pag. 11.26</t>
  </si>
  <si>
    <t>FracGASM [Volatilización de todos los fertilizantes de N orgánicos aplicados, 
y de estiércol y orina depositados por animales en pastoreo], 
(kg NH3–N + NOx–N) (kg N aplicado o depositado) –1</t>
  </si>
  <si>
    <t xml:space="preserve">EF5 [lixiviación/escurrimiento], 
kg N2O–N (kg N lixiviación/escurrimiento) -1 </t>
  </si>
  <si>
    <t>Directrices del IPCC de 2006 Revisadas en 2019 Vol. 4   Cap.11   Pag. 11.26</t>
  </si>
  <si>
    <t>FracLIXIVIACIÓN-(H) [pérdidas de N por lixiviación/escurrimiento en regiones 
donde Σ(lluvia en la estación lluviosa) - Σ (EP en el mismo período) &gt;capacidad 
de retención del agua del suelo, O donde se emplea irrigación (excepto por goteo)], 
kg N (kg N agregado o por deposición de animales en pastoreo)-1</t>
  </si>
  <si>
    <t>3.C.6. Emisiones indirectas de N2O por manejo de estiércol</t>
  </si>
  <si>
    <t>Emisiones indirectas de N2O por manejo de estiércol</t>
  </si>
  <si>
    <t>Población de cabras por región</t>
  </si>
  <si>
    <t>Población de cerdos por región</t>
  </si>
  <si>
    <t>Población de aves por región</t>
  </si>
  <si>
    <t>EF4 [volatilización y re-deposición de N], 
kg N2O–N (kg NH3–N + NOX–N volatilizado)-1</t>
  </si>
  <si>
    <t>3.C.7. Arroz</t>
  </si>
  <si>
    <t xml:space="preserve">Superficie Anual de cultivo de arroz por región </t>
  </si>
  <si>
    <t>Cultivos de arroz</t>
  </si>
  <si>
    <t xml:space="preserve">Límite superior </t>
  </si>
  <si>
    <t>Factor de emisión regional para Sudamérica</t>
  </si>
  <si>
    <t>Directrices del IPCC de 2006 Revisadas en 2019. Volumen 4. Capítulo 5. Cuadro 5.11. Página. 5.53</t>
  </si>
  <si>
    <t>Régimen de gestión del agua durante el período de cultivo de arroz</t>
  </si>
  <si>
    <t>De regadio</t>
  </si>
  <si>
    <t xml:space="preserve">Inundadadas 
intermitentemente </t>
  </si>
  <si>
    <t>Aireación simple</t>
  </si>
  <si>
    <t>Directrices del IPCC de 2006 Revisadas en 2019.  Volumen 4. 
Capítulo 5. Cuadro 5.12. Página. 5.54</t>
  </si>
  <si>
    <t>Aireación múltiple</t>
  </si>
  <si>
    <t>Alimentación regular por lluvia</t>
  </si>
  <si>
    <t>Con tendencia a la sequía</t>
  </si>
  <si>
    <t>Régimen de gestión del agua en la pretemporada antes del período de cultivo de arroz</t>
  </si>
  <si>
    <t>Directrices del IPCC de 2006 Revisadas en 2019.  Volumen 4.
 Capítulo 5. Cuadro 5.13. Página. 5.55</t>
  </si>
  <si>
    <t>Opinión de expertos: Juan Santamaria Aranda / Cesar León Hinostroza (22 de noviembre del 2016).</t>
  </si>
  <si>
    <t>Estimado de los resultados del "Dictamen de Expertos 2020. MIDAGRI 2020</t>
  </si>
  <si>
    <t>Estimado de los resultados del "Dictamen de Expertos 2020. MINAGRI"</t>
  </si>
  <si>
    <t>Reporte Anual de Gases de Efecto Invernadero - 2019</t>
  </si>
  <si>
    <t>NOx</t>
  </si>
  <si>
    <t>Porcentaje de Preñez</t>
  </si>
  <si>
    <t xml:space="preserve">Referencia </t>
  </si>
  <si>
    <t>Emisiones de GEI 
(Gg CO2eq)</t>
  </si>
  <si>
    <t>Factor de emisión 
(%)</t>
  </si>
  <si>
    <r>
      <t>Fuentes agregadas y fuentes de emisión no-CO</t>
    </r>
    <r>
      <rPr>
        <b/>
        <vertAlign val="subscript"/>
        <sz val="10"/>
        <color rgb="FF2F5597"/>
        <rFont val="Calibri"/>
        <family val="2"/>
      </rPr>
      <t>2</t>
    </r>
    <r>
      <rPr>
        <b/>
        <sz val="10"/>
        <color rgb="FF2F5597"/>
        <rFont val="Calibri"/>
        <family val="2"/>
      </rPr>
      <t xml:space="preserve"> en la tierra</t>
    </r>
  </si>
  <si>
    <t>Emisiones de GEI</t>
  </si>
  <si>
    <r>
      <t>Emisiones de GEI</t>
    </r>
  </si>
  <si>
    <r>
      <t>[GgCO</t>
    </r>
    <r>
      <rPr>
        <b/>
        <vertAlign val="subscript"/>
        <sz val="10"/>
        <color rgb="FF000000"/>
        <rFont val="Calibri"/>
        <family val="2"/>
        <scheme val="minor"/>
      </rPr>
      <t>2</t>
    </r>
    <r>
      <rPr>
        <b/>
        <sz val="10"/>
        <color rgb="FF000000"/>
        <rFont val="Calibri"/>
        <family val="2"/>
        <scheme val="minor"/>
      </rPr>
      <t>eq]</t>
    </r>
  </si>
  <si>
    <t>Otro ganado
 vacuno</t>
  </si>
  <si>
    <t>Esta información fue determinada mediante opinión de expertos realizada por MIDAGRI (2022)</t>
  </si>
  <si>
    <t>IB</t>
  </si>
  <si>
    <t>IP</t>
  </si>
  <si>
    <t>: Información Procesada</t>
  </si>
  <si>
    <t>ms</t>
  </si>
  <si>
    <t>: materia seca</t>
  </si>
  <si>
    <t>Fuente de emisión</t>
  </si>
  <si>
    <t>Población Anual de animales vivos por departamento</t>
  </si>
  <si>
    <t>Nivel (TIER)</t>
  </si>
  <si>
    <t>2 para vacunos
1 para otras especies de ganado</t>
  </si>
  <si>
    <t>MIDAGRI (2020). Anuario Estadístico de producción ganadera y avícola 2019. Dirección de estadística Agraria.</t>
  </si>
  <si>
    <t>https://siea.midagri.gob.pe/portal/publicacion/boletines-anuales/5-ganadera-avicola</t>
  </si>
  <si>
    <t>Población anual de animales vivos por departamento</t>
  </si>
  <si>
    <t>Dato nacional</t>
  </si>
  <si>
    <t>N° de tabla</t>
  </si>
  <si>
    <t>Población Anual de vacas en ordeño por departamento</t>
  </si>
  <si>
    <t>Producción de leche cruda de vaca por departamento</t>
  </si>
  <si>
    <t>Ir a Sección Condiciones Fisicas, A. Temperatura promedio anual, según departamento 1999-2020 (pp 37) y descargar el documento</t>
  </si>
  <si>
    <t>https://siea.midagri.gob.pe/portal/publicacion/boletines-anuales/4-agricola</t>
  </si>
  <si>
    <t>Bioma</t>
  </si>
  <si>
    <t>https://siea.midagri.gob.pe/portal/publicacion/boletines-anuales/7-insumos-servicios-agropecuarios</t>
  </si>
  <si>
    <t>Superficie Anual de principales cultivos por departamento (hectáreas)</t>
  </si>
  <si>
    <t>Población de animales vivos por departamento</t>
  </si>
  <si>
    <t>Propuesta de cálculo para la población de equinos y burros, burras, mulas y cuyes y la superficie de pastos naturales. Orden de Servicio N° 2016- 1187. Dirección General de Asuntos Ambientales Agrarios. MIDAGRI.</t>
  </si>
  <si>
    <t>Vacas en ordeño (cabezas)</t>
  </si>
  <si>
    <t>Uso de la tierra (LU)</t>
  </si>
  <si>
    <t>Superficie cosechada anual por departamento (arroz cáscara)</t>
  </si>
  <si>
    <t>Consumo agrícola en 2019 [t]</t>
  </si>
  <si>
    <r>
      <t>Dolomita - CaCO</t>
    </r>
    <r>
      <rPr>
        <vertAlign val="subscript"/>
        <sz val="10"/>
        <rFont val="Calibri"/>
        <family val="2"/>
        <scheme val="minor"/>
      </rPr>
      <t>3</t>
    </r>
  </si>
  <si>
    <t>Superficie quemada (ha)</t>
  </si>
  <si>
    <r>
      <t>AGR (T) 
t ms año</t>
    </r>
    <r>
      <rPr>
        <b/>
        <vertAlign val="superscript"/>
        <sz val="10"/>
        <rFont val="Calibri"/>
        <family val="2"/>
        <scheme val="minor"/>
      </rPr>
      <t>-1</t>
    </r>
  </si>
  <si>
    <t>Rendim_Fresco (T)  t/ha</t>
  </si>
  <si>
    <r>
      <t>FON = cantidad total anual de fertilizante de N orgánico aplicada a los suelos, excepto el de animales en pastoreo, kg N año</t>
    </r>
    <r>
      <rPr>
        <vertAlign val="superscript"/>
        <sz val="10"/>
        <color theme="1"/>
        <rFont val="Calibri"/>
        <family val="2"/>
        <scheme val="minor"/>
      </rPr>
      <t>-1</t>
    </r>
  </si>
  <si>
    <r>
      <t>FAM = cantidad anual de N de estiércol animal aplicada a los suelos, kg N año</t>
    </r>
    <r>
      <rPr>
        <vertAlign val="superscript"/>
        <sz val="10"/>
        <color theme="1"/>
        <rFont val="Calibri"/>
        <family val="2"/>
        <scheme val="minor"/>
      </rPr>
      <t xml:space="preserve">-1 </t>
    </r>
  </si>
  <si>
    <r>
      <t>FSEW = cantidad anual de N total de barros cloacales (coordinar con el Sector Desechos para asegurarse de que no haya cómputo doble de N) que se aplica a los suelos, kg N año</t>
    </r>
    <r>
      <rPr>
        <vertAlign val="superscript"/>
        <sz val="10"/>
        <color theme="1"/>
        <rFont val="Calibri"/>
        <family val="2"/>
        <scheme val="minor"/>
      </rPr>
      <t>-1</t>
    </r>
  </si>
  <si>
    <r>
      <t>FCOMP = cantidad anual del total de N de compost aplicada a los suelos (asegurarse de que no haya cómputo doble del N de estiércol del compost), kg N año</t>
    </r>
    <r>
      <rPr>
        <vertAlign val="superscript"/>
        <sz val="10"/>
        <color theme="1"/>
        <rFont val="Calibri"/>
        <family val="2"/>
        <scheme val="minor"/>
      </rPr>
      <t>-1</t>
    </r>
  </si>
  <si>
    <r>
      <t>FOOA = cantidad anual de otros abonos orgánicos utilizados como fertilizantes (p. ej., desechos, guano, residuos de la fabricación de cerveza, etc.), kg N año</t>
    </r>
    <r>
      <rPr>
        <vertAlign val="superscript"/>
        <sz val="10"/>
        <color theme="1"/>
        <rFont val="Calibri"/>
        <family val="2"/>
        <scheme val="minor"/>
      </rPr>
      <t>-1</t>
    </r>
  </si>
  <si>
    <r>
      <t>FAM = cantidad anual de N de estiércol animal aplicada a los suelos, kg N año</t>
    </r>
    <r>
      <rPr>
        <vertAlign val="superscript"/>
        <sz val="10"/>
        <color theme="1"/>
        <rFont val="Calibri"/>
        <family val="2"/>
        <scheme val="minor"/>
      </rPr>
      <t>-1</t>
    </r>
  </si>
  <si>
    <r>
      <t>NMMS_Avb = cantidad de N del estiércol gestionado disponible para aplicación al suelo y para uso como alimento, combustible o en la construcción, kg N año</t>
    </r>
    <r>
      <rPr>
        <vertAlign val="superscript"/>
        <sz val="10"/>
        <color theme="1"/>
        <rFont val="Calibri"/>
        <family val="2"/>
        <scheme val="minor"/>
      </rPr>
      <t xml:space="preserve">-1 </t>
    </r>
    <r>
      <rPr>
        <sz val="10"/>
        <color theme="1"/>
        <rFont val="Calibri"/>
        <family val="2"/>
        <scheme val="minor"/>
      </rPr>
      <t xml:space="preserve">(véase la Ecuación 10.34 del Capítulo 10) </t>
    </r>
  </si>
  <si>
    <r>
      <t>Cultivo (T) = rendimiento anual de materia seca cosechada para el cultivo T, kg ms ha</t>
    </r>
    <r>
      <rPr>
        <vertAlign val="superscript"/>
        <sz val="10"/>
        <color theme="1"/>
        <rFont val="Calibri"/>
        <family val="2"/>
        <scheme val="minor"/>
      </rPr>
      <t>-1</t>
    </r>
  </si>
  <si>
    <r>
      <t>FCR = cantidad anual de N en los residuos agrícolas (aéreos y subterráneos), incluyendo los cultivos fijadores de N y de la renovación de forraje/pastura, devueltos a los suelos, kg N año</t>
    </r>
    <r>
      <rPr>
        <vertAlign val="superscript"/>
        <sz val="10"/>
        <color theme="1"/>
        <rFont val="Calibri"/>
        <family val="2"/>
        <scheme val="minor"/>
      </rPr>
      <t>-1</t>
    </r>
  </si>
  <si>
    <r>
      <t>Superf (T) = total de superficie anual de cosecha del cultivo T, há año</t>
    </r>
    <r>
      <rPr>
        <vertAlign val="superscript"/>
        <sz val="10"/>
        <color theme="1"/>
        <rFont val="Calibri"/>
        <family val="2"/>
        <scheme val="minor"/>
      </rPr>
      <t>-1</t>
    </r>
  </si>
  <si>
    <r>
      <t>Superf quemada (T) = superficie anual del cultivo T quemada, ha año</t>
    </r>
    <r>
      <rPr>
        <vertAlign val="superscript"/>
        <sz val="10"/>
        <color theme="1"/>
        <rFont val="Calibri"/>
        <family val="2"/>
        <scheme val="minor"/>
      </rPr>
      <t>-1</t>
    </r>
  </si>
  <si>
    <r>
      <t>RAG(T) = relación entre la materia seca de los residuos aéreos (AGDM(T)) y el rendimiento de cosecha del cultivo T (Cultivo(T)) , kg ms (kg ms.)</t>
    </r>
    <r>
      <rPr>
        <vertAlign val="superscript"/>
        <sz val="10"/>
        <color theme="1"/>
        <rFont val="Calibri"/>
        <family val="2"/>
        <scheme val="minor"/>
      </rPr>
      <t>-1,</t>
    </r>
  </si>
  <si>
    <r>
      <t>NAG (T) = contenido de N de los residuos aéreos del cultivo T, kg N (kg ms)</t>
    </r>
    <r>
      <rPr>
        <vertAlign val="superscript"/>
        <sz val="10"/>
        <color theme="1"/>
        <rFont val="Calibri"/>
        <family val="2"/>
        <scheme val="minor"/>
      </rPr>
      <t xml:space="preserve"> -1</t>
    </r>
    <r>
      <rPr>
        <sz val="10"/>
        <color theme="1"/>
        <rFont val="Calibri"/>
        <family val="2"/>
        <scheme val="minor"/>
      </rPr>
      <t xml:space="preserve">, (Cuadro 11.2) </t>
    </r>
  </si>
  <si>
    <r>
      <t>NBG(T) = contenido de N de los residuos subterráneos del cultivo T, kg N (kg ms)</t>
    </r>
    <r>
      <rPr>
        <vertAlign val="superscript"/>
        <sz val="10"/>
        <color theme="1"/>
        <rFont val="Calibri"/>
        <family val="2"/>
        <scheme val="minor"/>
      </rPr>
      <t>-1</t>
    </r>
    <r>
      <rPr>
        <sz val="10"/>
        <color theme="1"/>
        <rFont val="Calibri"/>
        <family val="2"/>
        <scheme val="minor"/>
      </rPr>
      <t xml:space="preserve">, (Cuadro 11.2) </t>
    </r>
  </si>
  <si>
    <r>
      <t>RBG(T) = relación entre residuos subterráneos y rendimiento de cosecha del cultivo T, kg d.m. (kg ms)</t>
    </r>
    <r>
      <rPr>
        <vertAlign val="superscript"/>
        <sz val="10"/>
        <color theme="1"/>
        <rFont val="Calibri"/>
        <family val="2"/>
        <scheme val="minor"/>
      </rPr>
      <t>-1</t>
    </r>
    <r>
      <rPr>
        <sz val="10"/>
        <color theme="1"/>
        <rFont val="Calibri"/>
        <family val="2"/>
        <scheme val="minor"/>
      </rPr>
      <t>. Si no se dispone de datos alternativos, RBG(T) puede calcularse multiplicando RBG-BIO del Cuadro 11.2 por la relación entre el total de biomasa aérea y el rendimiento del cultivo ( = [(AGDM(T) ● 1000 + Cultivo(T)) / Cultivo(T)],(también calculando AGDM(T) a partir de la información del Cuadro 11.2).</t>
    </r>
  </si>
  <si>
    <r>
      <t>Nex(T) = promedio anual de excreción de N por cabeza de la especie/categoría T en el país, kg N animal</t>
    </r>
    <r>
      <rPr>
        <vertAlign val="superscript"/>
        <sz val="10"/>
        <color theme="1"/>
        <rFont val="Calibri"/>
        <family val="2"/>
        <scheme val="minor"/>
      </rPr>
      <t>-1</t>
    </r>
    <r>
      <rPr>
        <sz val="10"/>
        <color theme="1"/>
        <rFont val="Calibri"/>
        <family val="2"/>
        <scheme val="minor"/>
      </rPr>
      <t xml:space="preserve"> año</t>
    </r>
    <r>
      <rPr>
        <vertAlign val="superscript"/>
        <sz val="10"/>
        <color theme="1"/>
        <rFont val="Calibri"/>
        <family val="2"/>
        <scheme val="minor"/>
      </rPr>
      <t>-1</t>
    </r>
    <r>
      <rPr>
        <sz val="10"/>
        <color theme="1"/>
        <rFont val="Calibri"/>
        <family val="2"/>
        <scheme val="minor"/>
      </rPr>
      <t xml:space="preserve"> (véase el Capítulo 10, Sección 10.5).</t>
    </r>
  </si>
  <si>
    <r>
      <t>FPRP = cantidad anual de N de la orina y el estiércol depositada en pasturas, prados y praderas por animales en pastoreo, kg N año</t>
    </r>
    <r>
      <rPr>
        <vertAlign val="superscript"/>
        <sz val="10"/>
        <color theme="1"/>
        <rFont val="Calibri"/>
        <family val="2"/>
        <scheme val="minor"/>
      </rPr>
      <t>-1</t>
    </r>
  </si>
  <si>
    <r>
      <t>Cultivo (T) = rendimiento de materia seca cosechada para el cultivo T, kg ms há</t>
    </r>
    <r>
      <rPr>
        <vertAlign val="superscript"/>
        <sz val="10"/>
        <color theme="1"/>
        <rFont val="Calibri"/>
        <family val="2"/>
        <scheme val="minor"/>
      </rPr>
      <t>-1</t>
    </r>
  </si>
  <si>
    <r>
      <t>Rendim_Fresco (T) = rendimiento en fresco cosechado para el cultivo T, kg peso fresco há</t>
    </r>
    <r>
      <rPr>
        <vertAlign val="superscript"/>
        <sz val="10"/>
        <color theme="1"/>
        <rFont val="Calibri"/>
        <family val="2"/>
        <scheme val="minor"/>
      </rPr>
      <t>-1</t>
    </r>
  </si>
  <si>
    <r>
      <t>SECO = fracción de materia seca del cultivo cosechado T, kg ms (kg peso fresco)</t>
    </r>
    <r>
      <rPr>
        <vertAlign val="superscript"/>
        <sz val="10"/>
        <color theme="1"/>
        <rFont val="Calibri"/>
        <family val="2"/>
        <scheme val="minor"/>
      </rPr>
      <t>-1</t>
    </r>
  </si>
  <si>
    <t>MIDAGRI (2019). Anuario Estadístico de producción ganadera y avícola  2018</t>
  </si>
  <si>
    <t>Refinamiento 2019 de las Directrices del IPCC de 2006. Volumen 4, capítulo 10, cuadro 10.21</t>
  </si>
  <si>
    <t>Directrices del IPCC de 2006. Volumen 4, capitulo 10, cuadro 10.11.</t>
  </si>
  <si>
    <t>Directrices del IPCC de 2006. Volumen 4, capitulo 10, cuadro 10.10.</t>
  </si>
  <si>
    <t>Refinamiento 2019 de las Directrices del IPCC de 2006. Volumen 4, capitulo 10, cuadro 10.10.</t>
  </si>
  <si>
    <t>Directrices del IPCC de 2006 refinadas 2019. Volumen 4, capitulo 10, cuadro 10.25.</t>
  </si>
  <si>
    <t>Directrices del IPCC de 2006. Volumen 4, capitulo 10, cuadro 10.A-9.</t>
  </si>
  <si>
    <t>Refinamiento 2019 de las Directrices del IPCC de 2006. Volumen 4, capítulo 10, cuadro 10.12</t>
  </si>
  <si>
    <t>Directrices del IPCC de 2006.  Volumen 4, capitulo 10, cuadros 10.14 - 10.16</t>
  </si>
  <si>
    <t>MIDAGRI (2020). Dictamen de Expertos 2020.</t>
  </si>
  <si>
    <t>TAM (kg)</t>
  </si>
  <si>
    <t xml:space="preserve">Acta N° 03-2017 del Grupo Técnico de Trabajo INFOCARBONO. </t>
  </si>
  <si>
    <t>Directrices del IPCC de  2006. Volumen 4, capitulo 10, cuadro 10.19</t>
  </si>
  <si>
    <t>Valor estimado según fórmula para la Caracterización del ganado sin métodos de estimación de emisiones específicas de la Directrices del IPCC de 2006, página 10.25.</t>
  </si>
  <si>
    <t>Diretrices del IPCC de 2006, volumen 4, capitulo 10, cuadro 10.19</t>
  </si>
  <si>
    <t>Directrices del IPCC de 2006. Volumen 4, capitulo 2, cuadro 2.5.</t>
  </si>
  <si>
    <t>Directrices del IPCC de 2006. Volumen 4, capitulo 2, cuadro 2.4</t>
  </si>
  <si>
    <t>Refinamiento 2019 de las Directrices del IPCC de 2006.  Volumen 4, capitulo 2, cuadro 2.4</t>
  </si>
  <si>
    <t>Variable</t>
  </si>
  <si>
    <t>Directrices del IPCC de 2006. Volumen 4, capitulo 2, cuadro 2.6</t>
  </si>
  <si>
    <t>Refinamiento 2019 de las Directrices del IPCC de 2006 refinadas 2019.  Volumen 4, capitulo 2, cuadro 2.6</t>
  </si>
  <si>
    <t>Directrices del IPCC de 2006. Volumen 4, capitulo 11, sección 11.3.2</t>
  </si>
  <si>
    <t>Directrices del IPCC de 2006. Volumen 4, capitulo 11, sección 11.4.2</t>
  </si>
  <si>
    <r>
      <t>EF2 CG, Temp para suelos orgánicos templados de cultivo y con pastizales (kg N</t>
    </r>
    <r>
      <rPr>
        <vertAlign val="subscript"/>
        <sz val="10"/>
        <rFont val="Calibri"/>
        <family val="2"/>
        <scheme val="minor"/>
      </rPr>
      <t>2</t>
    </r>
    <r>
      <rPr>
        <sz val="10"/>
        <rFont val="Calibri"/>
        <family val="2"/>
        <scheme val="minor"/>
      </rPr>
      <t>O–N há</t>
    </r>
    <r>
      <rPr>
        <vertAlign val="superscript"/>
        <sz val="10"/>
        <rFont val="Calibri"/>
        <family val="2"/>
        <scheme val="minor"/>
      </rPr>
      <t>-1</t>
    </r>
    <r>
      <rPr>
        <sz val="10"/>
        <rFont val="Calibri"/>
        <family val="2"/>
        <scheme val="minor"/>
      </rPr>
      <t xml:space="preserve">) </t>
    </r>
  </si>
  <si>
    <t>Periodos vegetativos (años)  (variables para el cálculo de los datos de actividad en IP 3C4_3C5 )</t>
  </si>
  <si>
    <t>Categorías</t>
  </si>
  <si>
    <t>Emisiones GEI</t>
  </si>
  <si>
    <r>
      <t>[GgCO</t>
    </r>
    <r>
      <rPr>
        <b/>
        <vertAlign val="subscript"/>
        <sz val="10"/>
        <color rgb="FFFFFFFF"/>
        <rFont val="Calibri"/>
        <family val="2"/>
        <scheme val="minor"/>
      </rPr>
      <t>2</t>
    </r>
    <r>
      <rPr>
        <b/>
        <sz val="10"/>
        <color rgb="FFFFFFFF"/>
        <rFont val="Calibri"/>
        <family val="2"/>
        <scheme val="minor"/>
      </rPr>
      <t>eq]</t>
    </r>
  </si>
  <si>
    <t>O</t>
  </si>
  <si>
    <t>Δ %</t>
  </si>
  <si>
    <t>Fuentes agregadas y emisiones no-CO2 en otras tierras</t>
  </si>
  <si>
    <t>Emisiones por quemado de biomasa</t>
  </si>
  <si>
    <t>Encalado</t>
  </si>
  <si>
    <r>
      <t>Emisiones directas de N</t>
    </r>
    <r>
      <rPr>
        <vertAlign val="subscript"/>
        <sz val="10"/>
        <color theme="1"/>
        <rFont val="Calibri"/>
        <family val="2"/>
        <scheme val="minor"/>
      </rPr>
      <t>2</t>
    </r>
    <r>
      <rPr>
        <sz val="10"/>
        <color theme="1"/>
        <rFont val="Calibri"/>
        <family val="2"/>
        <scheme val="minor"/>
      </rPr>
      <t>O de suelos gestionados</t>
    </r>
  </si>
  <si>
    <r>
      <t>Emisiones indirectas de N</t>
    </r>
    <r>
      <rPr>
        <vertAlign val="subscript"/>
        <sz val="10"/>
        <color theme="1"/>
        <rFont val="Calibri"/>
        <family val="2"/>
        <scheme val="minor"/>
      </rPr>
      <t>2</t>
    </r>
    <r>
      <rPr>
        <sz val="10"/>
        <color theme="1"/>
        <rFont val="Calibri"/>
        <family val="2"/>
        <scheme val="minor"/>
      </rPr>
      <t>O de suelos gestionados</t>
    </r>
  </si>
  <si>
    <r>
      <t>Emisiones indirectas de N</t>
    </r>
    <r>
      <rPr>
        <vertAlign val="subscript"/>
        <sz val="10"/>
        <color theme="1"/>
        <rFont val="Calibri"/>
        <family val="2"/>
        <scheme val="minor"/>
      </rPr>
      <t>2</t>
    </r>
    <r>
      <rPr>
        <sz val="10"/>
        <color theme="1"/>
        <rFont val="Calibri"/>
        <family val="2"/>
        <scheme val="minor"/>
      </rPr>
      <t>O por manejo de estiércol</t>
    </r>
  </si>
  <si>
    <t>Leyenda:  O - Original, A - Actual, Δ[%] - Variación de la estimación actual con respecto a la estimación original
Nota 1: Los valores negativos de la columna de variación (∆%) indican una reducción del valor de las emisiones/absorciones respecto al cálculo del RAGEI 2014.</t>
  </si>
  <si>
    <r>
      <t xml:space="preserve">Peso corporal vivo y maduro de un animal adulto en condición corporal moderada
</t>
    </r>
    <r>
      <rPr>
        <b/>
        <i/>
        <sz val="10"/>
        <rFont val="Calibri"/>
        <family val="2"/>
        <scheme val="minor"/>
      </rPr>
      <t>(MW)</t>
    </r>
    <r>
      <rPr>
        <b/>
        <sz val="10"/>
        <rFont val="Calibri"/>
        <family val="2"/>
        <scheme val="minor"/>
      </rPr>
      <t xml:space="preserve">
[Kg]</t>
    </r>
  </si>
  <si>
    <t>Directrices del IPCC de 2006. Volumen 4, capítulo 10, ecuación 10.6</t>
  </si>
  <si>
    <t>Coeficientes para calcular la energía neta para mantenimiento (NEm)</t>
  </si>
  <si>
    <t>Directrices del IPCC de 2006. Volumen 4, capítulo 10, cuadro 10.4</t>
  </si>
  <si>
    <t xml:space="preserve">Categoría animal </t>
  </si>
  <si>
    <t>Vacunos/búfalos (vacas no en lactancia)</t>
  </si>
  <si>
    <t xml:space="preserve">Vacunos/búfalos (vacas en lactancia) </t>
  </si>
  <si>
    <t xml:space="preserve">Vacunos/búfalos (toros) </t>
  </si>
  <si>
    <t>Vacas lecheras en producción</t>
  </si>
  <si>
    <t>Coeficientes de actividad correspondientes a la situación alimentaria de los vacunos</t>
  </si>
  <si>
    <t>Coeficiente (sin dimensión)</t>
  </si>
  <si>
    <t>Grandes superficies de pastoreo</t>
  </si>
  <si>
    <t xml:space="preserve">Pastura </t>
  </si>
  <si>
    <t xml:space="preserve">Compartimento </t>
  </si>
  <si>
    <t xml:space="preserve">Coeficientes a utilizar en el calculo de energía neta para crecimiento </t>
  </si>
  <si>
    <t>Directrices del IPCC de 2006. Volumen 4, capítulo 10, cuadro 10.5</t>
  </si>
  <si>
    <t>Directrices del IPCC de 2006. Volumen 4, capítulo 10, cuadro 10.7</t>
  </si>
  <si>
    <t>Coeficientes a utilizar en el calculo de energía neta para preñez</t>
  </si>
  <si>
    <t xml:space="preserve">** Debido a que no se cuenta con un valor de Ym  para las vacas para producción de carne, se utiliza el Ym de las Directrices del IPCC </t>
  </si>
  <si>
    <t>* El valor presentado, es el resultado del promedio de cuatro escenarios evaluados en el estudio consultado: 1) Pastura Cultivada Época Lluviosa = 7.7; 2) Pastura Cultivada Época Seca = 8.4; 3) Pastura Natural Época Lluviosa = 7.4; 4) Pastura Natural Época Seca =  8.0.</t>
  </si>
  <si>
    <t>Ym</t>
  </si>
  <si>
    <t xml:space="preserve">Porcentaje de parición </t>
  </si>
  <si>
    <t xml:space="preserve">MIDAGRI (2020). Informe de dictamen de expertos 2020. Informe de consultoría para la elaboracion del  Inventario Nacional de Gases de Efecto Invernadero - sector AFOLU, bajo la Iniciativa para la Transparencia en la Acción Climática - ICAT. </t>
  </si>
  <si>
    <t>n.d.</t>
  </si>
  <si>
    <t xml:space="preserve">Esta información proviene del dictamen de expertos recogido en el proceso de elaboración del RAGEI Agricultura 2016, y se emplea para corregir la población de las especies de ganado cuyo periodo de vida es menor de 1 año. Con ello, se obtiene la población media anual en el caso de los porcinos, aves y cuyes; de lo contrario, la estimación de emisiones por fermentación entérica sería sobreestimada. </t>
  </si>
  <si>
    <t>Esta información proviene del dictamen de expertos recogido en el proceso de elaboración del RAGEI Agricultura 2016</t>
  </si>
  <si>
    <t>: incluido en otro lugar del inventario</t>
  </si>
  <si>
    <t>Directrices del IPCC para los inventarios nacionales de gases de efecto invernadero - versión revisada en 2006 (Directrices del IPCC de 2006)</t>
  </si>
  <si>
    <t>MIDAGRI (2022). Anuarios estadístico de producción ganadera y avícola</t>
  </si>
  <si>
    <t xml:space="preserve">MIDAGRI (2022). Anuarios estadísticos de producción ganadera y avícola </t>
  </si>
  <si>
    <t>Temperatura promedio anual según departamento</t>
  </si>
  <si>
    <t>MIDAGRI (2022). Anuarios estadísticos de producción agrícola</t>
  </si>
  <si>
    <t xml:space="preserve">El porcentaje de área quemada por cultivo fue determinado por los expertos nacionales consultados durante la elaboración del RAGEI Agricultura 2018. </t>
  </si>
  <si>
    <t>Dictamen de expertos para el RAGEI del sector Agricultura del año 2018</t>
  </si>
  <si>
    <t>n.d</t>
  </si>
  <si>
    <t>Reporte anual de Gases de efecto Invernadero del sector UTCUTS, año 2019</t>
  </si>
  <si>
    <t>Reporte anual de Gases de efecto Invernadero del sector UTCUTS del año 2019</t>
  </si>
  <si>
    <t>MIDAGRI (2022). Anuarios estadísticos de insumos y servicios agropecuarios</t>
  </si>
  <si>
    <t>Pérdida promedio anual de carbono del suelo, ocurrido en cada clase de transición del uso de la tierra. Esta información proviene de los resultados de variación de carbono en los suelos minerales, que fueron estimados como parte del reporte anual de GEI del sector UTCUTS, año 2019.Se debe recalcar que en dicho inventario, no se contabilizaron las variaciones de carbono en las clases donde no hubo cambio de uso (permanencias), debido a los supuestos de cálculo pertinentes a cada clase.</t>
  </si>
  <si>
    <t>Tierras forestales que permanecen como tierras forestales</t>
  </si>
  <si>
    <t>Tierras de cultivo que permanecen como tierras de cultivo</t>
  </si>
  <si>
    <t>Tierras que se convierten a tierras de cultivo</t>
  </si>
  <si>
    <t xml:space="preserve">Tierras que se convierten a pastizales  </t>
  </si>
  <si>
    <t>Otras tierras</t>
  </si>
  <si>
    <t xml:space="preserve">La información proviene de la matriz de uso y cambio de uso de la tierra, correspondiente al año de reporte, que fue elaborada como parte del reporte anual de GEI del sector UTCUTS.
Las superficies de permanencia se presentan sin ajuste, dado que representan las superficies existentes de Pastizales permenentes al año de reporte.  Cabe mencionar que Amazonía incluye las sumatoria de las superficies de permanencia y conversión de pastizales en cuatro ecozonas del sector UTCUTS (selva alta accesible, selva ata de dificil acceso, selva baja y zona hidromórfica).
</t>
  </si>
  <si>
    <t xml:space="preserve">Ingresar al portal de SEIA, seleccionar el enlace correspondiente al año de reporte, descargar el archivo en formato ZIP, y consultar la hoja de datos excel. 
Los expertos de MIDAGRI determinaron que los cultivos donde ocurren quema de biomasa son: caña de azúcar, arroz, y algodón. </t>
  </si>
  <si>
    <t xml:space="preserve">Ingresar al portal de SEIA, seleccionar el enlace correspondiente al año de reporte, descargar el archivo en formato ZIP, y consultar la hoja de datos excel. </t>
  </si>
  <si>
    <t>Ingresar al portal de SEIA, descargar archivo correspondiente al año de reporte y ubicar la sección de importación de fertilizantes químicos</t>
  </si>
  <si>
    <t>Producción Anual de principales cultivos por departamento (toneladas)</t>
  </si>
  <si>
    <t>MIDAGRI (2022). Anuario estadísticos de producción ganadera y avícola</t>
  </si>
  <si>
    <t>Directrices del IPCC de 2006. Volumen 4, capítulo 10,  anexo 10A.2, tabla 10A-9</t>
  </si>
  <si>
    <t>Directrices del IPCC de 2006. Volumen 4, capítulo 10,  anexo 10A.2, tabla 10A-7</t>
  </si>
  <si>
    <t>Acta N° 03-2017  del Grupo Técnico de Trabajo INFOCARBONO</t>
  </si>
  <si>
    <t>Directrices del IPCC de 2006. Volumen 4, capítulo 10,  anexo 10A.2 , tabla 10A-9</t>
  </si>
  <si>
    <t xml:space="preserve">* El peso promedio de las aves se determino con el valor porcentual de cada especie de tipo ave, obtenida también por dictamen de expertos, siendo estas: 1) Pollo = 2.85; 2) Gallina = 2.95; 3) Pato = 3.35; 4) Pavo = 10.50
</t>
  </si>
  <si>
    <t>Praderas y pastizales*</t>
  </si>
  <si>
    <r>
      <t>* Las emisiones directas e indirectas de N</t>
    </r>
    <r>
      <rPr>
        <vertAlign val="subscript"/>
        <sz val="9"/>
        <rFont val="Calibri"/>
        <family val="2"/>
        <scheme val="minor"/>
      </rPr>
      <t>2</t>
    </r>
    <r>
      <rPr>
        <sz val="9"/>
        <rFont val="Calibri"/>
        <family val="2"/>
        <scheme val="minor"/>
      </rPr>
      <t>O relacionadas con el estiércol depositado en suelos agrícolas y en sistemas de pasturas, prados y praderas se tratan en el Capítulo 11, Sección 11.2, Emisiones de N2O de suelos gestionados.</t>
    </r>
  </si>
  <si>
    <t>Quema como combustible**</t>
  </si>
  <si>
    <t>** Las emisiones relacionadas con la quema del estiércol se deben declarar bajo la categoría «Quema de combustible» del IPCC, si el estiércol se emplea como combustible y bajo la categoría «Incineración de desechos» del IPCC, si el estiércol se quema sin recuperación de energía.
Las emisiones directas e indirectas de N2O relacionadas con la orina depositada en suelos agrícolas y en sistemas de pasturas, prados y praderas se tratan en el Capítulo 11, Sección 11.2, Emisiones de N2O de suelos gestionados.</t>
  </si>
  <si>
    <r>
      <t>Factor de emisión de emisiones directas de N</t>
    </r>
    <r>
      <rPr>
        <b/>
        <vertAlign val="subscript"/>
        <sz val="10"/>
        <rFont val="Calibri"/>
        <family val="2"/>
        <scheme val="minor"/>
      </rPr>
      <t>2</t>
    </r>
    <r>
      <rPr>
        <b/>
        <sz val="10"/>
        <rFont val="Calibri"/>
        <family val="2"/>
        <scheme val="minor"/>
      </rPr>
      <t>O por manejo de estiércol (FE</t>
    </r>
    <r>
      <rPr>
        <b/>
        <vertAlign val="subscript"/>
        <sz val="10"/>
        <rFont val="Calibri"/>
        <family val="2"/>
        <scheme val="minor"/>
      </rPr>
      <t>3</t>
    </r>
    <r>
      <rPr>
        <b/>
        <sz val="10"/>
        <rFont val="Calibri"/>
        <family val="2"/>
        <scheme val="minor"/>
      </rPr>
      <t>(S))
[kg de N</t>
    </r>
    <r>
      <rPr>
        <b/>
        <vertAlign val="subscript"/>
        <sz val="10"/>
        <rFont val="Calibri"/>
        <family val="2"/>
        <scheme val="minor"/>
      </rPr>
      <t>2</t>
    </r>
    <r>
      <rPr>
        <b/>
        <sz val="10"/>
        <rFont val="Calibri"/>
        <family val="2"/>
        <scheme val="minor"/>
      </rPr>
      <t>O-N/kg N]</t>
    </r>
  </si>
  <si>
    <t>Otros cultivos*</t>
  </si>
  <si>
    <r>
      <t>AGR (T) se refiere a la cantidad total anual de residuos de cultivos sobre el suelo para el cultivo T, kg ms. año</t>
    </r>
    <r>
      <rPr>
        <vertAlign val="superscript"/>
        <sz val="10"/>
        <rFont val="Calibri"/>
        <family val="2"/>
        <scheme val="minor"/>
      </rPr>
      <t>-1</t>
    </r>
    <r>
      <rPr>
        <sz val="10"/>
        <rFont val="Calibri"/>
        <family val="2"/>
        <scheme val="minor"/>
      </rPr>
      <t xml:space="preserve">
FracBrunt (T) se refiere a la proporción del área de cultivos donde se quema biomasa, líneas arriba</t>
    </r>
  </si>
  <si>
    <t>Directrices del IPCC de 2006. Volumen 4, capitulo 11, cuadro 11.1</t>
  </si>
  <si>
    <t>Directrices del IPCC de 2006. Volumen 4, capítulo 11, cuadro 11.2</t>
  </si>
  <si>
    <t>Cultivos*</t>
  </si>
  <si>
    <t>Directrices del IPCC de 2006. Volumen 4, capítulo 11, página 11.15</t>
  </si>
  <si>
    <t>Directrices del IPCC de 2006. Volumen 4, capitulo 11, cuadro 11.3.</t>
  </si>
  <si>
    <t>Refinamiento 2019 de las Directrices del IPCC de 2006. Volumen 4, capítulo 11, cuadro 11.3.</t>
  </si>
  <si>
    <r>
      <t>EF4 (volatilización y re-deposición de N], kg N</t>
    </r>
    <r>
      <rPr>
        <vertAlign val="subscript"/>
        <sz val="10"/>
        <rFont val="Calibri"/>
        <family val="2"/>
        <scheme val="minor"/>
      </rPr>
      <t>2</t>
    </r>
    <r>
      <rPr>
        <sz val="10"/>
        <rFont val="Calibri"/>
        <family val="2"/>
        <scheme val="minor"/>
      </rPr>
      <t>O–N (kg NH</t>
    </r>
    <r>
      <rPr>
        <vertAlign val="subscript"/>
        <sz val="10"/>
        <rFont val="Calibri"/>
        <family val="2"/>
        <scheme val="minor"/>
      </rPr>
      <t>3</t>
    </r>
    <r>
      <rPr>
        <sz val="10"/>
        <rFont val="Calibri"/>
        <family val="2"/>
        <scheme val="minor"/>
      </rPr>
      <t>–N + NOX–N volatilizado)</t>
    </r>
    <r>
      <rPr>
        <vertAlign val="superscript"/>
        <sz val="10"/>
        <rFont val="Calibri"/>
        <family val="2"/>
        <scheme val="minor"/>
      </rPr>
      <t>-1</t>
    </r>
  </si>
  <si>
    <r>
      <t>EF5 [lixiviación/escurrimiento], kg N</t>
    </r>
    <r>
      <rPr>
        <vertAlign val="subscript"/>
        <sz val="10"/>
        <rFont val="Calibri"/>
        <family val="2"/>
        <scheme val="minor"/>
      </rPr>
      <t>2</t>
    </r>
    <r>
      <rPr>
        <sz val="10"/>
        <rFont val="Calibri"/>
        <family val="2"/>
        <scheme val="minor"/>
      </rPr>
      <t>O–N (kg N lixiviación/escurrimiento)</t>
    </r>
    <r>
      <rPr>
        <vertAlign val="superscript"/>
        <sz val="10"/>
        <rFont val="Calibri"/>
        <family val="2"/>
        <scheme val="minor"/>
      </rPr>
      <t>-1</t>
    </r>
  </si>
  <si>
    <r>
      <t>FracGASF [Volatilización de fertilizante sintético] , (kg NH</t>
    </r>
    <r>
      <rPr>
        <vertAlign val="subscript"/>
        <sz val="10"/>
        <rFont val="Calibri"/>
        <family val="2"/>
        <scheme val="minor"/>
      </rPr>
      <t>3</t>
    </r>
    <r>
      <rPr>
        <sz val="10"/>
        <rFont val="Calibri"/>
        <family val="2"/>
        <scheme val="minor"/>
      </rPr>
      <t>–N + NOx–N) (kg N aplicado)</t>
    </r>
    <r>
      <rPr>
        <vertAlign val="superscript"/>
        <sz val="10"/>
        <rFont val="Calibri"/>
        <family val="2"/>
        <scheme val="minor"/>
      </rPr>
      <t>–1</t>
    </r>
  </si>
  <si>
    <r>
      <t>FracGASM [Volatilización de todos los fertilizantes de N orgánicos aplicados, y de estiércol y orina depositados por animales en pastoreo], (kg NH</t>
    </r>
    <r>
      <rPr>
        <vertAlign val="subscript"/>
        <sz val="10"/>
        <rFont val="Calibri"/>
        <family val="2"/>
        <scheme val="minor"/>
      </rPr>
      <t>3</t>
    </r>
    <r>
      <rPr>
        <sz val="10"/>
        <rFont val="Calibri"/>
        <family val="2"/>
        <scheme val="minor"/>
      </rPr>
      <t>–N + NOx–N) (kg N aplicado o depositado)</t>
    </r>
    <r>
      <rPr>
        <vertAlign val="superscript"/>
        <sz val="10"/>
        <rFont val="Calibri"/>
        <family val="2"/>
        <scheme val="minor"/>
      </rPr>
      <t>–1</t>
    </r>
  </si>
  <si>
    <t>Directrices del IPCC de 2006. Volumen 4, capítulo 11, cuadro 11.3.</t>
  </si>
  <si>
    <r>
      <t>Valores por defecto para la pérdida de nitrógeno debida a volatilización de NH</t>
    </r>
    <r>
      <rPr>
        <b/>
        <vertAlign val="subscript"/>
        <sz val="10"/>
        <rFont val="Calibri"/>
        <family val="2"/>
        <scheme val="minor"/>
      </rPr>
      <t>3</t>
    </r>
    <r>
      <rPr>
        <b/>
        <sz val="10"/>
        <rFont val="Calibri"/>
        <family val="2"/>
        <scheme val="minor"/>
      </rPr>
      <t xml:space="preserve"> y NOX de la gestión del estiércol</t>
    </r>
  </si>
  <si>
    <t>Directrices del IPCC de 2006. Volumen 4, capítulo 10, cuadro 10.22</t>
  </si>
  <si>
    <t>Directrices del IPCC de 2006. Volumen 4, capítulo 10, cuadro 10.23</t>
  </si>
  <si>
    <t>Refinamiento 2019 de las Directrices del IPCC de 2006. Volumen 4, capítulo 5, cuadro 5.11</t>
  </si>
  <si>
    <t>Refinamiento 2019 de las Directrices del IPCC de 2006. Volumen 4, capítulo 5, cuadro 5.12</t>
  </si>
  <si>
    <t>Refinamiento 2019 de las Directrices del IPCC de 2006. Volumen 4, capítulo 5, cuadro 5.13</t>
  </si>
  <si>
    <t>Refinamiento 2019 de las Directrices del IPCC de 2006. Volumen 4, capítulo 5, cuadro 5.14</t>
  </si>
  <si>
    <t xml:space="preserve">EF </t>
  </si>
  <si>
    <r>
      <t>(kg CH4 cabeza</t>
    </r>
    <r>
      <rPr>
        <b/>
        <vertAlign val="superscript"/>
        <sz val="10"/>
        <rFont val="Calibri"/>
        <family val="2"/>
        <scheme val="minor"/>
      </rPr>
      <t xml:space="preserve">-1 </t>
    </r>
    <r>
      <rPr>
        <b/>
        <sz val="10"/>
        <rFont val="Calibri"/>
        <family val="2"/>
        <scheme val="minor"/>
      </rPr>
      <t>año</t>
    </r>
    <r>
      <rPr>
        <b/>
        <vertAlign val="superscript"/>
        <sz val="10"/>
        <rFont val="Calibri"/>
        <family val="2"/>
        <scheme val="minor"/>
      </rPr>
      <t>-1</t>
    </r>
    <r>
      <rPr>
        <b/>
        <sz val="10"/>
        <rFont val="Calibri"/>
        <family val="2"/>
        <scheme val="minor"/>
      </rPr>
      <t>)</t>
    </r>
  </si>
  <si>
    <r>
      <t>(kg CH</t>
    </r>
    <r>
      <rPr>
        <b/>
        <vertAlign val="subscript"/>
        <sz val="10"/>
        <rFont val="Calibri"/>
        <family val="2"/>
        <scheme val="minor"/>
      </rPr>
      <t>4</t>
    </r>
    <r>
      <rPr>
        <b/>
        <sz val="10"/>
        <rFont val="Calibri"/>
        <family val="2"/>
        <scheme val="minor"/>
      </rPr>
      <t xml:space="preserve"> año</t>
    </r>
    <r>
      <rPr>
        <b/>
        <vertAlign val="superscript"/>
        <sz val="10"/>
        <rFont val="Calibri"/>
        <family val="2"/>
        <scheme val="minor"/>
      </rPr>
      <t>-1</t>
    </r>
    <r>
      <rPr>
        <b/>
        <sz val="10"/>
        <rFont val="Calibri"/>
        <family val="2"/>
        <scheme val="minor"/>
      </rPr>
      <t>)</t>
    </r>
  </si>
  <si>
    <r>
      <t>Emisiones de CH</t>
    </r>
    <r>
      <rPr>
        <b/>
        <vertAlign val="subscript"/>
        <sz val="10"/>
        <rFont val="Calibri"/>
        <family val="2"/>
        <scheme val="minor"/>
      </rPr>
      <t>4</t>
    </r>
    <r>
      <rPr>
        <b/>
        <sz val="10"/>
        <rFont val="Calibri"/>
        <family val="2"/>
        <scheme val="minor"/>
      </rPr>
      <t xml:space="preserve"> por Fermentación Entérica de vacunos</t>
    </r>
  </si>
  <si>
    <r>
      <t>(Gg CH</t>
    </r>
    <r>
      <rPr>
        <b/>
        <vertAlign val="subscript"/>
        <sz val="10"/>
        <rFont val="Calibri"/>
        <family val="2"/>
        <scheme val="minor"/>
      </rPr>
      <t>4</t>
    </r>
    <r>
      <rPr>
        <b/>
        <sz val="10"/>
        <rFont val="Calibri"/>
        <family val="2"/>
        <scheme val="minor"/>
      </rPr>
      <t xml:space="preserve"> año</t>
    </r>
    <r>
      <rPr>
        <b/>
        <vertAlign val="superscript"/>
        <sz val="10"/>
        <rFont val="Calibri"/>
        <family val="2"/>
        <scheme val="minor"/>
      </rPr>
      <t>-1</t>
    </r>
    <r>
      <rPr>
        <b/>
        <sz val="10"/>
        <rFont val="Calibri"/>
        <family val="2"/>
        <scheme val="minor"/>
      </rPr>
      <t>)</t>
    </r>
  </si>
  <si>
    <t xml:space="preserve">Dato nacional </t>
  </si>
  <si>
    <r>
      <t>Subcategorias para el año de notificación</t>
    </r>
    <r>
      <rPr>
        <b/>
        <vertAlign val="superscript"/>
        <sz val="10"/>
        <rFont val="Calibri"/>
        <family val="2"/>
        <scheme val="minor"/>
      </rPr>
      <t>1</t>
    </r>
  </si>
  <si>
    <r>
      <t>Masa de combustible disponible para combustión</t>
    </r>
    <r>
      <rPr>
        <b/>
        <vertAlign val="superscript"/>
        <sz val="10"/>
        <rFont val="Calibri"/>
        <family val="2"/>
        <scheme val="minor"/>
      </rPr>
      <t>2</t>
    </r>
  </si>
  <si>
    <r>
      <t>Factor de Combustión</t>
    </r>
    <r>
      <rPr>
        <b/>
        <vertAlign val="superscript"/>
        <sz val="10"/>
        <rFont val="Calibri"/>
        <family val="2"/>
        <scheme val="minor"/>
      </rPr>
      <t>3</t>
    </r>
  </si>
  <si>
    <r>
      <t>Emisiones de CH</t>
    </r>
    <r>
      <rPr>
        <b/>
        <vertAlign val="subscript"/>
        <sz val="10"/>
        <rFont val="Calibri"/>
        <family val="2"/>
        <scheme val="minor"/>
      </rPr>
      <t>4</t>
    </r>
    <r>
      <rPr>
        <b/>
        <sz val="10"/>
        <rFont val="Calibri"/>
        <family val="2"/>
        <scheme val="minor"/>
      </rPr>
      <t xml:space="preserve"> por fuego</t>
    </r>
  </si>
  <si>
    <r>
      <t>Emisiones de N</t>
    </r>
    <r>
      <rPr>
        <b/>
        <vertAlign val="subscript"/>
        <sz val="10"/>
        <rFont val="Calibri"/>
        <family val="2"/>
        <scheme val="minor"/>
      </rPr>
      <t>2</t>
    </r>
    <r>
      <rPr>
        <b/>
        <sz val="10"/>
        <rFont val="Calibri"/>
        <family val="2"/>
        <scheme val="minor"/>
      </rPr>
      <t>O por fuego</t>
    </r>
  </si>
  <si>
    <r>
      <t>Emisiones de NO</t>
    </r>
    <r>
      <rPr>
        <b/>
        <vertAlign val="subscript"/>
        <sz val="10"/>
        <rFont val="Calibri"/>
        <family val="2"/>
        <scheme val="minor"/>
      </rPr>
      <t>x</t>
    </r>
    <r>
      <rPr>
        <b/>
        <sz val="10"/>
        <rFont val="Calibri"/>
        <family val="2"/>
        <scheme val="minor"/>
      </rPr>
      <t xml:space="preserve"> por fuego</t>
    </r>
  </si>
  <si>
    <r>
      <t>(toneladas ha</t>
    </r>
    <r>
      <rPr>
        <b/>
        <vertAlign val="superscript"/>
        <sz val="10"/>
        <rFont val="Calibri"/>
        <family val="2"/>
        <scheme val="minor"/>
      </rPr>
      <t>-1</t>
    </r>
    <r>
      <rPr>
        <b/>
        <sz val="10"/>
        <rFont val="Calibri"/>
        <family val="2"/>
        <scheme val="minor"/>
      </rPr>
      <t>)</t>
    </r>
  </si>
  <si>
    <r>
      <t>[g GEI (kg ms quemada)</t>
    </r>
    <r>
      <rPr>
        <b/>
        <vertAlign val="superscript"/>
        <sz val="10"/>
        <rFont val="Calibri"/>
        <family val="2"/>
        <scheme val="minor"/>
      </rPr>
      <t>-1</t>
    </r>
    <r>
      <rPr>
        <b/>
        <sz val="10"/>
        <rFont val="Calibri"/>
        <family val="2"/>
        <scheme val="minor"/>
      </rPr>
      <t>]</t>
    </r>
  </si>
  <si>
    <r>
      <t>(toneladas CH</t>
    </r>
    <r>
      <rPr>
        <b/>
        <vertAlign val="subscript"/>
        <sz val="10"/>
        <rFont val="Calibri"/>
        <family val="2"/>
        <scheme val="minor"/>
      </rPr>
      <t>4</t>
    </r>
    <r>
      <rPr>
        <b/>
        <sz val="10"/>
        <rFont val="Calibri"/>
        <family val="2"/>
        <scheme val="minor"/>
      </rPr>
      <t>)</t>
    </r>
  </si>
  <si>
    <r>
      <t>(toneladas N</t>
    </r>
    <r>
      <rPr>
        <b/>
        <vertAlign val="subscript"/>
        <sz val="10"/>
        <rFont val="Calibri"/>
        <family val="2"/>
        <scheme val="minor"/>
      </rPr>
      <t>2</t>
    </r>
    <r>
      <rPr>
        <b/>
        <sz val="10"/>
        <rFont val="Calibri"/>
        <family val="2"/>
        <scheme val="minor"/>
      </rPr>
      <t>O)</t>
    </r>
  </si>
  <si>
    <r>
      <t>(Gg CH</t>
    </r>
    <r>
      <rPr>
        <b/>
        <vertAlign val="subscript"/>
        <sz val="10"/>
        <rFont val="Calibri"/>
        <family val="2"/>
        <scheme val="minor"/>
      </rPr>
      <t>4</t>
    </r>
    <r>
      <rPr>
        <b/>
        <sz val="10"/>
        <rFont val="Calibri"/>
        <family val="2"/>
        <scheme val="minor"/>
      </rPr>
      <t>)</t>
    </r>
  </si>
  <si>
    <r>
      <t>(Gg NO</t>
    </r>
    <r>
      <rPr>
        <b/>
        <vertAlign val="subscript"/>
        <sz val="10"/>
        <rFont val="Calibri"/>
        <family val="2"/>
        <scheme val="minor"/>
      </rPr>
      <t>x</t>
    </r>
    <r>
      <rPr>
        <b/>
        <sz val="10"/>
        <rFont val="Calibri"/>
        <family val="2"/>
        <scheme val="minor"/>
      </rPr>
      <t>)</t>
    </r>
  </si>
  <si>
    <r>
      <t>L</t>
    </r>
    <r>
      <rPr>
        <b/>
        <vertAlign val="subscript"/>
        <sz val="10"/>
        <rFont val="Calibri"/>
        <family val="2"/>
        <scheme val="minor"/>
      </rPr>
      <t>fuego</t>
    </r>
    <r>
      <rPr>
        <b/>
        <sz val="10"/>
        <rFont val="Calibri"/>
        <family val="2"/>
        <scheme val="minor"/>
      </rPr>
      <t>-CH</t>
    </r>
    <r>
      <rPr>
        <b/>
        <vertAlign val="subscript"/>
        <sz val="10"/>
        <rFont val="Calibri"/>
        <family val="2"/>
        <scheme val="minor"/>
      </rPr>
      <t>4</t>
    </r>
    <r>
      <rPr>
        <b/>
        <sz val="10"/>
        <rFont val="Calibri"/>
        <family val="2"/>
        <scheme val="minor"/>
      </rPr>
      <t xml:space="preserve"> =</t>
    </r>
  </si>
  <si>
    <r>
      <t>L</t>
    </r>
    <r>
      <rPr>
        <b/>
        <vertAlign val="subscript"/>
        <sz val="10"/>
        <rFont val="Calibri"/>
        <family val="2"/>
        <scheme val="minor"/>
      </rPr>
      <t>fuego</t>
    </r>
    <r>
      <rPr>
        <b/>
        <sz val="10"/>
        <rFont val="Calibri"/>
        <family val="2"/>
        <scheme val="minor"/>
      </rPr>
      <t>-CO =</t>
    </r>
  </si>
  <si>
    <r>
      <t>L</t>
    </r>
    <r>
      <rPr>
        <b/>
        <vertAlign val="subscript"/>
        <sz val="10"/>
        <rFont val="Calibri"/>
        <family val="2"/>
        <scheme val="minor"/>
      </rPr>
      <t>fuego</t>
    </r>
    <r>
      <rPr>
        <b/>
        <sz val="10"/>
        <rFont val="Calibri"/>
        <family val="2"/>
        <scheme val="minor"/>
      </rPr>
      <t>-N</t>
    </r>
    <r>
      <rPr>
        <b/>
        <vertAlign val="subscript"/>
        <sz val="10"/>
        <rFont val="Calibri"/>
        <family val="2"/>
        <scheme val="minor"/>
      </rPr>
      <t>2</t>
    </r>
    <r>
      <rPr>
        <b/>
        <sz val="10"/>
        <rFont val="Calibri"/>
        <family val="2"/>
        <scheme val="minor"/>
      </rPr>
      <t>O =</t>
    </r>
  </si>
  <si>
    <r>
      <t>L</t>
    </r>
    <r>
      <rPr>
        <b/>
        <vertAlign val="subscript"/>
        <sz val="10"/>
        <rFont val="Calibri"/>
        <family val="2"/>
        <scheme val="minor"/>
      </rPr>
      <t>fuego</t>
    </r>
    <r>
      <rPr>
        <b/>
        <sz val="10"/>
        <rFont val="Calibri"/>
        <family val="2"/>
        <scheme val="minor"/>
      </rPr>
      <t>-NO</t>
    </r>
    <r>
      <rPr>
        <b/>
        <vertAlign val="subscript"/>
        <sz val="10"/>
        <rFont val="Calibri"/>
        <family val="2"/>
        <scheme val="minor"/>
      </rPr>
      <t>x</t>
    </r>
    <r>
      <rPr>
        <b/>
        <sz val="10"/>
        <rFont val="Calibri"/>
        <family val="2"/>
        <scheme val="minor"/>
      </rPr>
      <t xml:space="preserve"> =</t>
    </r>
  </si>
  <si>
    <r>
      <t>A * M</t>
    </r>
    <r>
      <rPr>
        <b/>
        <vertAlign val="subscript"/>
        <sz val="10"/>
        <rFont val="Calibri"/>
        <family val="2"/>
        <scheme val="minor"/>
      </rPr>
      <t>B</t>
    </r>
    <r>
      <rPr>
        <b/>
        <sz val="10"/>
        <rFont val="Calibri"/>
        <family val="2"/>
        <scheme val="minor"/>
      </rPr>
      <t xml:space="preserve"> * C</t>
    </r>
    <r>
      <rPr>
        <b/>
        <vertAlign val="subscript"/>
        <sz val="10"/>
        <rFont val="Calibri"/>
        <family val="2"/>
        <scheme val="minor"/>
      </rPr>
      <t>f</t>
    </r>
    <r>
      <rPr>
        <b/>
        <sz val="10"/>
        <rFont val="Calibri"/>
        <family val="2"/>
        <scheme val="minor"/>
      </rPr>
      <t xml:space="preserve"> * G</t>
    </r>
    <r>
      <rPr>
        <b/>
        <vertAlign val="subscript"/>
        <sz val="10"/>
        <rFont val="Calibri"/>
        <family val="2"/>
        <scheme val="minor"/>
      </rPr>
      <t>ef</t>
    </r>
    <r>
      <rPr>
        <b/>
        <sz val="10"/>
        <rFont val="Calibri"/>
        <family val="2"/>
        <scheme val="minor"/>
      </rPr>
      <t xml:space="preserve"> * 10</t>
    </r>
    <r>
      <rPr>
        <b/>
        <vertAlign val="superscript"/>
        <sz val="10"/>
        <rFont val="Calibri"/>
        <family val="2"/>
        <scheme val="minor"/>
      </rPr>
      <t>-3</t>
    </r>
  </si>
  <si>
    <r>
      <t>Emisiones de CH</t>
    </r>
    <r>
      <rPr>
        <b/>
        <vertAlign val="subscript"/>
        <sz val="10"/>
        <rFont val="Calibri"/>
        <family val="2"/>
        <scheme val="minor"/>
      </rPr>
      <t>4</t>
    </r>
    <r>
      <rPr>
        <b/>
        <sz val="10"/>
        <rFont val="Calibri"/>
        <family val="2"/>
        <scheme val="minor"/>
      </rPr>
      <t xml:space="preserve"> por Fermentación Entérica</t>
    </r>
  </si>
  <si>
    <r>
      <t>Emisiones de CH</t>
    </r>
    <r>
      <rPr>
        <b/>
        <vertAlign val="subscript"/>
        <sz val="10"/>
        <rFont val="Calibri"/>
        <family val="2"/>
        <scheme val="minor"/>
      </rPr>
      <t>4</t>
    </r>
    <r>
      <rPr>
        <b/>
        <sz val="10"/>
        <rFont val="Calibri"/>
        <family val="2"/>
        <scheme val="minor"/>
      </rPr>
      <t xml:space="preserve"> por Manejo del Estiércol  </t>
    </r>
  </si>
  <si>
    <r>
      <t>(kg cabeza</t>
    </r>
    <r>
      <rPr>
        <b/>
        <vertAlign val="superscript"/>
        <sz val="10"/>
        <rFont val="Calibri"/>
        <family val="2"/>
        <scheme val="minor"/>
      </rPr>
      <t>-1</t>
    </r>
    <r>
      <rPr>
        <b/>
        <sz val="10"/>
        <rFont val="Calibri"/>
        <family val="2"/>
        <scheme val="minor"/>
      </rPr>
      <t xml:space="preserve"> año</t>
    </r>
    <r>
      <rPr>
        <b/>
        <vertAlign val="superscript"/>
        <sz val="10"/>
        <rFont val="Calibri"/>
        <family val="2"/>
        <scheme val="minor"/>
      </rPr>
      <t>-1</t>
    </r>
    <r>
      <rPr>
        <b/>
        <sz val="10"/>
        <rFont val="Calibri"/>
        <family val="2"/>
        <scheme val="minor"/>
      </rPr>
      <t>)</t>
    </r>
  </si>
  <si>
    <r>
      <t>CH</t>
    </r>
    <r>
      <rPr>
        <b/>
        <vertAlign val="subscript"/>
        <sz val="10"/>
        <rFont val="Calibri"/>
        <family val="2"/>
        <scheme val="minor"/>
      </rPr>
      <t>4 Enterica</t>
    </r>
    <r>
      <rPr>
        <b/>
        <sz val="10"/>
        <rFont val="Calibri"/>
        <family val="2"/>
        <scheme val="minor"/>
      </rPr>
      <t xml:space="preserve"> = N</t>
    </r>
    <r>
      <rPr>
        <b/>
        <vertAlign val="subscript"/>
        <sz val="10"/>
        <rFont val="Calibri"/>
        <family val="2"/>
        <scheme val="minor"/>
      </rPr>
      <t>(T)</t>
    </r>
    <r>
      <rPr>
        <b/>
        <sz val="10"/>
        <rFont val="Calibri"/>
        <family val="2"/>
        <scheme val="minor"/>
      </rPr>
      <t xml:space="preserve"> * EF</t>
    </r>
    <r>
      <rPr>
        <b/>
        <vertAlign val="subscript"/>
        <sz val="10"/>
        <rFont val="Calibri"/>
        <family val="2"/>
        <scheme val="minor"/>
      </rPr>
      <t>(T)</t>
    </r>
    <r>
      <rPr>
        <b/>
        <sz val="10"/>
        <rFont val="Calibri"/>
        <family val="2"/>
        <scheme val="minor"/>
      </rPr>
      <t xml:space="preserve"> * 10</t>
    </r>
    <r>
      <rPr>
        <b/>
        <vertAlign val="superscript"/>
        <sz val="10"/>
        <rFont val="Calibri"/>
        <family val="2"/>
        <scheme val="minor"/>
      </rPr>
      <t>-6</t>
    </r>
  </si>
  <si>
    <r>
      <t>CH</t>
    </r>
    <r>
      <rPr>
        <b/>
        <vertAlign val="subscript"/>
        <sz val="10"/>
        <rFont val="Calibri"/>
        <family val="2"/>
        <scheme val="minor"/>
      </rPr>
      <t>4</t>
    </r>
    <r>
      <rPr>
        <b/>
        <sz val="10"/>
        <rFont val="Calibri"/>
        <family val="2"/>
        <scheme val="minor"/>
      </rPr>
      <t xml:space="preserve"> </t>
    </r>
    <r>
      <rPr>
        <b/>
        <vertAlign val="subscript"/>
        <sz val="10"/>
        <rFont val="Calibri"/>
        <family val="2"/>
        <scheme val="minor"/>
      </rPr>
      <t>Estiércol</t>
    </r>
    <r>
      <rPr>
        <b/>
        <sz val="10"/>
        <rFont val="Calibri"/>
        <family val="2"/>
        <scheme val="minor"/>
      </rPr>
      <t xml:space="preserve"> = N</t>
    </r>
    <r>
      <rPr>
        <b/>
        <vertAlign val="subscript"/>
        <sz val="10"/>
        <rFont val="Calibri"/>
        <family val="2"/>
        <scheme val="minor"/>
      </rPr>
      <t>(T)</t>
    </r>
    <r>
      <rPr>
        <b/>
        <sz val="10"/>
        <rFont val="Calibri"/>
        <family val="2"/>
        <scheme val="minor"/>
      </rPr>
      <t xml:space="preserve"> * EF</t>
    </r>
    <r>
      <rPr>
        <b/>
        <vertAlign val="subscript"/>
        <sz val="10"/>
        <rFont val="Calibri"/>
        <family val="2"/>
        <scheme val="minor"/>
      </rPr>
      <t>(T)</t>
    </r>
    <r>
      <rPr>
        <b/>
        <sz val="10"/>
        <rFont val="Calibri"/>
        <family val="2"/>
        <scheme val="minor"/>
      </rPr>
      <t xml:space="preserve"> * 10</t>
    </r>
    <r>
      <rPr>
        <b/>
        <vertAlign val="superscript"/>
        <sz val="10"/>
        <rFont val="Calibri"/>
        <family val="2"/>
        <scheme val="minor"/>
      </rPr>
      <t>-6</t>
    </r>
  </si>
  <si>
    <r>
      <t>Sistemas de Manejo del Estiércol  (MMS)</t>
    </r>
    <r>
      <rPr>
        <b/>
        <vertAlign val="superscript"/>
        <sz val="10"/>
        <rFont val="Calibri"/>
        <family val="2"/>
        <scheme val="minor"/>
      </rPr>
      <t>1</t>
    </r>
  </si>
  <si>
    <r>
      <t>Excreción anual de N por cabeza de especies/categorías de ganado</t>
    </r>
    <r>
      <rPr>
        <b/>
        <vertAlign val="superscript"/>
        <sz val="10"/>
        <rFont val="Calibri"/>
        <family val="2"/>
        <scheme val="minor"/>
      </rPr>
      <t>3</t>
    </r>
  </si>
  <si>
    <r>
      <t xml:space="preserve">Excreción total excretado por cada  MMS </t>
    </r>
    <r>
      <rPr>
        <b/>
        <vertAlign val="superscript"/>
        <sz val="10"/>
        <rFont val="Calibri"/>
        <family val="2"/>
        <scheme val="minor"/>
      </rPr>
      <t>4</t>
    </r>
  </si>
  <si>
    <r>
      <t>Factor de emisión para emisiones directas de N</t>
    </r>
    <r>
      <rPr>
        <b/>
        <vertAlign val="subscript"/>
        <sz val="10"/>
        <rFont val="Calibri"/>
        <family val="2"/>
        <scheme val="minor"/>
      </rPr>
      <t>2</t>
    </r>
    <r>
      <rPr>
        <b/>
        <sz val="10"/>
        <rFont val="Calibri"/>
        <family val="2"/>
        <scheme val="minor"/>
      </rPr>
      <t xml:space="preserve">O-N por MMS </t>
    </r>
  </si>
  <si>
    <r>
      <t>Emisiones anuales directas de N</t>
    </r>
    <r>
      <rPr>
        <b/>
        <vertAlign val="subscript"/>
        <sz val="10"/>
        <rFont val="Calibri"/>
        <family val="2"/>
        <scheme val="minor"/>
      </rPr>
      <t>2</t>
    </r>
    <r>
      <rPr>
        <b/>
        <sz val="10"/>
        <rFont val="Calibri"/>
        <family val="2"/>
        <scheme val="minor"/>
      </rPr>
      <t xml:space="preserve">O por Manejo del Estiercol </t>
    </r>
  </si>
  <si>
    <r>
      <t>(kg N año</t>
    </r>
    <r>
      <rPr>
        <b/>
        <vertAlign val="superscript"/>
        <sz val="10"/>
        <rFont val="Calibri"/>
        <family val="2"/>
        <scheme val="minor"/>
      </rPr>
      <t>-1</t>
    </r>
    <r>
      <rPr>
        <b/>
        <sz val="10"/>
        <rFont val="Calibri"/>
        <family val="2"/>
        <scheme val="minor"/>
      </rPr>
      <t>)</t>
    </r>
  </si>
  <si>
    <r>
      <t>kg N</t>
    </r>
    <r>
      <rPr>
        <b/>
        <vertAlign val="subscript"/>
        <sz val="10"/>
        <rFont val="Calibri"/>
        <family val="2"/>
        <scheme val="minor"/>
      </rPr>
      <t>2</t>
    </r>
    <r>
      <rPr>
        <b/>
        <sz val="10"/>
        <rFont val="Calibri"/>
        <family val="2"/>
        <scheme val="minor"/>
      </rPr>
      <t>O año</t>
    </r>
    <r>
      <rPr>
        <b/>
        <vertAlign val="superscript"/>
        <sz val="10"/>
        <rFont val="Calibri"/>
        <family val="2"/>
        <scheme val="minor"/>
      </rPr>
      <t>-1</t>
    </r>
  </si>
  <si>
    <r>
      <t>Nex</t>
    </r>
    <r>
      <rPr>
        <b/>
        <vertAlign val="subscript"/>
        <sz val="10"/>
        <rFont val="Calibri"/>
        <family val="2"/>
        <scheme val="minor"/>
      </rPr>
      <t>(T)</t>
    </r>
    <r>
      <rPr>
        <b/>
        <sz val="10"/>
        <rFont val="Calibri"/>
        <family val="2"/>
        <scheme val="minor"/>
      </rPr>
      <t xml:space="preserve"> = N</t>
    </r>
    <r>
      <rPr>
        <b/>
        <vertAlign val="subscript"/>
        <sz val="10"/>
        <rFont val="Calibri"/>
        <family val="2"/>
        <scheme val="minor"/>
      </rPr>
      <t>rate(T)</t>
    </r>
    <r>
      <rPr>
        <b/>
        <sz val="10"/>
        <rFont val="Calibri"/>
        <family val="2"/>
        <scheme val="minor"/>
      </rPr>
      <t xml:space="preserve"> * TAM * 10</t>
    </r>
    <r>
      <rPr>
        <b/>
        <vertAlign val="superscript"/>
        <sz val="10"/>
        <rFont val="Calibri"/>
        <family val="2"/>
        <scheme val="minor"/>
      </rPr>
      <t>-3</t>
    </r>
    <r>
      <rPr>
        <b/>
        <sz val="10"/>
        <rFont val="Calibri"/>
        <family val="2"/>
        <scheme val="minor"/>
      </rPr>
      <t xml:space="preserve"> * 365</t>
    </r>
  </si>
  <si>
    <r>
      <t xml:space="preserve"> [kg N (1000 kg animal)</t>
    </r>
    <r>
      <rPr>
        <b/>
        <vertAlign val="superscript"/>
        <sz val="10"/>
        <rFont val="Calibri"/>
        <family val="2"/>
        <scheme val="minor"/>
      </rPr>
      <t>-1</t>
    </r>
    <r>
      <rPr>
        <b/>
        <sz val="10"/>
        <rFont val="Calibri"/>
        <family val="2"/>
        <scheme val="minor"/>
      </rPr>
      <t xml:space="preserve"> día</t>
    </r>
    <r>
      <rPr>
        <b/>
        <vertAlign val="superscript"/>
        <sz val="10"/>
        <rFont val="Calibri"/>
        <family val="2"/>
        <scheme val="minor"/>
      </rPr>
      <t>-1</t>
    </r>
    <r>
      <rPr>
        <b/>
        <sz val="10"/>
        <rFont val="Calibri"/>
        <family val="2"/>
        <scheme val="minor"/>
      </rPr>
      <t>]</t>
    </r>
  </si>
  <si>
    <r>
      <t>(kg N animal-</t>
    </r>
    <r>
      <rPr>
        <b/>
        <vertAlign val="superscript"/>
        <sz val="10"/>
        <rFont val="Calibri"/>
        <family val="2"/>
        <scheme val="minor"/>
      </rPr>
      <t>1</t>
    </r>
    <r>
      <rPr>
        <b/>
        <sz val="10"/>
        <rFont val="Calibri"/>
        <family val="2"/>
        <scheme val="minor"/>
      </rPr>
      <t xml:space="preserve"> año</t>
    </r>
    <r>
      <rPr>
        <b/>
        <vertAlign val="superscript"/>
        <sz val="10"/>
        <rFont val="Calibri"/>
        <family val="2"/>
        <scheme val="minor"/>
      </rPr>
      <t>-1</t>
    </r>
    <r>
      <rPr>
        <b/>
        <sz val="10"/>
        <rFont val="Calibri"/>
        <family val="2"/>
        <scheme val="minor"/>
      </rPr>
      <t>)</t>
    </r>
  </si>
  <si>
    <r>
      <t>[kg N</t>
    </r>
    <r>
      <rPr>
        <b/>
        <vertAlign val="subscript"/>
        <sz val="10"/>
        <rFont val="Calibri"/>
        <family val="2"/>
        <scheme val="minor"/>
      </rPr>
      <t>2</t>
    </r>
    <r>
      <rPr>
        <b/>
        <sz val="10"/>
        <rFont val="Calibri"/>
        <family val="2"/>
        <scheme val="minor"/>
      </rPr>
      <t>O-N (kg N en MMS)</t>
    </r>
    <r>
      <rPr>
        <b/>
        <vertAlign val="superscript"/>
        <sz val="10"/>
        <rFont val="Calibri"/>
        <family val="2"/>
        <scheme val="minor"/>
      </rPr>
      <t>-1</t>
    </r>
    <r>
      <rPr>
        <b/>
        <sz val="10"/>
        <rFont val="Calibri"/>
        <family val="2"/>
        <scheme val="minor"/>
      </rPr>
      <t>]</t>
    </r>
  </si>
  <si>
    <r>
      <t>NE</t>
    </r>
    <r>
      <rPr>
        <b/>
        <vertAlign val="subscript"/>
        <sz val="10"/>
        <rFont val="Calibri"/>
        <family val="2"/>
        <scheme val="minor"/>
      </rPr>
      <t>MMS</t>
    </r>
    <r>
      <rPr>
        <b/>
        <sz val="10"/>
        <rFont val="Calibri"/>
        <family val="2"/>
        <scheme val="minor"/>
      </rPr>
      <t xml:space="preserve"> = N</t>
    </r>
    <r>
      <rPr>
        <b/>
        <vertAlign val="subscript"/>
        <sz val="10"/>
        <rFont val="Calibri"/>
        <family val="2"/>
        <scheme val="minor"/>
      </rPr>
      <t>(T)</t>
    </r>
    <r>
      <rPr>
        <b/>
        <sz val="10"/>
        <rFont val="Calibri"/>
        <family val="2"/>
        <scheme val="minor"/>
      </rPr>
      <t xml:space="preserve"> * Nex</t>
    </r>
    <r>
      <rPr>
        <b/>
        <vertAlign val="subscript"/>
        <sz val="10"/>
        <rFont val="Calibri"/>
        <family val="2"/>
        <scheme val="minor"/>
      </rPr>
      <t>(T)</t>
    </r>
    <r>
      <rPr>
        <b/>
        <sz val="10"/>
        <rFont val="Calibri"/>
        <family val="2"/>
        <scheme val="minor"/>
      </rPr>
      <t xml:space="preserve"> * MS</t>
    </r>
    <r>
      <rPr>
        <b/>
        <vertAlign val="subscript"/>
        <sz val="10"/>
        <rFont val="Calibri"/>
        <family val="2"/>
        <scheme val="minor"/>
      </rPr>
      <t>(T,S)</t>
    </r>
  </si>
  <si>
    <r>
      <t>N</t>
    </r>
    <r>
      <rPr>
        <b/>
        <vertAlign val="subscript"/>
        <sz val="10"/>
        <rFont val="Calibri"/>
        <family val="2"/>
        <scheme val="minor"/>
      </rPr>
      <t>2</t>
    </r>
    <r>
      <rPr>
        <b/>
        <sz val="10"/>
        <rFont val="Calibri"/>
        <family val="2"/>
        <scheme val="minor"/>
      </rPr>
      <t>O</t>
    </r>
    <r>
      <rPr>
        <b/>
        <vertAlign val="subscript"/>
        <sz val="10"/>
        <rFont val="Calibri"/>
        <family val="2"/>
        <scheme val="minor"/>
      </rPr>
      <t>(mm)</t>
    </r>
    <r>
      <rPr>
        <b/>
        <sz val="10"/>
        <rFont val="Calibri"/>
        <family val="2"/>
        <scheme val="minor"/>
      </rPr>
      <t xml:space="preserve"> =NE</t>
    </r>
    <r>
      <rPr>
        <b/>
        <vertAlign val="subscript"/>
        <sz val="10"/>
        <rFont val="Calibri"/>
        <family val="2"/>
        <scheme val="minor"/>
      </rPr>
      <t>MMS</t>
    </r>
    <r>
      <rPr>
        <b/>
        <sz val="10"/>
        <rFont val="Calibri"/>
        <family val="2"/>
        <scheme val="minor"/>
      </rPr>
      <t xml:space="preserve"> * EF</t>
    </r>
    <r>
      <rPr>
        <b/>
        <vertAlign val="subscript"/>
        <sz val="10"/>
        <rFont val="Calibri"/>
        <family val="2"/>
        <scheme val="minor"/>
      </rPr>
      <t>3(S)</t>
    </r>
    <r>
      <rPr>
        <b/>
        <sz val="10"/>
        <rFont val="Calibri"/>
        <family val="2"/>
        <scheme val="minor"/>
      </rPr>
      <t xml:space="preserve"> * 44/28</t>
    </r>
  </si>
  <si>
    <r>
      <t>Emisiones anuales directas de N</t>
    </r>
    <r>
      <rPr>
        <b/>
        <vertAlign val="subscript"/>
        <sz val="9"/>
        <rFont val="Calibri"/>
        <family val="2"/>
        <scheme val="minor"/>
      </rPr>
      <t>2</t>
    </r>
    <r>
      <rPr>
        <b/>
        <sz val="9"/>
        <rFont val="Calibri"/>
        <family val="2"/>
        <scheme val="minor"/>
      </rPr>
      <t xml:space="preserve">O por Manejo del Estiercol </t>
    </r>
  </si>
  <si>
    <r>
      <t>(Gg N</t>
    </r>
    <r>
      <rPr>
        <b/>
        <vertAlign val="subscript"/>
        <sz val="9"/>
        <rFont val="Calibri"/>
        <family val="2"/>
        <scheme val="minor"/>
      </rPr>
      <t>2</t>
    </r>
    <r>
      <rPr>
        <b/>
        <sz val="9"/>
        <rFont val="Calibri"/>
        <family val="2"/>
        <scheme val="minor"/>
      </rPr>
      <t>O año</t>
    </r>
    <r>
      <rPr>
        <b/>
        <vertAlign val="superscript"/>
        <sz val="9"/>
        <rFont val="Calibri"/>
        <family val="2"/>
        <scheme val="minor"/>
      </rPr>
      <t>-1</t>
    </r>
    <r>
      <rPr>
        <b/>
        <sz val="9"/>
        <rFont val="Calibri"/>
        <family val="2"/>
        <scheme val="minor"/>
      </rPr>
      <t>)</t>
    </r>
  </si>
  <si>
    <r>
      <t>Cantidad anual de piedra caliza calcica (CaCO</t>
    </r>
    <r>
      <rPr>
        <b/>
        <vertAlign val="subscript"/>
        <sz val="10"/>
        <rFont val="Calibri"/>
        <family val="2"/>
        <scheme val="minor"/>
      </rPr>
      <t>3</t>
    </r>
    <r>
      <rPr>
        <b/>
        <sz val="10"/>
        <rFont val="Calibri"/>
        <family val="2"/>
        <scheme val="minor"/>
      </rPr>
      <t xml:space="preserve">) </t>
    </r>
  </si>
  <si>
    <r>
      <t>Cantidad anual de dolomita (CaMg(CO</t>
    </r>
    <r>
      <rPr>
        <b/>
        <vertAlign val="subscript"/>
        <sz val="10"/>
        <rFont val="Calibri"/>
        <family val="2"/>
        <scheme val="minor"/>
      </rPr>
      <t>3</t>
    </r>
    <r>
      <rPr>
        <b/>
        <sz val="10"/>
        <rFont val="Calibri"/>
        <family val="2"/>
        <scheme val="minor"/>
      </rPr>
      <t>)</t>
    </r>
    <r>
      <rPr>
        <b/>
        <vertAlign val="subscript"/>
        <sz val="10"/>
        <rFont val="Calibri"/>
        <family val="2"/>
        <scheme val="minor"/>
      </rPr>
      <t>2</t>
    </r>
    <r>
      <rPr>
        <b/>
        <sz val="10"/>
        <rFont val="Calibri"/>
        <family val="2"/>
        <scheme val="minor"/>
      </rPr>
      <t>)</t>
    </r>
  </si>
  <si>
    <r>
      <t>(toneladas año</t>
    </r>
    <r>
      <rPr>
        <b/>
        <vertAlign val="superscript"/>
        <sz val="10"/>
        <rFont val="Calibri"/>
        <family val="2"/>
        <scheme val="minor"/>
      </rPr>
      <t>-1</t>
    </r>
    <r>
      <rPr>
        <b/>
        <sz val="10"/>
        <rFont val="Calibri"/>
        <family val="2"/>
        <scheme val="minor"/>
      </rPr>
      <t>)</t>
    </r>
  </si>
  <si>
    <r>
      <t>[toneladas de C (tonelada de caliza)</t>
    </r>
    <r>
      <rPr>
        <b/>
        <vertAlign val="superscript"/>
        <sz val="10"/>
        <rFont val="Calibri"/>
        <family val="2"/>
        <scheme val="minor"/>
      </rPr>
      <t>-1</t>
    </r>
    <r>
      <rPr>
        <b/>
        <sz val="10"/>
        <rFont val="Calibri"/>
        <family val="2"/>
        <scheme val="minor"/>
      </rPr>
      <t>]</t>
    </r>
  </si>
  <si>
    <r>
      <t>[toneladas of C (tonelada de dolomita)</t>
    </r>
    <r>
      <rPr>
        <b/>
        <vertAlign val="superscript"/>
        <sz val="10"/>
        <rFont val="Calibri"/>
        <family val="2"/>
        <scheme val="minor"/>
      </rPr>
      <t>-1</t>
    </r>
    <r>
      <rPr>
        <b/>
        <sz val="10"/>
        <rFont val="Calibri"/>
        <family val="2"/>
        <scheme val="minor"/>
      </rPr>
      <t>]</t>
    </r>
  </si>
  <si>
    <r>
      <t>(toneladas de C año</t>
    </r>
    <r>
      <rPr>
        <b/>
        <vertAlign val="superscript"/>
        <sz val="10"/>
        <rFont val="Calibri"/>
        <family val="2"/>
        <scheme val="minor"/>
      </rPr>
      <t>-1</t>
    </r>
    <r>
      <rPr>
        <b/>
        <sz val="10"/>
        <rFont val="Calibri"/>
        <family val="2"/>
        <scheme val="minor"/>
      </rPr>
      <t>)</t>
    </r>
  </si>
  <si>
    <r>
      <t>CO</t>
    </r>
    <r>
      <rPr>
        <b/>
        <vertAlign val="subscript"/>
        <sz val="10"/>
        <rFont val="Calibri"/>
        <family val="2"/>
        <scheme val="minor"/>
      </rPr>
      <t>2</t>
    </r>
    <r>
      <rPr>
        <b/>
        <sz val="10"/>
        <rFont val="Calibri"/>
        <family val="2"/>
        <scheme val="minor"/>
      </rPr>
      <t>-C Emission = (M</t>
    </r>
    <r>
      <rPr>
        <b/>
        <vertAlign val="subscript"/>
        <sz val="10"/>
        <rFont val="Calibri"/>
        <family val="2"/>
        <scheme val="minor"/>
      </rPr>
      <t>Caliza</t>
    </r>
    <r>
      <rPr>
        <b/>
        <sz val="10"/>
        <rFont val="Calibri"/>
        <family val="2"/>
        <scheme val="minor"/>
      </rPr>
      <t>* EF</t>
    </r>
    <r>
      <rPr>
        <b/>
        <vertAlign val="subscript"/>
        <sz val="10"/>
        <rFont val="Calibri"/>
        <family val="2"/>
        <scheme val="minor"/>
      </rPr>
      <t>Caliza</t>
    </r>
    <r>
      <rPr>
        <b/>
        <sz val="10"/>
        <rFont val="Calibri"/>
        <family val="2"/>
        <scheme val="minor"/>
      </rPr>
      <t>) + (M</t>
    </r>
    <r>
      <rPr>
        <b/>
        <vertAlign val="subscript"/>
        <sz val="10"/>
        <rFont val="Calibri"/>
        <family val="2"/>
        <scheme val="minor"/>
      </rPr>
      <t>Dolomita</t>
    </r>
    <r>
      <rPr>
        <b/>
        <sz val="10"/>
        <rFont val="Calibri"/>
        <family val="2"/>
        <scheme val="minor"/>
      </rPr>
      <t xml:space="preserve"> * EF</t>
    </r>
    <r>
      <rPr>
        <b/>
        <vertAlign val="subscript"/>
        <sz val="10"/>
        <rFont val="Calibri"/>
        <family val="2"/>
        <scheme val="minor"/>
      </rPr>
      <t>Dolomita</t>
    </r>
    <r>
      <rPr>
        <b/>
        <sz val="10"/>
        <rFont val="Calibri"/>
        <family val="2"/>
        <scheme val="minor"/>
      </rPr>
      <t>)</t>
    </r>
  </si>
  <si>
    <r>
      <t>Emisiones anuales de  CO</t>
    </r>
    <r>
      <rPr>
        <b/>
        <vertAlign val="subscript"/>
        <sz val="10"/>
        <rFont val="Calibri"/>
        <family val="2"/>
        <scheme val="minor"/>
      </rPr>
      <t>2</t>
    </r>
    <r>
      <rPr>
        <b/>
        <sz val="10"/>
        <rFont val="Calibri"/>
        <family val="2"/>
        <scheme val="minor"/>
      </rPr>
      <t>-C por fertilización con urea</t>
    </r>
  </si>
  <si>
    <r>
      <t>(toneladas de úrea año</t>
    </r>
    <r>
      <rPr>
        <b/>
        <vertAlign val="superscript"/>
        <sz val="10"/>
        <rFont val="Calibri"/>
        <family val="2"/>
        <scheme val="minor"/>
      </rPr>
      <t>-1</t>
    </r>
    <r>
      <rPr>
        <b/>
        <sz val="10"/>
        <rFont val="Calibri"/>
        <family val="2"/>
        <scheme val="minor"/>
      </rPr>
      <t>)</t>
    </r>
  </si>
  <si>
    <r>
      <t>[toneladas de C (tonelada de úrea)</t>
    </r>
    <r>
      <rPr>
        <b/>
        <vertAlign val="superscript"/>
        <sz val="10"/>
        <rFont val="Calibri"/>
        <family val="2"/>
        <scheme val="minor"/>
      </rPr>
      <t>-1</t>
    </r>
    <r>
      <rPr>
        <b/>
        <sz val="10"/>
        <rFont val="Calibri"/>
        <family val="2"/>
        <scheme val="minor"/>
      </rPr>
      <t>]</t>
    </r>
  </si>
  <si>
    <r>
      <t>(toneladas C año</t>
    </r>
    <r>
      <rPr>
        <b/>
        <vertAlign val="superscript"/>
        <sz val="10"/>
        <rFont val="Calibri"/>
        <family val="2"/>
        <scheme val="minor"/>
      </rPr>
      <t>-1</t>
    </r>
    <r>
      <rPr>
        <b/>
        <sz val="10"/>
        <rFont val="Calibri"/>
        <family val="2"/>
        <scheme val="minor"/>
      </rPr>
      <t>)</t>
    </r>
  </si>
  <si>
    <r>
      <t>CO</t>
    </r>
    <r>
      <rPr>
        <b/>
        <vertAlign val="subscript"/>
        <sz val="10"/>
        <rFont val="Calibri"/>
        <family val="2"/>
        <scheme val="minor"/>
      </rPr>
      <t>2</t>
    </r>
    <r>
      <rPr>
        <b/>
        <sz val="10"/>
        <rFont val="Calibri"/>
        <family val="2"/>
        <scheme val="minor"/>
      </rPr>
      <t>-C  = M * EF</t>
    </r>
  </si>
  <si>
    <t>(*) Fuente: Directrices del IPCC de 2006. Volumen 4, capítulo 10, cuadros 10.14 - 10.16</t>
  </si>
  <si>
    <t xml:space="preserve">MIDAGRI (2022). Informe de consulta a expertos en el cultivo de arroz. </t>
  </si>
  <si>
    <t>(*) Fuente: Directrices del IPCC de 2006. Volumen 4,  capitulo 10, cuadros 10.14 - 10.16</t>
  </si>
  <si>
    <t xml:space="preserve">TOTAL SIN ARROZ </t>
  </si>
  <si>
    <r>
      <t>Factor de emisión para emisiones de   N</t>
    </r>
    <r>
      <rPr>
        <vertAlign val="subscript"/>
        <sz val="10"/>
        <rFont val="Calibri"/>
        <family val="2"/>
        <scheme val="minor"/>
      </rPr>
      <t>2</t>
    </r>
    <r>
      <rPr>
        <sz val="10"/>
        <rFont val="Calibri"/>
        <family val="2"/>
        <scheme val="minor"/>
      </rPr>
      <t>O de suelos orgánicos drenados/ gestionados</t>
    </r>
  </si>
  <si>
    <t>Refinamiento 2019 de las Directrices del IPCC de 2006. Volumen 4, capitulo 10, cuadro 10.11.</t>
  </si>
  <si>
    <t>Directrices del IPCC de 2006.  Volumen 4, capitulo 10, cuadros 10.15</t>
  </si>
  <si>
    <t>Directrices del IPCC de 2006.  Volumen 4, capitulo 10, cuadros 10.16</t>
  </si>
  <si>
    <t>Factor de emisión aproximado  según fórmula para la Caracterización del ganado sin métodos de estimación de emisiones específicas de las Directrices del IPCC de 2006, volumen 4, capítulo 10, página 10.24</t>
  </si>
  <si>
    <r>
      <t>Fracción de la superficie total dedicada al cultivo T que se renueva anualmente [FRAC</t>
    </r>
    <r>
      <rPr>
        <b/>
        <vertAlign val="subscript"/>
        <sz val="10"/>
        <rFont val="Calibri"/>
        <family val="2"/>
        <scheme val="minor"/>
      </rPr>
      <t>RENOV(T)</t>
    </r>
    <r>
      <rPr>
        <b/>
        <sz val="10"/>
        <rFont val="Calibri"/>
        <family val="2"/>
        <scheme val="minor"/>
      </rPr>
      <t>]</t>
    </r>
  </si>
  <si>
    <t>Tipo</t>
  </si>
  <si>
    <r>
      <t>[FRAC</t>
    </r>
    <r>
      <rPr>
        <b/>
        <vertAlign val="subscript"/>
        <sz val="10"/>
        <rFont val="Calibri"/>
        <family val="2"/>
        <scheme val="minor"/>
      </rPr>
      <t>RENOV(T)</t>
    </r>
    <r>
      <rPr>
        <b/>
        <sz val="10"/>
        <rFont val="Calibri"/>
        <family val="2"/>
        <scheme val="minor"/>
      </rPr>
      <t>]</t>
    </r>
  </si>
  <si>
    <r>
      <rPr>
        <sz val="10"/>
        <rFont val="Calibri"/>
        <family val="2"/>
        <scheme val="minor"/>
      </rPr>
      <t xml:space="preserve">Documento de difusión: Cultivo de alfalfa con riego por goteo subsuperficial. Disponible en: </t>
    </r>
    <r>
      <rPr>
        <u val="single"/>
        <sz val="10"/>
        <color theme="10"/>
        <rFont val="Calibri"/>
        <family val="2"/>
        <scheme val="minor"/>
      </rPr>
      <t>http://www.agrolalibertad.gob.pe/sites/default/files/Cultivo-alfalfa.pdf</t>
    </r>
  </si>
  <si>
    <r>
      <rPr>
        <sz val="10"/>
        <rFont val="Calibri"/>
        <family val="2"/>
        <scheme val="minor"/>
      </rPr>
      <t xml:space="preserve">MIDAGRI, s/f. Manual tecnico del cultivo de palma aceitera. Disponible en: </t>
    </r>
    <r>
      <rPr>
        <u val="single"/>
        <sz val="10"/>
        <color theme="10"/>
        <rFont val="Calibri"/>
        <family val="2"/>
        <scheme val="minor"/>
      </rPr>
      <t>https://www.midagri.gob.pe/portal/download/pdf/direccionesyoficinas/dgca/Cartilla-de-difusion-Palma.pdfMIDA</t>
    </r>
  </si>
  <si>
    <t xml:space="preserve"> Valor estimado a partir de Zaldivar,  1997. Produccion de Cuyes. FAO. Cuadro 58. Disponible en: https://www.fao.org/3/w6562s/w6562s05.htm#TopOfPage</t>
  </si>
  <si>
    <t xml:space="preserve">* A fin de asignar las variables correspondientes, se han utilizado las siguientes equivalencias con los cultivos listados en las Directrices del IPCC de 2006: 
i) valores forrajes no fijadores de N: caña de azúcar;
ii) valores arroz : arroz cáscara;
iii) valores maíz: maíz a. duro, maiz choclo, maíz amiláceo;
 iv) valores granos: quinua;
 v) valores trigo: trigo;
 vi) valores cebada: cebada; 
vii) valores alubias y legumbres: arveja v. verde, arveja grano seco, frijol grano seco, haba grano seco, pallar grano seco, frijol castilla/ caupi, tarwi, haba grano verde; 
viii) valores soja: soya; 
ix) valores patatas: papa; 
x) valores tubérculos: yuca, camote; 
xi) valores alfalfa: alfalfa; 
xii) valores otros: banana/ plátano; cebolla de cabeza, alcachofa, algodón, piña, espárrago, tomate, palma aceitera, café pergamino, cacao.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</si>
</sst>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 #,##0.00_ ;_ * \-#,##0.00_ ;_ * &quot;-&quot;??_ ;_ @_ "/>
    <numFmt numFmtId="165" formatCode="#,##0.00_ ;\-#,##0.00\ "/>
    <numFmt numFmtId="166" formatCode="_ * #,##0.00_ ;_ * \-#,##0.00_ ;_ * \-??_ ;_ @_ "/>
    <numFmt numFmtId="167" formatCode="_ * #,##0.0_ ;_ * \-#,##0.0_ ;_ * \-?_ ;_ @_ "/>
    <numFmt numFmtId="168" formatCode="0.000"/>
    <numFmt numFmtId="169" formatCode="#,##0.0"/>
    <numFmt numFmtId="170" formatCode="#,##0.000"/>
    <numFmt numFmtId="171" formatCode="0\ %"/>
    <numFmt numFmtId="172" formatCode="_ * #,##0_ ;_ * \-#,##0_ ;_ * \-??_ ;_ @_ "/>
    <numFmt numFmtId="173" formatCode="#,##0.0000"/>
    <numFmt numFmtId="174" formatCode="_-* #,##0.000_-;\-* #,##0.000_-;_-* &quot;-&quot;??_-;_-@_-"/>
    <numFmt numFmtId="175" formatCode="0.00\ %"/>
  </numFmts>
  <fonts count="133">
    <font>
      <sz val="11"/>
      <color theme="1"/>
      <name val="Calibri"/>
      <family val="2"/>
      <scheme val="minor"/>
    </font>
    <font>
      <sz val="10"/>
      <name val="Arial"/>
      <family val="2"/>
    </font>
    <font>
      <sz val="10"/>
      <name val="Calibri"/>
      <family val="2"/>
    </font>
    <font>
      <sz val="9"/>
      <color theme="1"/>
      <name val="Arial"/>
      <family val="2"/>
    </font>
    <font>
      <u val="single"/>
      <sz val="11"/>
      <color theme="10"/>
      <name val="Calibri"/>
      <family val="2"/>
      <scheme val="minor"/>
    </font>
    <font>
      <sz val="9"/>
      <name val="Tahoma"/>
      <family val="2"/>
    </font>
    <font>
      <sz val="10"/>
      <color rgb="FF000000"/>
      <name val="Calibri"/>
      <family val="2"/>
    </font>
    <font>
      <sz val="10"/>
      <color rgb="FFFF0000"/>
      <name val="Calibri"/>
      <family val="2"/>
    </font>
    <font>
      <b/>
      <sz val="10"/>
      <color rgb="FF000000"/>
      <name val="Calibri"/>
      <family val="2"/>
    </font>
    <font>
      <b/>
      <sz val="10"/>
      <color rgb="FF002060"/>
      <name val="Calibri"/>
      <family val="2"/>
    </font>
    <font>
      <b/>
      <sz val="10"/>
      <color rgb="FF2F5597"/>
      <name val="Calibri"/>
      <family val="2"/>
    </font>
    <font>
      <sz val="10"/>
      <color rgb="FFAFABAB"/>
      <name val="Calibri"/>
      <family val="2"/>
    </font>
    <font>
      <sz val="11"/>
      <color rgb="FF000000"/>
      <name val="Calibri"/>
      <family val="2"/>
    </font>
    <font>
      <sz val="10"/>
      <color rgb="FF000000"/>
      <name val="Arial"/>
      <family val="2"/>
    </font>
    <font>
      <b/>
      <sz val="12"/>
      <color rgb="FF000000"/>
      <name val="Calibri"/>
      <family val="2"/>
    </font>
    <font>
      <b/>
      <sz val="10"/>
      <color rgb="FF000000"/>
      <name val="Arial"/>
      <family val="2"/>
    </font>
    <font>
      <vertAlign val="subscript"/>
      <sz val="10"/>
      <color rgb="FF000000"/>
      <name val="Calibri"/>
      <family val="2"/>
    </font>
    <font>
      <vertAlign val="superscript"/>
      <sz val="10"/>
      <color rgb="FF000000"/>
      <name val="Calibri"/>
      <family val="2"/>
    </font>
    <font>
      <b/>
      <sz val="10"/>
      <color rgb="FFFF0000"/>
      <name val="Calibri"/>
      <family val="2"/>
    </font>
    <font>
      <sz val="10"/>
      <color rgb="FF7030A0"/>
      <name val="Calibri"/>
      <family val="2"/>
    </font>
    <font>
      <sz val="10"/>
      <color rgb="FF333F50"/>
      <name val="Calibri"/>
      <family val="2"/>
    </font>
    <font>
      <b/>
      <sz val="10"/>
      <color rgb="FFFFFFFF"/>
      <name val="Calibri"/>
      <family val="2"/>
    </font>
    <font>
      <b/>
      <u val="single"/>
      <sz val="10"/>
      <color rgb="FF5B9BD5"/>
      <name val="Calibri"/>
      <family val="2"/>
    </font>
    <font>
      <b/>
      <u val="single"/>
      <sz val="10"/>
      <color rgb="FF000000"/>
      <name val="Calibri"/>
      <family val="2"/>
    </font>
    <font>
      <u val="single"/>
      <sz val="11"/>
      <color rgb="FF0563C1"/>
      <name val="Calibri"/>
      <family val="2"/>
    </font>
    <font>
      <u val="single"/>
      <sz val="10"/>
      <color rgb="FF0563C1"/>
      <name val="Calibri"/>
      <family val="2"/>
    </font>
    <font>
      <b/>
      <sz val="10"/>
      <color rgb="FF0582FF"/>
      <name val="Calibri"/>
      <family val="2"/>
    </font>
    <font>
      <sz val="12"/>
      <color rgb="FF000000"/>
      <name val="Calibri"/>
      <family val="2"/>
    </font>
    <font>
      <sz val="14"/>
      <color rgb="FF000000"/>
      <name val="Calibri"/>
      <family val="2"/>
    </font>
    <font>
      <b/>
      <sz val="14"/>
      <color rgb="FF000000"/>
      <name val="Calibri"/>
      <family val="2"/>
    </font>
    <font>
      <sz val="9"/>
      <color rgb="FF000000"/>
      <name val="Calibri"/>
      <family val="2"/>
    </font>
    <font>
      <sz val="9"/>
      <color rgb="FF7030A0"/>
      <name val="Calibri"/>
      <family val="2"/>
    </font>
    <font>
      <b/>
      <sz val="10"/>
      <name val="Calibri"/>
      <family val="2"/>
      <scheme val="minor"/>
    </font>
    <font>
      <sz val="10"/>
      <color theme="1"/>
      <name val="Calibri"/>
      <family val="2"/>
      <scheme val="minor"/>
    </font>
    <font>
      <u val="single"/>
      <sz val="10"/>
      <color theme="10"/>
      <name val="Calibri"/>
      <family val="2"/>
      <scheme val="minor"/>
    </font>
    <font>
      <sz val="10"/>
      <name val="Calibri"/>
      <family val="2"/>
      <scheme val="minor"/>
    </font>
    <font>
      <b/>
      <u val="single"/>
      <sz val="10"/>
      <name val="Calibri"/>
      <family val="2"/>
      <scheme val="minor"/>
    </font>
    <font>
      <sz val="10"/>
      <color rgb="FF000000"/>
      <name val="Calibri"/>
      <family val="2"/>
      <scheme val="minor"/>
    </font>
    <font>
      <b/>
      <sz val="10"/>
      <color rgb="FF000000"/>
      <name val="Calibri"/>
      <family val="2"/>
      <scheme val="minor"/>
    </font>
    <font>
      <b/>
      <sz val="10"/>
      <color theme="1"/>
      <name val="Calibri"/>
      <family val="2"/>
      <scheme val="minor"/>
    </font>
    <font>
      <sz val="10"/>
      <color rgb="FFFF0000"/>
      <name val="Calibri"/>
      <family val="2"/>
      <scheme val="minor"/>
    </font>
    <font>
      <vertAlign val="superscript"/>
      <sz val="10"/>
      <name val="Calibri"/>
      <family val="2"/>
      <scheme val="minor"/>
    </font>
    <font>
      <sz val="10"/>
      <color theme="0" tint="-0.4999699890613556"/>
      <name val="Calibri"/>
      <family val="2"/>
      <scheme val="minor"/>
    </font>
    <font>
      <i/>
      <sz val="10"/>
      <color theme="1"/>
      <name val="Calibri"/>
      <family val="2"/>
      <scheme val="minor"/>
    </font>
    <font>
      <b/>
      <vertAlign val="subscript"/>
      <sz val="10"/>
      <name val="Calibri"/>
      <family val="2"/>
      <scheme val="minor"/>
    </font>
    <font>
      <b/>
      <vertAlign val="superscript"/>
      <sz val="10"/>
      <name val="Calibri"/>
      <family val="2"/>
      <scheme val="minor"/>
    </font>
    <font>
      <vertAlign val="subscript"/>
      <sz val="10"/>
      <name val="Calibri"/>
      <family val="2"/>
      <scheme val="minor"/>
    </font>
    <font>
      <vertAlign val="subscript"/>
      <sz val="10"/>
      <color indexed="8"/>
      <name val="Calibri"/>
      <family val="2"/>
      <scheme val="minor"/>
    </font>
    <font>
      <sz val="10"/>
      <color indexed="8"/>
      <name val="Calibri"/>
      <family val="2"/>
      <scheme val="minor"/>
    </font>
    <font>
      <b/>
      <vertAlign val="subscript"/>
      <sz val="10"/>
      <color indexed="8"/>
      <name val="Calibri"/>
      <family val="2"/>
      <scheme val="minor"/>
    </font>
    <font>
      <b/>
      <sz val="10"/>
      <color indexed="8"/>
      <name val="Calibri"/>
      <family val="2"/>
      <scheme val="minor"/>
    </font>
    <font>
      <i/>
      <sz val="10"/>
      <color rgb="FF000000"/>
      <name val="Calibri"/>
      <family val="2"/>
    </font>
    <font>
      <b/>
      <vertAlign val="subscript"/>
      <sz val="10"/>
      <color rgb="FF2F5597"/>
      <name val="Calibri"/>
      <family val="2"/>
    </font>
    <font>
      <b/>
      <vertAlign val="subscript"/>
      <sz val="10"/>
      <color rgb="FF000000"/>
      <name val="Calibri"/>
      <family val="2"/>
    </font>
    <font>
      <sz val="10"/>
      <color rgb="FF002060"/>
      <name val="Calibri"/>
      <family val="2"/>
    </font>
    <font>
      <sz val="10"/>
      <color theme="1"/>
      <name val="Calibri"/>
      <family val="2"/>
    </font>
    <font>
      <sz val="10"/>
      <color rgb="FF0070C0"/>
      <name val="Calibri"/>
      <family val="2"/>
      <scheme val="minor"/>
    </font>
    <font>
      <b/>
      <sz val="10"/>
      <color rgb="FF002060"/>
      <name val="Calibri"/>
      <family val="2"/>
      <scheme val="minor"/>
    </font>
    <font>
      <b/>
      <sz val="10"/>
      <color rgb="FF2F5597"/>
      <name val="Calibri"/>
      <family val="2"/>
      <scheme val="minor"/>
    </font>
    <font>
      <i/>
      <sz val="10"/>
      <color rgb="FF000000"/>
      <name val="Calibri"/>
      <family val="2"/>
      <scheme val="minor"/>
    </font>
    <font>
      <sz val="10"/>
      <color rgb="FFAFABAB"/>
      <name val="Calibri"/>
      <family val="2"/>
      <scheme val="minor"/>
    </font>
    <font>
      <b/>
      <vertAlign val="subscript"/>
      <sz val="10"/>
      <color rgb="FF000000"/>
      <name val="Calibri"/>
      <family val="2"/>
      <scheme val="minor"/>
    </font>
    <font>
      <sz val="10"/>
      <color rgb="FF002060"/>
      <name val="Calibri"/>
      <family val="2"/>
      <scheme val="minor"/>
    </font>
    <font>
      <sz val="9"/>
      <color theme="0" tint="-0.4999699890613556"/>
      <name val="Arial"/>
      <family val="2"/>
    </font>
    <font>
      <sz val="11"/>
      <color theme="0" tint="-0.4999699890613556"/>
      <name val="Calibri"/>
      <family val="2"/>
      <scheme val="minor"/>
    </font>
    <font>
      <vertAlign val="subscript"/>
      <sz val="10"/>
      <color theme="1"/>
      <name val="Calibri"/>
      <family val="2"/>
      <scheme val="minor"/>
    </font>
    <font>
      <sz val="8"/>
      <name val="Calibri"/>
      <family val="2"/>
      <scheme val="minor"/>
    </font>
    <font>
      <sz val="11"/>
      <color rgb="FFFF0000"/>
      <name val="Calibri"/>
      <family val="2"/>
      <scheme val="minor"/>
    </font>
    <font>
      <sz val="11"/>
      <name val="Calibri"/>
      <family val="2"/>
      <scheme val="minor"/>
    </font>
    <font>
      <sz val="9"/>
      <name val="Calibri"/>
      <family val="2"/>
      <scheme val="minor"/>
    </font>
    <font>
      <vertAlign val="subscript"/>
      <sz val="9"/>
      <name val="Calibri"/>
      <family val="2"/>
      <scheme val="minor"/>
    </font>
    <font>
      <vertAlign val="superscript"/>
      <sz val="9"/>
      <name val="Calibri"/>
      <family val="2"/>
      <scheme val="minor"/>
    </font>
    <font>
      <sz val="9"/>
      <color theme="1"/>
      <name val="Calibri"/>
      <family val="2"/>
      <scheme val="minor"/>
    </font>
    <font>
      <b/>
      <sz val="11"/>
      <color theme="1"/>
      <name val="Calibri"/>
      <family val="2"/>
      <scheme val="minor"/>
    </font>
    <font>
      <b/>
      <sz val="9"/>
      <name val="Calibri"/>
      <family val="2"/>
      <scheme val="minor"/>
    </font>
    <font>
      <b/>
      <vertAlign val="subscript"/>
      <sz val="9"/>
      <name val="Calibri"/>
      <family val="2"/>
      <scheme val="minor"/>
    </font>
    <font>
      <vertAlign val="superscript"/>
      <sz val="8"/>
      <name val="Calibri"/>
      <family val="2"/>
      <scheme val="minor"/>
    </font>
    <font>
      <b/>
      <sz val="12"/>
      <color theme="1"/>
      <name val="Calibri"/>
      <family val="2"/>
      <scheme val="minor"/>
    </font>
    <font>
      <b/>
      <vertAlign val="subscript"/>
      <sz val="12"/>
      <color theme="1"/>
      <name val="Calibri"/>
      <family val="2"/>
      <scheme val="minor"/>
    </font>
    <font>
      <b/>
      <sz val="9"/>
      <name val="Tahoma"/>
      <family val="2"/>
    </font>
    <font>
      <b/>
      <i/>
      <sz val="10"/>
      <name val="Calibri"/>
      <family val="2"/>
      <scheme val="minor"/>
    </font>
    <font>
      <b/>
      <i/>
      <sz val="10"/>
      <color theme="1"/>
      <name val="Calibri"/>
      <family val="2"/>
      <scheme val="minor"/>
    </font>
    <font>
      <b/>
      <sz val="10"/>
      <name val="Calibri"/>
      <family val="2"/>
    </font>
    <font>
      <i/>
      <sz val="10"/>
      <name val="Calibri"/>
      <family val="2"/>
      <scheme val="minor"/>
    </font>
    <font>
      <b/>
      <i/>
      <vertAlign val="subscript"/>
      <sz val="10"/>
      <name val="Calibri"/>
      <family val="2"/>
      <scheme val="minor"/>
    </font>
    <font>
      <b/>
      <sz val="9.8"/>
      <name val="Calibri"/>
      <family val="2"/>
      <scheme val="minor"/>
    </font>
    <font>
      <b/>
      <i/>
      <sz val="9.8"/>
      <name val="Calibri"/>
      <family val="2"/>
      <scheme val="minor"/>
    </font>
    <font>
      <b/>
      <vertAlign val="superscript"/>
      <sz val="10"/>
      <color theme="1"/>
      <name val="Calibri"/>
      <family val="2"/>
      <scheme val="minor"/>
    </font>
    <font>
      <sz val="8"/>
      <name val="Calibri"/>
      <family val="2"/>
    </font>
    <font>
      <sz val="8"/>
      <color indexed="63"/>
      <name val="Calibri"/>
      <family val="2"/>
    </font>
    <font>
      <i/>
      <sz val="8"/>
      <name val="Calibri"/>
      <family val="2"/>
    </font>
    <font>
      <sz val="12"/>
      <color rgb="FF393745"/>
      <name val="Segoe UI"/>
      <family val="2"/>
    </font>
    <font>
      <sz val="8"/>
      <color theme="1"/>
      <name val="Calibri"/>
      <family val="2"/>
      <scheme val="minor"/>
    </font>
    <font>
      <b/>
      <vertAlign val="subscript"/>
      <sz val="10"/>
      <color rgb="FF2F5597"/>
      <name val="Calibri"/>
      <family val="2"/>
      <scheme val="minor"/>
    </font>
    <font>
      <b/>
      <sz val="12"/>
      <color rgb="FF000000"/>
      <name val="Calibri"/>
      <family val="2"/>
      <scheme val="minor"/>
    </font>
    <font>
      <b/>
      <vertAlign val="subscript"/>
      <sz val="10"/>
      <name val="Calibri"/>
      <family val="2"/>
    </font>
    <font>
      <b/>
      <sz val="11"/>
      <name val="Calibri"/>
      <family val="2"/>
      <scheme val="minor"/>
    </font>
    <font>
      <b/>
      <vertAlign val="subscript"/>
      <sz val="11"/>
      <name val="Calibri"/>
      <family val="2"/>
      <scheme val="minor"/>
    </font>
    <font>
      <vertAlign val="superscript"/>
      <sz val="11"/>
      <name val="Calibri"/>
      <family val="2"/>
      <scheme val="minor"/>
    </font>
    <font>
      <vertAlign val="subscript"/>
      <sz val="11"/>
      <name val="Calibri"/>
      <family val="2"/>
      <scheme val="minor"/>
    </font>
    <font>
      <b/>
      <vertAlign val="superscript"/>
      <sz val="11"/>
      <name val="Calibri"/>
      <family val="2"/>
      <scheme val="minor"/>
    </font>
    <font>
      <b/>
      <vertAlign val="subscript"/>
      <sz val="10"/>
      <color theme="1"/>
      <name val="Calibri"/>
      <family val="2"/>
      <scheme val="minor"/>
    </font>
    <font>
      <b/>
      <sz val="11"/>
      <color theme="0"/>
      <name val="Calibri"/>
      <family val="2"/>
      <scheme val="minor"/>
    </font>
    <font>
      <b/>
      <sz val="9"/>
      <color rgb="FF000000"/>
      <name val="Arial"/>
      <family val="2"/>
    </font>
    <font>
      <b/>
      <sz val="10"/>
      <color rgb="FF4472C4"/>
      <name val="Calibri"/>
      <family val="2"/>
    </font>
    <font>
      <sz val="11"/>
      <color theme="1"/>
      <name val="Calibri"/>
      <family val="2"/>
    </font>
    <font>
      <b/>
      <sz val="12"/>
      <color theme="0"/>
      <name val="Calibri"/>
      <family val="2"/>
      <scheme val="minor"/>
    </font>
    <font>
      <sz val="12"/>
      <color theme="1"/>
      <name val="Calibri"/>
      <family val="2"/>
      <scheme val="minor"/>
    </font>
    <font>
      <b/>
      <sz val="16"/>
      <color theme="0"/>
      <name val="Calibri"/>
      <family val="2"/>
      <scheme val="minor"/>
    </font>
    <font>
      <sz val="16"/>
      <color theme="1"/>
      <name val="Calibri"/>
      <family val="2"/>
      <scheme val="minor"/>
    </font>
    <font>
      <b/>
      <sz val="11"/>
      <color rgb="FF000000"/>
      <name val="Calibri"/>
      <family val="2"/>
      <scheme val="minor"/>
    </font>
    <font>
      <sz val="11"/>
      <color rgb="FF000000"/>
      <name val="Calibri"/>
      <family val="2"/>
      <scheme val="minor"/>
    </font>
    <font>
      <sz val="16"/>
      <color theme="8" tint="-0.4999699890613556"/>
      <name val="Calibri"/>
      <family val="2"/>
      <scheme val="minor"/>
    </font>
    <font>
      <sz val="11"/>
      <color theme="8" tint="-0.4999699890613556"/>
      <name val="Calibri"/>
      <family val="2"/>
      <scheme val="minor"/>
    </font>
    <font>
      <i/>
      <sz val="11"/>
      <name val="Calibri"/>
      <family val="2"/>
      <scheme val="minor"/>
    </font>
    <font>
      <u val="single"/>
      <sz val="9"/>
      <color theme="10"/>
      <name val="Calibri"/>
      <family val="2"/>
      <scheme val="minor"/>
    </font>
    <font>
      <vertAlign val="superscript"/>
      <sz val="10"/>
      <color theme="1"/>
      <name val="Calibri"/>
      <family val="2"/>
      <scheme val="minor"/>
    </font>
    <font>
      <b/>
      <sz val="10"/>
      <color rgb="FFFFFFFF"/>
      <name val="Calibri"/>
      <family val="2"/>
      <scheme val="minor"/>
    </font>
    <font>
      <b/>
      <vertAlign val="subscript"/>
      <sz val="10"/>
      <color rgb="FFFFFFFF"/>
      <name val="Calibri"/>
      <family val="2"/>
      <scheme val="minor"/>
    </font>
    <font>
      <sz val="9"/>
      <name val="Arial"/>
      <family val="2"/>
    </font>
    <font>
      <b/>
      <vertAlign val="superscript"/>
      <sz val="9"/>
      <name val="Calibri"/>
      <family val="2"/>
      <scheme val="minor"/>
    </font>
    <font>
      <sz val="9"/>
      <color theme="1" tint="0.35"/>
      <name val="+mn-cs"/>
      <family val="2"/>
    </font>
    <font>
      <sz val="10"/>
      <color theme="1" tint="0.35"/>
      <name val="Calibri"/>
      <family val="2"/>
    </font>
    <font>
      <sz val="8"/>
      <color theme="1" tint="0.25"/>
      <name val="Calibri"/>
      <family val="2"/>
    </font>
    <font>
      <sz val="10"/>
      <color theme="0"/>
      <name val="Calibri"/>
      <family val="2"/>
    </font>
    <font>
      <sz val="10"/>
      <color rgb="FFFFFFFF"/>
      <name val="Calibri"/>
      <family val="2"/>
    </font>
    <font>
      <sz val="10"/>
      <color theme="0"/>
      <name val="+mn-cs"/>
      <family val="2"/>
    </font>
    <font>
      <sz val="10"/>
      <name val="+mn-cs"/>
      <family val="2"/>
    </font>
    <font>
      <sz val="14"/>
      <color rgb="FF000000"/>
      <name val="Arial"/>
      <family val="2"/>
    </font>
    <font>
      <b/>
      <sz val="11"/>
      <color rgb="FF000000"/>
      <name val="Calibri"/>
      <family val="2"/>
    </font>
    <font>
      <i/>
      <sz val="8"/>
      <color rgb="FF808080"/>
      <name val="Arial"/>
      <family val="2"/>
    </font>
    <font>
      <sz val="14"/>
      <color rgb="FF000000"/>
      <name val="Cambria Math"/>
      <family val="2"/>
    </font>
    <font>
      <b/>
      <sz val="8"/>
      <name val="Calibri"/>
      <family val="2"/>
    </font>
  </fonts>
  <fills count="50">
    <fill>
      <patternFill/>
    </fill>
    <fill>
      <patternFill patternType="gray125"/>
    </fill>
    <fill>
      <patternFill patternType="solid">
        <fgColor rgb="FFFFFFFF"/>
        <bgColor indexed="64"/>
      </patternFill>
    </fill>
    <fill>
      <patternFill patternType="solid">
        <fgColor rgb="FFBFBFBF"/>
        <bgColor indexed="64"/>
      </patternFill>
    </fill>
    <fill>
      <patternFill patternType="solid">
        <fgColor rgb="FFA6A6A6"/>
        <bgColor indexed="64"/>
      </patternFill>
    </fill>
    <fill>
      <patternFill patternType="solid">
        <fgColor rgb="FFD9D9D9"/>
        <bgColor indexed="64"/>
      </patternFill>
    </fill>
    <fill>
      <patternFill patternType="solid">
        <fgColor rgb="FF5A7F2B"/>
        <bgColor indexed="64"/>
      </patternFill>
    </fill>
    <fill>
      <patternFill patternType="solid">
        <fgColor rgb="FF336699"/>
        <bgColor indexed="64"/>
      </patternFill>
    </fill>
    <fill>
      <patternFill patternType="solid">
        <fgColor rgb="FF9EC3E6"/>
        <bgColor indexed="64"/>
      </patternFill>
    </fill>
    <fill>
      <patternFill patternType="solid">
        <fgColor rgb="FFFF9999"/>
        <bgColor indexed="64"/>
      </patternFill>
    </fill>
    <fill>
      <patternFill patternType="solid">
        <fgColor rgb="FF6B95C7"/>
        <bgColor indexed="64"/>
      </patternFill>
    </fill>
    <fill>
      <patternFill patternType="solid">
        <fgColor rgb="FF7DDDFF"/>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theme="4" tint="0.5999900102615356"/>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7DDDFF"/>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D6DCE5"/>
        <bgColor indexed="64"/>
      </patternFill>
    </fill>
    <fill>
      <patternFill patternType="solid">
        <fgColor theme="4" tint="0.3999800086021423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9" tint="0.5999900102615356"/>
        <bgColor indexed="64"/>
      </patternFill>
    </fill>
    <fill>
      <patternFill patternType="solid">
        <fgColor theme="0"/>
        <bgColor indexed="64"/>
      </patternFill>
    </fill>
    <fill>
      <patternFill patternType="solid">
        <fgColor theme="2" tint="-0.09996999800205231"/>
        <bgColor indexed="64"/>
      </patternFill>
    </fill>
    <fill>
      <patternFill patternType="solid">
        <fgColor theme="4" tint="0.39998000860214233"/>
        <bgColor indexed="64"/>
      </patternFill>
    </fill>
    <fill>
      <patternFill patternType="solid">
        <fgColor rgb="FFFBE5D6"/>
        <bgColor indexed="64"/>
      </patternFill>
    </fill>
    <fill>
      <patternFill patternType="solid">
        <fgColor rgb="FFFBE5D6"/>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rgb="FFE2EFD6"/>
        <bgColor indexed="64"/>
      </patternFill>
    </fill>
    <fill>
      <patternFill patternType="solid">
        <fgColor theme="9" tint="0.7999799847602844"/>
        <bgColor indexed="64"/>
      </patternFill>
    </fill>
    <fill>
      <patternFill patternType="solid">
        <fgColor theme="7" tint="-0.24997000396251678"/>
        <bgColor indexed="64"/>
      </patternFill>
    </fill>
    <fill>
      <patternFill patternType="solid">
        <fgColor theme="4" tint="-0.4999699890613556"/>
        <bgColor indexed="64"/>
      </patternFill>
    </fill>
    <fill>
      <patternFill patternType="solid">
        <fgColor theme="9" tint="-0.24997000396251678"/>
        <bgColor indexed="64"/>
      </patternFill>
    </fill>
    <fill>
      <patternFill patternType="solid">
        <fgColor theme="0" tint="-0.3499799966812134"/>
        <bgColor indexed="64"/>
      </patternFill>
    </fill>
    <fill>
      <patternFill patternType="solid">
        <fgColor rgb="FFA6A6A6"/>
        <bgColor indexed="64"/>
      </patternFill>
    </fill>
    <fill>
      <patternFill patternType="solid">
        <fgColor rgb="FF000000"/>
        <bgColor indexed="64"/>
      </patternFill>
    </fill>
    <fill>
      <patternFill patternType="solid">
        <fgColor rgb="FF00B0F0"/>
        <bgColor indexed="64"/>
      </patternFill>
    </fill>
    <fill>
      <patternFill patternType="solid">
        <fgColor rgb="FF37CBFF"/>
        <bgColor indexed="64"/>
      </patternFill>
    </fill>
    <fill>
      <patternFill patternType="solid">
        <fgColor rgb="FF00B0F0"/>
        <bgColor indexed="64"/>
      </patternFill>
    </fill>
    <fill>
      <patternFill patternType="solid">
        <fgColor rgb="FF00B0F0"/>
        <bgColor indexed="64"/>
      </patternFill>
    </fill>
  </fills>
  <borders count="126">
    <border>
      <left/>
      <right/>
      <top/>
      <bottom/>
      <diagonal/>
    </border>
    <border>
      <left style="thin"/>
      <right style="thin"/>
      <top style="thin"/>
      <bottom style="thin"/>
    </border>
    <border>
      <left/>
      <right style="thin"/>
      <top style="thin"/>
      <bottom style="thin"/>
    </border>
    <border>
      <left style="medium"/>
      <right style="thin"/>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right style="thin"/>
      <top/>
      <bottom style="thin"/>
    </border>
    <border>
      <left/>
      <right/>
      <top/>
      <bottom style="thin"/>
    </border>
    <border>
      <left style="thin"/>
      <right style="thin"/>
      <top/>
      <bottom style="thin"/>
    </border>
    <border>
      <left/>
      <right style="thin"/>
      <top/>
      <bottom/>
    </border>
    <border>
      <left style="thin"/>
      <right style="thin"/>
      <top/>
      <bottom/>
    </border>
    <border>
      <left/>
      <right style="thin"/>
      <top style="thin"/>
      <bottom/>
    </border>
    <border>
      <left/>
      <right/>
      <top style="thin"/>
      <bottom/>
    </border>
    <border>
      <left style="thin"/>
      <right style="thin"/>
      <top style="thin"/>
      <bottom/>
    </border>
    <border>
      <left/>
      <right style="medium"/>
      <top/>
      <bottom style="medium"/>
    </border>
    <border>
      <left/>
      <right style="medium"/>
      <top/>
      <bottom style="double"/>
    </border>
    <border>
      <left style="medium"/>
      <right style="medium"/>
      <top style="medium"/>
      <bottom style="medium"/>
    </border>
    <border>
      <left/>
      <right style="medium"/>
      <top/>
      <bottom/>
    </border>
    <border>
      <left style="medium"/>
      <right style="medium"/>
      <top/>
      <bottom style="double"/>
    </border>
    <border>
      <left/>
      <right style="medium"/>
      <top style="medium"/>
      <bottom style="medium"/>
    </border>
    <border>
      <left style="medium"/>
      <right style="medium"/>
      <top/>
      <bottom style="medium"/>
    </border>
    <border>
      <left style="medium"/>
      <right style="thin"/>
      <top style="thin"/>
      <bottom style="medium"/>
    </border>
    <border>
      <left style="medium"/>
      <right style="medium"/>
      <top style="thin"/>
      <bottom style="thin"/>
    </border>
    <border>
      <left style="medium"/>
      <right style="medium"/>
      <top style="thin"/>
      <bottom style="medium"/>
    </border>
    <border>
      <left style="medium"/>
      <right style="thin">
        <color rgb="FF9EC3E6"/>
      </right>
      <top/>
      <bottom style="thin">
        <color rgb="FF9EC3E6"/>
      </bottom>
    </border>
    <border>
      <left/>
      <right style="thin">
        <color rgb="FF9EC3E6"/>
      </right>
      <top/>
      <bottom style="thin">
        <color rgb="FF9EC3E6"/>
      </bottom>
    </border>
    <border>
      <left/>
      <right/>
      <top style="thin"/>
      <bottom style="thin"/>
    </border>
    <border>
      <left style="medium"/>
      <right style="thin">
        <color rgb="FF9EC3E6"/>
      </right>
      <top style="thin">
        <color rgb="FF9EC3E6"/>
      </top>
      <bottom style="thin">
        <color rgb="FFBDD7EE"/>
      </bottom>
    </border>
    <border>
      <left style="medium"/>
      <right style="thin">
        <color rgb="FF9EC3E6"/>
      </right>
      <top style="thin">
        <color rgb="FFBDD7EE"/>
      </top>
      <bottom style="thin">
        <color rgb="FFBDD7EE"/>
      </bottom>
    </border>
    <border>
      <left/>
      <right/>
      <top/>
      <bottom style="thin">
        <color rgb="FFBDD7EE"/>
      </bottom>
    </border>
    <border>
      <left style="medium"/>
      <right style="thin">
        <color rgb="FF9EC3E6"/>
      </right>
      <top/>
      <bottom/>
    </border>
    <border>
      <left style="medium"/>
      <right style="thin">
        <color rgb="FF9EC3E6"/>
      </right>
      <top style="thin">
        <color rgb="FFBDD7EE"/>
      </top>
      <bottom style="medium"/>
    </border>
    <border>
      <left/>
      <right/>
      <top/>
      <bottom style="medium"/>
    </border>
    <border>
      <left/>
      <right/>
      <top/>
      <bottom style="double"/>
    </border>
    <border>
      <left style="medium"/>
      <right style="thin">
        <color rgb="FF9EC3E6"/>
      </right>
      <top/>
      <bottom style="thin">
        <color rgb="FFBDD7EE"/>
      </bottom>
    </border>
    <border>
      <left style="medium"/>
      <right style="medium"/>
      <top style="medium"/>
      <bottom/>
    </border>
    <border>
      <left style="medium"/>
      <right style="thin"/>
      <top style="medium"/>
      <bottom style="thin"/>
    </border>
    <border>
      <left style="medium"/>
      <right/>
      <top style="thin"/>
      <bottom style="thin"/>
    </border>
    <border>
      <left style="medium"/>
      <right/>
      <top style="thin"/>
      <bottom style="medium"/>
    </border>
    <border>
      <left style="medium"/>
      <right/>
      <top style="medium"/>
      <bottom style="medium"/>
    </border>
    <border>
      <left style="medium"/>
      <right/>
      <top/>
      <bottom style="medium"/>
    </border>
    <border>
      <left style="medium"/>
      <right/>
      <top style="medium"/>
      <bottom/>
    </border>
    <border>
      <left/>
      <right/>
      <top style="medium"/>
      <bottom/>
    </border>
    <border>
      <left/>
      <right/>
      <top style="medium"/>
      <bottom style="medium"/>
    </border>
    <border>
      <left style="medium"/>
      <right/>
      <top/>
      <bottom/>
    </border>
    <border>
      <left style="medium"/>
      <right style="medium"/>
      <top/>
      <bottom/>
    </border>
    <border>
      <left style="medium"/>
      <right style="thin"/>
      <top/>
      <bottom style="thin"/>
    </border>
    <border>
      <left style="thin"/>
      <right/>
      <top/>
      <bottom style="thin"/>
    </border>
    <border>
      <left style="medium"/>
      <right style="medium"/>
      <top/>
      <bottom style="thin"/>
    </border>
    <border>
      <left style="medium"/>
      <right style="thin"/>
      <top style="medium"/>
      <bottom style="medium"/>
    </border>
    <border>
      <left style="thin"/>
      <right style="thin"/>
      <top style="medium"/>
      <bottom style="medium"/>
    </border>
    <border>
      <left style="thin"/>
      <right/>
      <top style="medium"/>
      <bottom style="medium"/>
    </border>
    <border>
      <left/>
      <right/>
      <top style="thin"/>
      <bottom style="medium"/>
    </border>
    <border>
      <left style="medium"/>
      <right style="medium"/>
      <top/>
      <bottom style="thin">
        <color rgb="FFBDD7EE"/>
      </bottom>
    </border>
    <border>
      <left/>
      <right style="medium"/>
      <top/>
      <bottom style="medium">
        <color indexed="8"/>
      </bottom>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style="medium"/>
    </border>
    <border>
      <left style="medium"/>
      <right style="thin"/>
      <top style="thin"/>
      <bottom/>
    </border>
    <border>
      <left style="thin"/>
      <right style="thin"/>
      <top/>
      <bottom style="medium"/>
    </border>
    <border>
      <left style="thin"/>
      <right style="medium"/>
      <top/>
      <bottom style="thin"/>
    </border>
    <border>
      <left style="thin">
        <color theme="4" tint="0.5999900102615356"/>
      </left>
      <right style="thin">
        <color theme="4" tint="0.5999900102615356"/>
      </right>
      <top style="thin">
        <color theme="4" tint="0.5999900102615356"/>
      </top>
      <bottom style="thin">
        <color theme="4" tint="0.5999900102615356"/>
      </bottom>
    </border>
    <border>
      <left style="medium"/>
      <right style="thin">
        <color theme="4" tint="0.5999900102615356"/>
      </right>
      <top style="medium"/>
      <bottom style="thin">
        <color theme="4" tint="0.5999900102615356"/>
      </bottom>
    </border>
    <border>
      <left style="thin">
        <color theme="4" tint="0.5999900102615356"/>
      </left>
      <right style="thin">
        <color theme="4" tint="0.5999900102615356"/>
      </right>
      <top style="medium"/>
      <bottom style="thin">
        <color theme="4" tint="0.5999900102615356"/>
      </bottom>
    </border>
    <border>
      <left style="thin">
        <color theme="4" tint="0.5999900102615356"/>
      </left>
      <right style="medium"/>
      <top style="medium"/>
      <bottom style="thin">
        <color theme="4" tint="0.5999900102615356"/>
      </bottom>
    </border>
    <border>
      <left style="medium"/>
      <right style="thin">
        <color theme="4" tint="0.5999900102615356"/>
      </right>
      <top style="thin">
        <color theme="4" tint="0.5999900102615356"/>
      </top>
      <bottom style="thin">
        <color theme="4" tint="0.5999900102615356"/>
      </bottom>
    </border>
    <border>
      <left style="thin">
        <color theme="4" tint="0.5999900102615356"/>
      </left>
      <right style="medium"/>
      <top style="thin">
        <color theme="4" tint="0.5999900102615356"/>
      </top>
      <bottom style="thin">
        <color theme="4" tint="0.5999900102615356"/>
      </bottom>
    </border>
    <border>
      <left style="medium"/>
      <right style="thin">
        <color theme="4" tint="0.5999900102615356"/>
      </right>
      <top style="thin">
        <color theme="4" tint="0.5999900102615356"/>
      </top>
      <bottom style="medium"/>
    </border>
    <border>
      <left style="thin">
        <color theme="4" tint="0.5999900102615356"/>
      </left>
      <right style="thin">
        <color theme="4" tint="0.5999900102615356"/>
      </right>
      <top style="thin">
        <color theme="4" tint="0.5999900102615356"/>
      </top>
      <bottom style="medium"/>
    </border>
    <border>
      <left style="thin">
        <color theme="4" tint="0.5999900102615356"/>
      </left>
      <right style="medium"/>
      <top style="thin">
        <color theme="4" tint="0.5999900102615356"/>
      </top>
      <bottom style="medium"/>
    </border>
    <border>
      <left style="medium"/>
      <right style="thin">
        <color theme="4" tint="0.5999900102615356"/>
      </right>
      <top/>
      <bottom style="thin">
        <color theme="4" tint="0.5999900102615356"/>
      </bottom>
    </border>
    <border>
      <left style="thin">
        <color theme="4" tint="0.5999900102615356"/>
      </left>
      <right style="thin">
        <color theme="4" tint="0.5999900102615356"/>
      </right>
      <top/>
      <bottom style="thin">
        <color theme="4" tint="0.5999900102615356"/>
      </bottom>
    </border>
    <border>
      <left style="thin">
        <color theme="4" tint="0.5999900102615356"/>
      </left>
      <right style="medium"/>
      <top/>
      <bottom style="thin">
        <color theme="4" tint="0.5999900102615356"/>
      </bottom>
    </border>
    <border>
      <left/>
      <right style="medium"/>
      <top style="thin"/>
      <bottom style="thin"/>
    </border>
    <border>
      <left style="thin"/>
      <right style="medium"/>
      <top/>
      <bottom style="medium"/>
    </border>
    <border>
      <left style="medium"/>
      <right style="medium"/>
      <top style="medium"/>
      <bottom style="thin">
        <color rgb="FF9EC3E6"/>
      </bottom>
    </border>
    <border>
      <left style="thin"/>
      <right style="thin"/>
      <top style="medium"/>
      <bottom/>
    </border>
    <border>
      <left style="thin"/>
      <right style="medium"/>
      <top style="medium"/>
      <bottom/>
    </border>
    <border>
      <left style="medium"/>
      <right style="medium"/>
      <top style="medium"/>
      <bottom style="thin"/>
    </border>
    <border>
      <left style="medium"/>
      <right style="medium"/>
      <top style="thin">
        <color rgb="FF9EC3E6"/>
      </top>
      <bottom style="thin">
        <color rgb="FFBDD7EE"/>
      </bottom>
    </border>
    <border>
      <left style="medium"/>
      <right style="medium"/>
      <top style="thin">
        <color rgb="FFBDD7EE"/>
      </top>
      <bottom style="thin">
        <color rgb="FFBDD7EE"/>
      </bottom>
    </border>
    <border>
      <left style="thin"/>
      <right style="medium"/>
      <top style="thin"/>
      <bottom/>
    </border>
    <border>
      <left style="thin"/>
      <right style="medium"/>
      <top/>
      <bottom/>
    </border>
    <border>
      <left style="medium"/>
      <right style="thin">
        <color rgb="FF9EC3E6"/>
      </right>
      <top style="thin">
        <color rgb="FFBDD7EE"/>
      </top>
      <bottom/>
    </border>
    <border>
      <left style="thin">
        <color rgb="FF9EC3E6"/>
      </left>
      <right style="thin"/>
      <top style="thin">
        <color rgb="FFBDD7EE"/>
      </top>
      <bottom/>
    </border>
    <border>
      <left style="thin">
        <color rgb="FF9EC3E6"/>
      </left>
      <right style="thin"/>
      <top/>
      <bottom/>
    </border>
    <border>
      <left style="thin">
        <color rgb="FF9EC3E6"/>
      </left>
      <right style="thin"/>
      <top/>
      <bottom style="thin">
        <color rgb="FFBDD7EE"/>
      </bottom>
    </border>
    <border>
      <left style="thin">
        <color rgb="FF9EC3E6"/>
      </left>
      <right style="thin"/>
      <top style="thin">
        <color rgb="FF9EC3E6"/>
      </top>
      <bottom/>
    </border>
    <border>
      <left/>
      <right style="medium"/>
      <top style="thin"/>
      <bottom style="medium"/>
    </border>
    <border>
      <left style="thin"/>
      <right/>
      <top style="medium"/>
      <bottom style="thin"/>
    </border>
    <border>
      <left/>
      <right/>
      <top style="medium"/>
      <bottom style="thin"/>
    </border>
    <border>
      <left/>
      <right style="medium"/>
      <top style="medium"/>
      <bottom style="thin"/>
    </border>
    <border>
      <left style="thin"/>
      <right/>
      <top style="thin"/>
      <bottom/>
    </border>
    <border>
      <left style="thin"/>
      <right/>
      <top/>
      <bottom/>
    </border>
    <border>
      <left/>
      <right style="medium"/>
      <top style="medium"/>
      <bottom/>
    </border>
    <border>
      <left/>
      <right style="medium">
        <color indexed="8"/>
      </right>
      <top style="medium"/>
      <bottom style="medium"/>
    </border>
    <border>
      <left/>
      <right style="medium">
        <color indexed="8"/>
      </right>
      <top style="medium"/>
      <bottom/>
    </border>
    <border>
      <left style="medium">
        <color indexed="8"/>
      </left>
      <right/>
      <top style="medium"/>
      <bottom/>
    </border>
    <border>
      <left style="medium"/>
      <right style="medium"/>
      <top style="double"/>
      <bottom/>
    </border>
    <border>
      <left/>
      <right style="thin"/>
      <top style="medium"/>
      <bottom style="medium"/>
    </border>
    <border>
      <left style="thin"/>
      <right style="medium"/>
      <top style="medium"/>
      <bottom style="medium"/>
    </border>
    <border>
      <left style="medium"/>
      <right/>
      <top style="medium"/>
      <bottom style="double"/>
    </border>
    <border>
      <left/>
      <right style="medium"/>
      <top style="medium"/>
      <bottom style="double"/>
    </border>
    <border>
      <left style="medium"/>
      <right style="medium"/>
      <top/>
      <bottom style="medium">
        <color indexed="8"/>
      </bottom>
    </border>
    <border>
      <left style="medium"/>
      <right style="medium"/>
      <top style="medium">
        <color indexed="8"/>
      </top>
      <bottom/>
    </border>
    <border>
      <left/>
      <right style="medium">
        <color indexed="8"/>
      </right>
      <top/>
      <bottom/>
    </border>
    <border>
      <left style="medium"/>
      <right/>
      <top/>
      <bottom style="medium">
        <color indexed="8"/>
      </bottom>
    </border>
    <border>
      <left/>
      <right/>
      <top/>
      <bottom style="medium">
        <color indexed="8"/>
      </bottom>
    </border>
    <border>
      <left/>
      <right style="medium">
        <color indexed="8"/>
      </right>
      <top/>
      <bottom style="medium">
        <color indexed="8"/>
      </bottom>
    </border>
    <border>
      <left style="medium"/>
      <right/>
      <top style="medium">
        <color indexed="8"/>
      </top>
      <bottom/>
    </border>
    <border>
      <left/>
      <right/>
      <top style="medium">
        <color indexed="8"/>
      </top>
      <bottom/>
    </border>
    <border>
      <left/>
      <right style="medium"/>
      <top style="medium">
        <color indexed="8"/>
      </top>
      <bottom/>
    </border>
    <border>
      <left style="medium"/>
      <right/>
      <top/>
      <bottom style="double"/>
    </border>
    <border>
      <left/>
      <right style="medium">
        <color indexed="8"/>
      </right>
      <top/>
      <bottom style="double"/>
    </border>
    <border>
      <left style="medium">
        <color indexed="8"/>
      </left>
      <right/>
      <top style="medium"/>
      <bottom style="medium"/>
    </border>
    <border>
      <left style="medium">
        <color indexed="8"/>
      </left>
      <right/>
      <top style="medium"/>
      <bottom style="double"/>
    </border>
    <border>
      <left/>
      <right style="medium">
        <color indexed="8"/>
      </right>
      <top style="medium"/>
      <bottom style="double"/>
    </border>
    <border>
      <left/>
      <right style="medium">
        <color indexed="8"/>
      </right>
      <top/>
      <bottom style="medium"/>
    </border>
    <border>
      <left style="medium"/>
      <right style="thin"/>
      <top style="medium"/>
      <bottom/>
    </border>
    <border>
      <left style="medium"/>
      <right/>
      <top style="thin"/>
      <bottom/>
    </border>
    <border>
      <left/>
      <right style="thin"/>
      <top/>
      <bottom style="medium"/>
    </border>
    <border>
      <left style="medium"/>
      <right/>
      <top style="medium"/>
      <bottom style="thin"/>
    </border>
    <border>
      <left style="medium"/>
      <right/>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 fillId="0" borderId="0">
      <alignment/>
      <protection/>
    </xf>
    <xf numFmtId="0" fontId="12" fillId="0" borderId="0">
      <alignment/>
      <protection/>
    </xf>
    <xf numFmtId="166" fontId="12" fillId="0" borderId="0" applyBorder="0" applyProtection="0">
      <alignment/>
    </xf>
    <xf numFmtId="171" fontId="12" fillId="0" borderId="0" applyBorder="0" applyProtection="0">
      <alignment/>
    </xf>
    <xf numFmtId="0" fontId="24" fillId="0" borderId="0" applyBorder="0" applyProtection="0">
      <alignment/>
    </xf>
    <xf numFmtId="43" fontId="0" fillId="0" borderId="0" applyFont="0" applyFill="0" applyBorder="0" applyAlignment="0" applyProtection="0"/>
    <xf numFmtId="0" fontId="12" fillId="0" borderId="0">
      <alignment/>
      <protection/>
    </xf>
    <xf numFmtId="0" fontId="0" fillId="0" borderId="0">
      <alignment/>
      <protection/>
    </xf>
  </cellStyleXfs>
  <cellXfs count="1849">
    <xf numFmtId="0" fontId="0" fillId="0" borderId="0" xfId="0"/>
    <xf numFmtId="0" fontId="3" fillId="0" borderId="0" xfId="0" applyFont="1"/>
    <xf numFmtId="0" fontId="0" fillId="0" borderId="0" xfId="0" applyAlignment="1">
      <alignment vertical="center"/>
    </xf>
    <xf numFmtId="0" fontId="6" fillId="2" borderId="0" xfId="0" applyFont="1" applyFill="1"/>
    <xf numFmtId="0" fontId="8" fillId="2" borderId="0" xfId="0" applyFont="1" applyFill="1" applyAlignment="1">
      <alignment wrapText="1"/>
    </xf>
    <xf numFmtId="43" fontId="6" fillId="3" borderId="1" xfId="20" applyFont="1" applyFill="1" applyBorder="1" applyAlignment="1" applyProtection="1">
      <alignment horizontal="right" vertical="top" wrapText="1"/>
      <protection/>
    </xf>
    <xf numFmtId="0" fontId="13" fillId="2" borderId="0" xfId="24" applyFont="1" applyFill="1">
      <alignment/>
      <protection/>
    </xf>
    <xf numFmtId="0" fontId="15" fillId="2" borderId="0" xfId="24" applyFont="1" applyFill="1" applyAlignment="1">
      <alignment wrapText="1"/>
      <protection/>
    </xf>
    <xf numFmtId="0" fontId="12" fillId="0" borderId="0" xfId="24">
      <alignment/>
      <protection/>
    </xf>
    <xf numFmtId="43" fontId="6" fillId="3" borderId="2" xfId="20" applyFont="1" applyFill="1" applyBorder="1" applyAlignment="1" applyProtection="1">
      <alignment horizontal="right" vertical="top" wrapText="1"/>
      <protection/>
    </xf>
    <xf numFmtId="43" fontId="6" fillId="3" borderId="3" xfId="20" applyFont="1" applyFill="1" applyBorder="1" applyAlignment="1" applyProtection="1">
      <alignment horizontal="right" vertical="top" wrapText="1"/>
      <protection/>
    </xf>
    <xf numFmtId="43" fontId="6" fillId="3" borderId="4" xfId="20" applyFont="1" applyFill="1" applyBorder="1" applyAlignment="1" applyProtection="1">
      <alignment horizontal="right" vertical="top" wrapText="1"/>
      <protection/>
    </xf>
    <xf numFmtId="43" fontId="6" fillId="3" borderId="5" xfId="20" applyFont="1" applyFill="1" applyBorder="1" applyAlignment="1" applyProtection="1">
      <alignment horizontal="right" vertical="top" wrapText="1"/>
      <protection/>
    </xf>
    <xf numFmtId="43" fontId="6" fillId="3" borderId="6" xfId="20" applyFont="1" applyFill="1" applyBorder="1" applyAlignment="1" applyProtection="1">
      <alignment horizontal="right" vertical="top" wrapText="1"/>
      <protection/>
    </xf>
    <xf numFmtId="43" fontId="6" fillId="3" borderId="7" xfId="20" applyFont="1" applyFill="1" applyBorder="1" applyAlignment="1" applyProtection="1">
      <alignment horizontal="right" vertical="top" wrapText="1"/>
      <protection/>
    </xf>
    <xf numFmtId="43" fontId="6" fillId="0" borderId="1" xfId="20" applyFont="1" applyFill="1" applyBorder="1" applyAlignment="1" applyProtection="1">
      <alignment horizontal="right" vertical="top" wrapText="1"/>
      <protection/>
    </xf>
    <xf numFmtId="0" fontId="6" fillId="0" borderId="0" xfId="0" applyFont="1"/>
    <xf numFmtId="0" fontId="6" fillId="2" borderId="0" xfId="24" applyFont="1" applyFill="1">
      <alignment/>
      <protection/>
    </xf>
    <xf numFmtId="0" fontId="2" fillId="2" borderId="0" xfId="24" applyFont="1" applyFill="1">
      <alignment/>
      <protection/>
    </xf>
    <xf numFmtId="0" fontId="7" fillId="2" borderId="0" xfId="24" applyFont="1" applyFill="1" applyAlignment="1">
      <alignment vertical="top" wrapText="1"/>
      <protection/>
    </xf>
    <xf numFmtId="49" fontId="6" fillId="2" borderId="0" xfId="24" applyNumberFormat="1" applyFont="1" applyFill="1">
      <alignment/>
      <protection/>
    </xf>
    <xf numFmtId="0" fontId="18" fillId="2" borderId="0" xfId="24" applyFont="1" applyFill="1">
      <alignment/>
      <protection/>
    </xf>
    <xf numFmtId="0" fontId="7" fillId="2" borderId="0" xfId="24" applyFont="1" applyFill="1" applyAlignment="1">
      <alignment vertical="top"/>
      <protection/>
    </xf>
    <xf numFmtId="0" fontId="12" fillId="2" borderId="0" xfId="24" applyFill="1">
      <alignment/>
      <protection/>
    </xf>
    <xf numFmtId="0" fontId="6" fillId="2" borderId="8" xfId="24" applyFont="1" applyFill="1" applyBorder="1">
      <alignment/>
      <protection/>
    </xf>
    <xf numFmtId="0" fontId="6" fillId="2" borderId="9" xfId="24" applyFont="1" applyFill="1" applyBorder="1">
      <alignment/>
      <protection/>
    </xf>
    <xf numFmtId="0" fontId="6" fillId="4" borderId="10" xfId="24" applyFont="1" applyFill="1" applyBorder="1">
      <alignment/>
      <protection/>
    </xf>
    <xf numFmtId="0" fontId="6" fillId="2" borderId="11" xfId="24" applyFont="1" applyFill="1" applyBorder="1">
      <alignment/>
      <protection/>
    </xf>
    <xf numFmtId="0" fontId="6" fillId="5" borderId="12" xfId="24" applyFont="1" applyFill="1" applyBorder="1">
      <alignment/>
      <protection/>
    </xf>
    <xf numFmtId="0" fontId="6" fillId="6" borderId="12" xfId="24" applyFont="1" applyFill="1" applyBorder="1">
      <alignment/>
      <protection/>
    </xf>
    <xf numFmtId="0" fontId="19" fillId="2" borderId="0" xfId="24" applyFont="1" applyFill="1">
      <alignment/>
      <protection/>
    </xf>
    <xf numFmtId="0" fontId="20" fillId="7" borderId="12" xfId="24" applyFont="1" applyFill="1" applyBorder="1">
      <alignment/>
      <protection/>
    </xf>
    <xf numFmtId="0" fontId="6" fillId="8" borderId="12" xfId="24" applyFont="1" applyFill="1" applyBorder="1">
      <alignment/>
      <protection/>
    </xf>
    <xf numFmtId="0" fontId="6" fillId="2" borderId="13" xfId="24" applyFont="1" applyFill="1" applyBorder="1">
      <alignment/>
      <protection/>
    </xf>
    <xf numFmtId="0" fontId="6" fillId="2" borderId="14" xfId="24" applyFont="1" applyFill="1" applyBorder="1">
      <alignment/>
      <protection/>
    </xf>
    <xf numFmtId="0" fontId="2" fillId="2" borderId="14" xfId="24" applyFont="1" applyFill="1" applyBorder="1">
      <alignment/>
      <protection/>
    </xf>
    <xf numFmtId="0" fontId="6" fillId="9" borderId="15" xfId="24" applyFont="1" applyFill="1" applyBorder="1">
      <alignment/>
      <protection/>
    </xf>
    <xf numFmtId="0" fontId="21" fillId="10" borderId="15" xfId="24" applyFont="1" applyFill="1" applyBorder="1">
      <alignment/>
      <protection/>
    </xf>
    <xf numFmtId="0" fontId="22" fillId="2" borderId="0" xfId="24" applyFont="1" applyFill="1">
      <alignment/>
      <protection/>
    </xf>
    <xf numFmtId="0" fontId="6" fillId="2" borderId="0" xfId="24" applyFont="1" applyFill="1" applyAlignment="1">
      <alignment horizontal="left"/>
      <protection/>
    </xf>
    <xf numFmtId="0" fontId="6" fillId="2" borderId="0" xfId="24" applyFont="1" applyFill="1" applyAlignment="1">
      <alignment vertical="top"/>
      <protection/>
    </xf>
    <xf numFmtId="0" fontId="23" fillId="2" borderId="0" xfId="24" applyFont="1" applyFill="1">
      <alignment/>
      <protection/>
    </xf>
    <xf numFmtId="0" fontId="6" fillId="2" borderId="0" xfId="24" applyFont="1" applyFill="1" applyAlignment="1">
      <alignment vertical="center" wrapText="1"/>
      <protection/>
    </xf>
    <xf numFmtId="0" fontId="24" fillId="2" borderId="0" xfId="27" applyFill="1" applyBorder="1" applyAlignment="1" applyProtection="1">
      <alignment horizontal="left" vertical="top" wrapText="1"/>
      <protection/>
    </xf>
    <xf numFmtId="0" fontId="2" fillId="2" borderId="0" xfId="24" applyFont="1" applyFill="1" applyAlignment="1">
      <alignment horizontal="left" wrapText="1"/>
      <protection/>
    </xf>
    <xf numFmtId="0" fontId="2" fillId="2" borderId="0" xfId="24" applyFont="1" applyFill="1" applyAlignment="1">
      <alignment wrapText="1"/>
      <protection/>
    </xf>
    <xf numFmtId="0" fontId="27" fillId="2" borderId="0" xfId="24" applyFont="1" applyFill="1">
      <alignment/>
      <protection/>
    </xf>
    <xf numFmtId="0" fontId="7" fillId="2" borderId="0" xfId="24" applyFont="1" applyFill="1">
      <alignment/>
      <protection/>
    </xf>
    <xf numFmtId="0" fontId="28" fillId="2" borderId="0" xfId="24" applyFont="1" applyFill="1">
      <alignment/>
      <protection/>
    </xf>
    <xf numFmtId="0" fontId="30" fillId="2" borderId="0" xfId="24" applyFont="1" applyFill="1">
      <alignment/>
      <protection/>
    </xf>
    <xf numFmtId="0" fontId="31" fillId="2" borderId="0" xfId="24" applyFont="1" applyFill="1">
      <alignment/>
      <protection/>
    </xf>
    <xf numFmtId="0" fontId="6" fillId="0" borderId="1" xfId="24" applyFont="1" applyBorder="1" applyAlignment="1">
      <alignment horizontal="left" vertical="top" wrapText="1"/>
      <protection/>
    </xf>
    <xf numFmtId="0" fontId="14" fillId="11" borderId="0" xfId="24" applyFont="1" applyFill="1">
      <alignment/>
      <protection/>
    </xf>
    <xf numFmtId="0" fontId="33" fillId="0" borderId="0" xfId="0" applyFont="1"/>
    <xf numFmtId="0" fontId="32" fillId="12" borderId="1" xfId="0" applyFont="1" applyFill="1" applyBorder="1" applyAlignment="1">
      <alignment horizontal="center" wrapText="1"/>
    </xf>
    <xf numFmtId="0" fontId="32" fillId="12" borderId="1" xfId="0" applyFont="1" applyFill="1" applyBorder="1" applyAlignment="1">
      <alignment horizontal="center" wrapText="1"/>
    </xf>
    <xf numFmtId="0" fontId="35" fillId="0" borderId="1" xfId="0" applyFont="1" applyBorder="1" applyAlignment="1">
      <alignment horizontal="left"/>
    </xf>
    <xf numFmtId="165" fontId="35" fillId="0" borderId="1" xfId="20" applyNumberFormat="1" applyFont="1" applyFill="1" applyBorder="1" applyAlignment="1" applyProtection="1">
      <alignment horizontal="right"/>
      <protection/>
    </xf>
    <xf numFmtId="4" fontId="33" fillId="0" borderId="0" xfId="0" applyNumberFormat="1" applyFont="1"/>
    <xf numFmtId="0" fontId="35" fillId="0" borderId="0" xfId="0" applyFont="1"/>
    <xf numFmtId="0" fontId="35" fillId="0" borderId="0" xfId="0" applyFont="1" applyAlignment="1">
      <alignment vertical="center"/>
    </xf>
    <xf numFmtId="43" fontId="35" fillId="0" borderId="0" xfId="20" applyFont="1" applyFill="1" applyBorder="1" applyAlignment="1" applyProtection="1">
      <alignment/>
      <protection/>
    </xf>
    <xf numFmtId="4" fontId="35" fillId="0" borderId="1" xfId="20" applyNumberFormat="1" applyFont="1" applyFill="1" applyBorder="1" applyAlignment="1" applyProtection="1">
      <alignment horizontal="right"/>
      <protection/>
    </xf>
    <xf numFmtId="0" fontId="35" fillId="0" borderId="0" xfId="0" applyFont="1" applyAlignment="1">
      <alignment horizontal="left"/>
    </xf>
    <xf numFmtId="0" fontId="33" fillId="0" borderId="0" xfId="0" applyFont="1" applyAlignment="1">
      <alignment wrapText="1"/>
    </xf>
    <xf numFmtId="0" fontId="35" fillId="0" borderId="0" xfId="0" applyFont="1" applyAlignment="1">
      <alignment vertical="top" wrapText="1"/>
    </xf>
    <xf numFmtId="167" fontId="35" fillId="0" borderId="0" xfId="0" applyNumberFormat="1" applyFont="1" applyAlignment="1">
      <alignment vertical="center"/>
    </xf>
    <xf numFmtId="4" fontId="35" fillId="0" borderId="1" xfId="20" applyNumberFormat="1" applyFont="1" applyFill="1" applyBorder="1" applyAlignment="1" applyProtection="1">
      <alignment/>
      <protection/>
    </xf>
    <xf numFmtId="168" fontId="35" fillId="0" borderId="0" xfId="0" applyNumberFormat="1" applyFont="1" applyAlignment="1">
      <alignment vertical="center"/>
    </xf>
    <xf numFmtId="0" fontId="32" fillId="12" borderId="15" xfId="0" applyFont="1" applyFill="1" applyBorder="1" applyAlignment="1">
      <alignment horizontal="center" wrapText="1"/>
    </xf>
    <xf numFmtId="0" fontId="33" fillId="0" borderId="0" xfId="0" applyFont="1" applyAlignment="1">
      <alignment vertical="center"/>
    </xf>
    <xf numFmtId="4" fontId="32" fillId="12" borderId="1" xfId="0" applyNumberFormat="1" applyFont="1" applyFill="1" applyBorder="1" applyAlignment="1">
      <alignment horizontal="right" wrapText="1"/>
    </xf>
    <xf numFmtId="0" fontId="35" fillId="0" borderId="1" xfId="0" applyFont="1" applyBorder="1" applyAlignment="1">
      <alignment horizontal="left" vertical="center"/>
    </xf>
    <xf numFmtId="0" fontId="35" fillId="0" borderId="1" xfId="0" applyFont="1" applyBorder="1" applyAlignment="1">
      <alignment horizontal="left" vertical="center" wrapText="1"/>
    </xf>
    <xf numFmtId="0" fontId="33" fillId="0" borderId="0" xfId="0" applyFont="1" applyAlignment="1">
      <alignment horizontal="right"/>
    </xf>
    <xf numFmtId="0" fontId="32" fillId="13" borderId="1" xfId="0" applyFont="1" applyFill="1" applyBorder="1" applyAlignment="1">
      <alignment horizontal="center" vertical="center" wrapText="1"/>
    </xf>
    <xf numFmtId="0" fontId="38" fillId="2" borderId="1" xfId="0" applyFont="1" applyFill="1" applyBorder="1" applyAlignment="1">
      <alignment horizontal="left" vertical="center"/>
    </xf>
    <xf numFmtId="4" fontId="38" fillId="2" borderId="1" xfId="0" applyNumberFormat="1" applyFont="1" applyFill="1" applyBorder="1" applyAlignment="1">
      <alignment horizontal="right" vertical="center" wrapText="1"/>
    </xf>
    <xf numFmtId="0" fontId="37" fillId="2" borderId="1" xfId="0" applyFont="1" applyFill="1" applyBorder="1" applyAlignment="1">
      <alignment vertical="center"/>
    </xf>
    <xf numFmtId="165" fontId="35" fillId="0" borderId="1" xfId="20" applyNumberFormat="1" applyFont="1" applyFill="1" applyBorder="1" applyAlignment="1" applyProtection="1">
      <alignment horizontal="right"/>
      <protection/>
    </xf>
    <xf numFmtId="0" fontId="39" fillId="0" borderId="0" xfId="0" applyFont="1"/>
    <xf numFmtId="0" fontId="35" fillId="2" borderId="1" xfId="0" applyFont="1" applyFill="1" applyBorder="1" applyAlignment="1">
      <alignment horizontal="left" vertical="center"/>
    </xf>
    <xf numFmtId="0" fontId="35" fillId="14" borderId="1" xfId="0" applyFont="1" applyFill="1" applyBorder="1" applyAlignment="1">
      <alignment horizontal="left" vertical="center" wrapText="1"/>
    </xf>
    <xf numFmtId="0" fontId="35" fillId="14" borderId="1" xfId="0" applyFont="1" applyFill="1" applyBorder="1" applyAlignment="1">
      <alignment horizontal="left" vertical="center"/>
    </xf>
    <xf numFmtId="165" fontId="35" fillId="0" borderId="0" xfId="20" applyNumberFormat="1" applyFont="1" applyFill="1" applyBorder="1" applyAlignment="1" applyProtection="1">
      <alignment horizontal="right"/>
      <protection/>
    </xf>
    <xf numFmtId="4" fontId="35" fillId="0" borderId="0" xfId="20" applyNumberFormat="1" applyFont="1" applyFill="1" applyBorder="1" applyAlignment="1" applyProtection="1">
      <alignment horizontal="right"/>
      <protection/>
    </xf>
    <xf numFmtId="0" fontId="32" fillId="12" borderId="10" xfId="0" applyFont="1" applyFill="1" applyBorder="1" applyAlignment="1">
      <alignment horizontal="center" wrapText="1"/>
    </xf>
    <xf numFmtId="0" fontId="35" fillId="0" borderId="0" xfId="0" applyFont="1" applyAlignment="1">
      <alignment horizontal="left" vertical="top"/>
    </xf>
    <xf numFmtId="0" fontId="32" fillId="12" borderId="1" xfId="0" applyFont="1" applyFill="1" applyBorder="1" applyAlignment="1">
      <alignment horizontal="left"/>
    </xf>
    <xf numFmtId="0" fontId="35" fillId="15" borderId="1" xfId="0" applyFont="1" applyFill="1" applyBorder="1" applyAlignment="1">
      <alignment horizontal="left" vertical="top"/>
    </xf>
    <xf numFmtId="4" fontId="35" fillId="15" borderId="1" xfId="0" applyNumberFormat="1" applyFont="1" applyFill="1" applyBorder="1" applyAlignment="1">
      <alignment horizontal="right"/>
    </xf>
    <xf numFmtId="0" fontId="32" fillId="12" borderId="1" xfId="0" applyFont="1" applyFill="1" applyBorder="1" applyAlignment="1">
      <alignment horizontal="right" vertical="top"/>
    </xf>
    <xf numFmtId="4" fontId="32" fillId="12" borderId="1" xfId="0" applyNumberFormat="1" applyFont="1" applyFill="1" applyBorder="1" applyAlignment="1">
      <alignment horizontal="right"/>
    </xf>
    <xf numFmtId="0" fontId="35" fillId="16" borderId="1" xfId="0" applyFont="1" applyFill="1" applyBorder="1" applyAlignment="1">
      <alignment horizontal="left" vertical="top"/>
    </xf>
    <xf numFmtId="4" fontId="35" fillId="16" borderId="1" xfId="0" applyNumberFormat="1" applyFont="1" applyFill="1" applyBorder="1" applyAlignment="1">
      <alignment horizontal="right"/>
    </xf>
    <xf numFmtId="0" fontId="35" fillId="17" borderId="1" xfId="0" applyFont="1" applyFill="1" applyBorder="1" applyAlignment="1">
      <alignment horizontal="left" vertical="top"/>
    </xf>
    <xf numFmtId="4" fontId="35" fillId="17" borderId="1" xfId="0" applyNumberFormat="1" applyFont="1" applyFill="1" applyBorder="1" applyAlignment="1">
      <alignment horizontal="right"/>
    </xf>
    <xf numFmtId="0" fontId="32" fillId="12" borderId="1" xfId="0" applyFont="1" applyFill="1" applyBorder="1" applyAlignment="1">
      <alignment horizontal="left" vertical="top" wrapText="1"/>
    </xf>
    <xf numFmtId="4" fontId="38" fillId="18" borderId="10" xfId="0" applyNumberFormat="1" applyFont="1" applyFill="1" applyBorder="1" applyAlignment="1">
      <alignment horizontal="right" vertical="center" wrapText="1"/>
    </xf>
    <xf numFmtId="4" fontId="38" fillId="0" borderId="1" xfId="0" applyNumberFormat="1" applyFont="1" applyBorder="1" applyAlignment="1">
      <alignment horizontal="right" vertical="center" wrapText="1"/>
    </xf>
    <xf numFmtId="165" fontId="33" fillId="0" borderId="0" xfId="0" applyNumberFormat="1" applyFont="1"/>
    <xf numFmtId="165" fontId="35" fillId="19" borderId="1" xfId="20" applyNumberFormat="1" applyFont="1" applyFill="1" applyBorder="1" applyAlignment="1" applyProtection="1">
      <alignment horizontal="right"/>
      <protection/>
    </xf>
    <xf numFmtId="165" fontId="32" fillId="12" borderId="1" xfId="20" applyNumberFormat="1" applyFont="1" applyFill="1" applyBorder="1" applyAlignment="1" applyProtection="1">
      <alignment horizontal="right"/>
      <protection/>
    </xf>
    <xf numFmtId="0" fontId="35" fillId="14" borderId="0" xfId="0" applyFont="1" applyFill="1" applyAlignment="1">
      <alignment horizontal="left" vertical="center"/>
    </xf>
    <xf numFmtId="165" fontId="35" fillId="0" borderId="1" xfId="20" applyNumberFormat="1" applyFont="1" applyFill="1" applyBorder="1" applyAlignment="1" applyProtection="1">
      <alignment horizontal="center"/>
      <protection/>
    </xf>
    <xf numFmtId="0" fontId="35" fillId="0" borderId="1" xfId="0" applyFont="1" applyBorder="1" applyAlignment="1">
      <alignment horizontal="left" vertical="top"/>
    </xf>
    <xf numFmtId="0" fontId="32" fillId="12" borderId="1" xfId="0" applyFont="1" applyFill="1" applyBorder="1" applyAlignment="1">
      <alignment horizontal="left" wrapText="1"/>
    </xf>
    <xf numFmtId="165" fontId="32" fillId="0" borderId="0" xfId="20" applyNumberFormat="1" applyFont="1" applyFill="1" applyBorder="1" applyAlignment="1" applyProtection="1">
      <alignment horizontal="right"/>
      <protection/>
    </xf>
    <xf numFmtId="4" fontId="35" fillId="0" borderId="1" xfId="0" applyNumberFormat="1" applyFont="1" applyBorder="1" applyAlignment="1">
      <alignment horizontal="right" wrapText="1"/>
    </xf>
    <xf numFmtId="0" fontId="32" fillId="0" borderId="0" xfId="0" applyFont="1" applyAlignment="1">
      <alignment horizontal="right" wrapText="1"/>
    </xf>
    <xf numFmtId="4" fontId="35" fillId="0" borderId="0" xfId="0" applyNumberFormat="1" applyFont="1" applyAlignment="1">
      <alignment horizontal="right" wrapText="1"/>
    </xf>
    <xf numFmtId="0" fontId="37" fillId="2" borderId="0" xfId="0" applyFont="1" applyFill="1"/>
    <xf numFmtId="0" fontId="35" fillId="2" borderId="0" xfId="0" applyFont="1" applyFill="1"/>
    <xf numFmtId="0" fontId="32" fillId="0" borderId="0" xfId="0" applyFont="1"/>
    <xf numFmtId="166" fontId="37" fillId="2" borderId="1" xfId="0" applyNumberFormat="1" applyFont="1" applyFill="1" applyBorder="1"/>
    <xf numFmtId="43" fontId="37" fillId="0" borderId="1" xfId="20" applyFont="1" applyFill="1" applyBorder="1" applyAlignment="1" applyProtection="1">
      <alignment horizontal="left" vertical="top"/>
      <protection/>
    </xf>
    <xf numFmtId="0" fontId="33" fillId="0" borderId="0" xfId="0" applyFont="1" applyAlignment="1">
      <alignment horizontal="left" vertical="top" wrapText="1"/>
    </xf>
    <xf numFmtId="0" fontId="33" fillId="0" borderId="1" xfId="0" applyFont="1" applyBorder="1"/>
    <xf numFmtId="9" fontId="35" fillId="0" borderId="1" xfId="21" applyFont="1" applyFill="1" applyBorder="1" applyAlignment="1">
      <alignment horizontal="right" vertical="top"/>
    </xf>
    <xf numFmtId="0" fontId="35" fillId="0" borderId="1" xfId="0" applyFont="1" applyBorder="1" applyAlignment="1">
      <alignment horizontal="left" vertical="top"/>
    </xf>
    <xf numFmtId="0" fontId="35" fillId="0" borderId="0" xfId="0" applyFont="1" applyAlignment="1">
      <alignment horizontal="left" vertical="top" wrapText="1"/>
    </xf>
    <xf numFmtId="4" fontId="35" fillId="0" borderId="1" xfId="0" applyNumberFormat="1" applyFont="1" applyBorder="1" applyAlignment="1">
      <alignment horizontal="center" vertical="center" wrapText="1"/>
    </xf>
    <xf numFmtId="0" fontId="32" fillId="12" borderId="1" xfId="0" applyFont="1" applyFill="1" applyBorder="1" applyAlignment="1">
      <alignment horizontal="left" vertical="center" wrapText="1"/>
    </xf>
    <xf numFmtId="0" fontId="35" fillId="0" borderId="1" xfId="0" applyFont="1" applyBorder="1" applyAlignment="1">
      <alignment horizontal="left" vertical="top" wrapText="1"/>
    </xf>
    <xf numFmtId="4" fontId="32" fillId="12" borderId="16" xfId="0" applyNumberFormat="1" applyFont="1" applyFill="1" applyBorder="1" applyAlignment="1">
      <alignment horizontal="right" wrapText="1"/>
    </xf>
    <xf numFmtId="0" fontId="32" fillId="20" borderId="16" xfId="0" applyFont="1" applyFill="1" applyBorder="1" applyAlignment="1">
      <alignment horizontal="center" wrapText="1"/>
    </xf>
    <xf numFmtId="0" fontId="35" fillId="0" borderId="16" xfId="0" applyFont="1" applyBorder="1" applyAlignment="1">
      <alignment horizontal="center" vertical="top" wrapText="1"/>
    </xf>
    <xf numFmtId="0" fontId="35" fillId="0" borderId="16" xfId="0" applyFont="1" applyBorder="1" applyAlignment="1">
      <alignment horizontal="center" wrapText="1"/>
    </xf>
    <xf numFmtId="0" fontId="32" fillId="0" borderId="17" xfId="0" applyFont="1" applyBorder="1" applyAlignment="1">
      <alignment horizontal="center" wrapText="1"/>
    </xf>
    <xf numFmtId="4" fontId="42" fillId="0" borderId="16" xfId="0" applyNumberFormat="1" applyFont="1" applyBorder="1" applyAlignment="1">
      <alignment horizontal="right" wrapText="1"/>
    </xf>
    <xf numFmtId="4" fontId="35" fillId="0" borderId="16" xfId="0" applyNumberFormat="1" applyFont="1" applyBorder="1" applyAlignment="1">
      <alignment horizontal="right" wrapText="1"/>
    </xf>
    <xf numFmtId="4" fontId="42" fillId="0" borderId="18" xfId="0" applyNumberFormat="1" applyFont="1" applyBorder="1" applyAlignment="1">
      <alignment horizontal="right" wrapText="1"/>
    </xf>
    <xf numFmtId="0" fontId="35" fillId="0" borderId="19" xfId="0" applyFont="1" applyBorder="1" applyAlignment="1">
      <alignment horizontal="center" wrapText="1"/>
    </xf>
    <xf numFmtId="0" fontId="32" fillId="0" borderId="20" xfId="0" applyFont="1" applyBorder="1" applyAlignment="1">
      <alignment horizontal="center" wrapText="1"/>
    </xf>
    <xf numFmtId="0" fontId="35" fillId="0" borderId="16" xfId="0" applyFont="1" applyBorder="1" applyAlignment="1">
      <alignment wrapText="1"/>
    </xf>
    <xf numFmtId="0" fontId="35" fillId="20" borderId="16" xfId="0" applyFont="1" applyFill="1" applyBorder="1"/>
    <xf numFmtId="0" fontId="35" fillId="20" borderId="16" xfId="0" applyFont="1" applyFill="1" applyBorder="1" applyAlignment="1">
      <alignment wrapText="1"/>
    </xf>
    <xf numFmtId="4" fontId="35" fillId="20" borderId="16" xfId="0" applyNumberFormat="1" applyFont="1" applyFill="1" applyBorder="1" applyAlignment="1">
      <alignment wrapText="1"/>
    </xf>
    <xf numFmtId="4" fontId="32" fillId="20" borderId="16" xfId="0" applyNumberFormat="1" applyFont="1" applyFill="1" applyBorder="1" applyAlignment="1">
      <alignment wrapText="1"/>
    </xf>
    <xf numFmtId="4" fontId="32" fillId="12" borderId="1" xfId="0" applyNumberFormat="1" applyFont="1" applyFill="1" applyBorder="1" applyAlignment="1">
      <alignment horizontal="center" vertical="center" wrapText="1"/>
    </xf>
    <xf numFmtId="2" fontId="35" fillId="0" borderId="1" xfId="0" applyNumberFormat="1" applyFont="1" applyBorder="1" applyAlignment="1">
      <alignment horizontal="center" vertical="center"/>
    </xf>
    <xf numFmtId="169" fontId="32" fillId="0" borderId="0" xfId="0" applyNumberFormat="1" applyFont="1" applyAlignment="1">
      <alignment wrapText="1"/>
    </xf>
    <xf numFmtId="0" fontId="35" fillId="12" borderId="18" xfId="0" applyFont="1" applyFill="1" applyBorder="1" applyAlignment="1">
      <alignment horizontal="center" vertical="top" wrapText="1"/>
    </xf>
    <xf numFmtId="0" fontId="35" fillId="12" borderId="21" xfId="0" applyFont="1" applyFill="1" applyBorder="1" applyAlignment="1">
      <alignment horizontal="center" vertical="top" wrapText="1"/>
    </xf>
    <xf numFmtId="0" fontId="35" fillId="20" borderId="16" xfId="0" applyFont="1" applyFill="1" applyBorder="1" applyAlignment="1">
      <alignment horizontal="left" wrapText="1" indent="1"/>
    </xf>
    <xf numFmtId="4" fontId="35" fillId="0" borderId="16" xfId="0" applyNumberFormat="1" applyFont="1" applyBorder="1" applyAlignment="1">
      <alignment horizontal="left" wrapText="1" indent="1"/>
    </xf>
    <xf numFmtId="0" fontId="41" fillId="0" borderId="0" xfId="0" applyFont="1"/>
    <xf numFmtId="0" fontId="32" fillId="12" borderId="18" xfId="0" applyFont="1" applyFill="1" applyBorder="1" applyAlignment="1">
      <alignment horizontal="center" vertical="top" wrapText="1"/>
    </xf>
    <xf numFmtId="0" fontId="35" fillId="0" borderId="16" xfId="0" applyFont="1" applyBorder="1" applyAlignment="1">
      <alignment horizontal="right" wrapText="1"/>
    </xf>
    <xf numFmtId="0" fontId="32" fillId="20" borderId="22" xfId="0" applyFont="1" applyFill="1" applyBorder="1" applyAlignment="1">
      <alignment horizontal="right" wrapText="1" indent="1"/>
    </xf>
    <xf numFmtId="0" fontId="35" fillId="0" borderId="22" xfId="0" applyFont="1" applyBorder="1" applyAlignment="1">
      <alignment horizontal="center" vertical="center" wrapText="1"/>
    </xf>
    <xf numFmtId="4" fontId="35" fillId="0" borderId="16" xfId="0" applyNumberFormat="1" applyFont="1" applyBorder="1" applyAlignment="1">
      <alignment horizontal="center" wrapText="1"/>
    </xf>
    <xf numFmtId="4" fontId="35" fillId="20" borderId="16" xfId="0" applyNumberFormat="1" applyFont="1" applyFill="1" applyBorder="1"/>
    <xf numFmtId="0" fontId="32" fillId="20" borderId="22" xfId="0" applyFont="1" applyFill="1" applyBorder="1" applyAlignment="1">
      <alignment horizontal="center"/>
    </xf>
    <xf numFmtId="0" fontId="35" fillId="0" borderId="22" xfId="0" applyFont="1" applyBorder="1" applyAlignment="1">
      <alignment horizontal="center" wrapText="1"/>
    </xf>
    <xf numFmtId="4" fontId="35" fillId="0" borderId="16" xfId="0" applyNumberFormat="1" applyFont="1" applyBorder="1" applyAlignment="1">
      <alignment wrapText="1"/>
    </xf>
    <xf numFmtId="43" fontId="35" fillId="0" borderId="16" xfId="20" applyFont="1" applyBorder="1" applyAlignment="1">
      <alignment horizontal="right" wrapText="1"/>
    </xf>
    <xf numFmtId="43" fontId="32" fillId="20" borderId="16" xfId="20" applyFont="1" applyFill="1" applyBorder="1"/>
    <xf numFmtId="0" fontId="35" fillId="0" borderId="18" xfId="0" applyFont="1" applyBorder="1" applyAlignment="1">
      <alignment horizontal="center" vertical="center" wrapText="1"/>
    </xf>
    <xf numFmtId="0" fontId="32" fillId="0" borderId="17" xfId="0" applyFont="1" applyBorder="1" applyAlignment="1">
      <alignment horizontal="center"/>
    </xf>
    <xf numFmtId="0" fontId="35" fillId="0" borderId="16" xfId="0" applyFont="1" applyBorder="1" applyAlignment="1">
      <alignment vertical="center" wrapText="1"/>
    </xf>
    <xf numFmtId="0" fontId="35" fillId="20" borderId="16" xfId="0" applyFont="1" applyFill="1" applyBorder="1" applyAlignment="1">
      <alignment vertical="center" wrapText="1"/>
    </xf>
    <xf numFmtId="0" fontId="35" fillId="20" borderId="16" xfId="0" applyFont="1" applyFill="1" applyBorder="1" applyAlignment="1">
      <alignment horizontal="center" wrapText="1"/>
    </xf>
    <xf numFmtId="0" fontId="35" fillId="20" borderId="21" xfId="0" applyFont="1" applyFill="1" applyBorder="1" applyAlignment="1">
      <alignment horizontal="center" wrapText="1"/>
    </xf>
    <xf numFmtId="4" fontId="32" fillId="12" borderId="16" xfId="0" applyNumberFormat="1" applyFont="1" applyFill="1" applyBorder="1" applyAlignment="1">
      <alignment horizontal="center" wrapText="1"/>
    </xf>
    <xf numFmtId="0" fontId="35" fillId="19" borderId="16" xfId="0" applyFont="1" applyFill="1" applyBorder="1" applyAlignment="1">
      <alignment horizontal="center" vertical="center" wrapText="1"/>
    </xf>
    <xf numFmtId="0" fontId="32" fillId="20" borderId="16" xfId="0" applyFont="1" applyFill="1" applyBorder="1"/>
    <xf numFmtId="0" fontId="32" fillId="20" borderId="18" xfId="0" applyFont="1" applyFill="1" applyBorder="1" applyAlignment="1">
      <alignment horizontal="center" vertical="center" wrapText="1"/>
    </xf>
    <xf numFmtId="4" fontId="35" fillId="19" borderId="16" xfId="0" applyNumberFormat="1" applyFont="1" applyFill="1" applyBorder="1" applyAlignment="1">
      <alignment wrapText="1"/>
    </xf>
    <xf numFmtId="0" fontId="35" fillId="19" borderId="16" xfId="0" applyFont="1" applyFill="1" applyBorder="1" applyAlignment="1">
      <alignment wrapText="1"/>
    </xf>
    <xf numFmtId="43" fontId="32" fillId="21" borderId="16" xfId="20" applyFont="1" applyFill="1" applyBorder="1" applyAlignment="1">
      <alignment horizontal="right" wrapText="1"/>
    </xf>
    <xf numFmtId="43" fontId="33" fillId="0" borderId="0" xfId="20" applyFont="1"/>
    <xf numFmtId="43" fontId="35" fillId="0" borderId="16" xfId="20" applyFont="1" applyBorder="1" applyAlignment="1">
      <alignment wrapText="1"/>
    </xf>
    <xf numFmtId="43" fontId="35" fillId="0" borderId="16" xfId="20" applyFont="1" applyFill="1" applyBorder="1" applyAlignment="1">
      <alignment wrapText="1"/>
    </xf>
    <xf numFmtId="43" fontId="35" fillId="20" borderId="16" xfId="20" applyFont="1" applyFill="1" applyBorder="1" applyAlignment="1">
      <alignment wrapText="1"/>
    </xf>
    <xf numFmtId="43" fontId="8" fillId="3" borderId="3" xfId="20" applyFont="1" applyFill="1" applyBorder="1" applyAlignment="1" applyProtection="1">
      <alignment horizontal="right" vertical="top" wrapText="1"/>
      <protection/>
    </xf>
    <xf numFmtId="43" fontId="8" fillId="3" borderId="1" xfId="20" applyFont="1" applyFill="1" applyBorder="1" applyAlignment="1" applyProtection="1">
      <alignment horizontal="right" vertical="top" wrapText="1"/>
      <protection/>
    </xf>
    <xf numFmtId="43" fontId="8" fillId="3" borderId="23" xfId="20" applyFont="1" applyFill="1" applyBorder="1" applyAlignment="1" applyProtection="1">
      <alignment horizontal="right" vertical="top" wrapText="1"/>
      <protection/>
    </xf>
    <xf numFmtId="0" fontId="37" fillId="2" borderId="0" xfId="24" applyFont="1" applyFill="1">
      <alignment/>
      <protection/>
    </xf>
    <xf numFmtId="0" fontId="38" fillId="2" borderId="0" xfId="24" applyFont="1" applyFill="1" applyAlignment="1">
      <alignment wrapText="1"/>
      <protection/>
    </xf>
    <xf numFmtId="43" fontId="58" fillId="2" borderId="24" xfId="20" applyFont="1" applyFill="1" applyBorder="1" applyAlignment="1">
      <alignment/>
    </xf>
    <xf numFmtId="43" fontId="38" fillId="2" borderId="24" xfId="20" applyFont="1" applyFill="1" applyBorder="1" applyAlignment="1" applyProtection="1">
      <alignment/>
      <protection/>
    </xf>
    <xf numFmtId="43" fontId="37" fillId="2" borderId="24" xfId="20" applyFont="1" applyFill="1" applyBorder="1" applyAlignment="1" applyProtection="1">
      <alignment/>
      <protection/>
    </xf>
    <xf numFmtId="43" fontId="59" fillId="2" borderId="24" xfId="20" applyFont="1" applyFill="1" applyBorder="1" applyAlignment="1" applyProtection="1">
      <alignment/>
      <protection/>
    </xf>
    <xf numFmtId="43" fontId="38" fillId="2" borderId="25" xfId="20" applyFont="1" applyFill="1" applyBorder="1" applyAlignment="1" applyProtection="1">
      <alignment/>
      <protection/>
    </xf>
    <xf numFmtId="0" fontId="38" fillId="22" borderId="0" xfId="24" applyFont="1" applyFill="1">
      <alignment/>
      <protection/>
    </xf>
    <xf numFmtId="4" fontId="37" fillId="0" borderId="1" xfId="0" applyNumberFormat="1" applyFont="1" applyBorder="1" applyAlignment="1">
      <alignment horizontal="right" vertical="center" wrapText="1"/>
    </xf>
    <xf numFmtId="9" fontId="38" fillId="23" borderId="1" xfId="21" applyFont="1" applyFill="1" applyBorder="1" applyAlignment="1">
      <alignment horizontal="right" vertical="center"/>
    </xf>
    <xf numFmtId="4" fontId="38" fillId="23" borderId="1" xfId="0" applyNumberFormat="1" applyFont="1" applyFill="1" applyBorder="1" applyAlignment="1">
      <alignment horizontal="right" vertical="center" wrapText="1"/>
    </xf>
    <xf numFmtId="0" fontId="38" fillId="18" borderId="1" xfId="0" applyFont="1" applyFill="1" applyBorder="1" applyAlignment="1">
      <alignment horizontal="left" vertical="center"/>
    </xf>
    <xf numFmtId="4" fontId="38" fillId="18" borderId="1" xfId="0" applyNumberFormat="1" applyFont="1" applyFill="1" applyBorder="1" applyAlignment="1">
      <alignment horizontal="right" vertical="center" wrapText="1"/>
    </xf>
    <xf numFmtId="0" fontId="38" fillId="24" borderId="1" xfId="0" applyFont="1" applyFill="1" applyBorder="1" applyAlignment="1">
      <alignment vertical="center" wrapText="1"/>
    </xf>
    <xf numFmtId="0" fontId="37" fillId="2" borderId="1" xfId="0" applyFont="1" applyFill="1" applyBorder="1" applyAlignment="1">
      <alignment vertical="center" wrapText="1"/>
    </xf>
    <xf numFmtId="4" fontId="37" fillId="18" borderId="10" xfId="0" applyNumberFormat="1" applyFont="1" applyFill="1" applyBorder="1" applyAlignment="1">
      <alignment horizontal="right" vertical="center" wrapText="1"/>
    </xf>
    <xf numFmtId="0" fontId="8" fillId="2" borderId="1" xfId="0" applyFont="1" applyFill="1" applyBorder="1" applyAlignment="1">
      <alignment horizontal="left" vertical="top" wrapText="1"/>
    </xf>
    <xf numFmtId="0" fontId="8" fillId="2" borderId="6" xfId="0" applyFont="1" applyFill="1" applyBorder="1" applyAlignment="1">
      <alignment horizontal="left" vertical="top" wrapText="1"/>
    </xf>
    <xf numFmtId="0" fontId="6" fillId="0" borderId="6" xfId="24" applyFont="1" applyBorder="1" applyAlignment="1">
      <alignment horizontal="left" vertical="top" wrapText="1"/>
      <protection/>
    </xf>
    <xf numFmtId="0" fontId="6" fillId="2" borderId="6" xfId="24" applyFont="1" applyFill="1" applyBorder="1" applyAlignment="1">
      <alignment horizontal="left" vertical="top" wrapText="1"/>
      <protection/>
    </xf>
    <xf numFmtId="0" fontId="9" fillId="25" borderId="26" xfId="0" applyFont="1" applyFill="1" applyBorder="1" applyAlignment="1">
      <alignment horizontal="left" vertical="top" wrapText="1"/>
    </xf>
    <xf numFmtId="0" fontId="9" fillId="25" borderId="27" xfId="0" applyFont="1" applyFill="1" applyBorder="1" applyAlignment="1">
      <alignment horizontal="left" vertical="top" wrapText="1"/>
    </xf>
    <xf numFmtId="0" fontId="10" fillId="2" borderId="4" xfId="0" applyFont="1" applyFill="1" applyBorder="1" applyAlignment="1">
      <alignment horizontal="left" vertical="top" wrapText="1"/>
    </xf>
    <xf numFmtId="0" fontId="6" fillId="18" borderId="4" xfId="24" applyFont="1" applyFill="1" applyBorder="1" applyAlignment="1">
      <alignment horizontal="left" vertical="top" wrapText="1"/>
      <protection/>
    </xf>
    <xf numFmtId="0" fontId="6" fillId="18" borderId="28" xfId="24" applyFont="1" applyFill="1" applyBorder="1" applyAlignment="1">
      <alignment horizontal="left" vertical="top" wrapText="1"/>
      <protection/>
    </xf>
    <xf numFmtId="0" fontId="6" fillId="18" borderId="2" xfId="24" applyFont="1" applyFill="1" applyBorder="1" applyAlignment="1">
      <alignment horizontal="left" vertical="top" wrapText="1"/>
      <protection/>
    </xf>
    <xf numFmtId="0" fontId="54" fillId="25" borderId="29" xfId="0" applyFont="1" applyFill="1" applyBorder="1" applyAlignment="1">
      <alignment horizontal="left" vertical="top" wrapText="1"/>
    </xf>
    <xf numFmtId="0" fontId="54" fillId="25" borderId="30" xfId="0" applyFont="1" applyFill="1" applyBorder="1" applyAlignment="1">
      <alignment horizontal="left" vertical="top" wrapText="1"/>
    </xf>
    <xf numFmtId="0" fontId="54" fillId="25" borderId="31" xfId="0" applyFont="1" applyFill="1" applyBorder="1" applyAlignment="1">
      <alignment horizontal="left" vertical="top" wrapText="1"/>
    </xf>
    <xf numFmtId="0" fontId="54" fillId="25" borderId="32" xfId="0" applyFont="1" applyFill="1" applyBorder="1" applyAlignment="1">
      <alignment horizontal="left" vertical="top" wrapText="1"/>
    </xf>
    <xf numFmtId="0" fontId="54" fillId="25" borderId="33" xfId="0" applyFont="1" applyFill="1" applyBorder="1" applyAlignment="1">
      <alignment horizontal="left" vertical="top" wrapText="1"/>
    </xf>
    <xf numFmtId="0" fontId="54" fillId="25" borderId="34" xfId="0" applyFont="1" applyFill="1" applyBorder="1" applyAlignment="1">
      <alignment horizontal="left" vertical="top" wrapText="1"/>
    </xf>
    <xf numFmtId="0" fontId="39" fillId="0" borderId="0" xfId="0" applyFont="1" applyAlignment="1">
      <alignment horizontal="right"/>
    </xf>
    <xf numFmtId="0" fontId="6" fillId="2" borderId="1" xfId="24" applyFont="1" applyFill="1" applyBorder="1" applyAlignment="1">
      <alignment vertical="top" wrapText="1"/>
      <protection/>
    </xf>
    <xf numFmtId="0" fontId="6" fillId="0" borderId="1" xfId="24" applyFont="1" applyBorder="1" applyAlignment="1">
      <alignment vertical="top" wrapText="1"/>
      <protection/>
    </xf>
    <xf numFmtId="0" fontId="35" fillId="2" borderId="0" xfId="0" applyFont="1" applyFill="1" applyAlignment="1">
      <alignment horizontal="right" vertical="center"/>
    </xf>
    <xf numFmtId="0" fontId="32" fillId="0" borderId="35" xfId="0" applyFont="1" applyBorder="1" applyAlignment="1">
      <alignment horizontal="center" wrapText="1"/>
    </xf>
    <xf numFmtId="169" fontId="35" fillId="16" borderId="1" xfId="0" applyNumberFormat="1" applyFont="1" applyFill="1" applyBorder="1" applyAlignment="1">
      <alignment vertical="center"/>
    </xf>
    <xf numFmtId="169" fontId="35" fillId="15" borderId="1" xfId="0" applyNumberFormat="1" applyFont="1" applyFill="1" applyBorder="1" applyAlignment="1">
      <alignment vertical="center"/>
    </xf>
    <xf numFmtId="169" fontId="35" fillId="15" borderId="1" xfId="0" applyNumberFormat="1" applyFont="1" applyFill="1" applyBorder="1" applyAlignment="1">
      <alignment vertical="center" wrapText="1"/>
    </xf>
    <xf numFmtId="169" fontId="35" fillId="17" borderId="1" xfId="0" applyNumberFormat="1" applyFont="1" applyFill="1" applyBorder="1" applyAlignment="1">
      <alignment vertical="center"/>
    </xf>
    <xf numFmtId="43" fontId="10" fillId="0" borderId="24" xfId="20" applyFont="1" applyFill="1" applyBorder="1" applyAlignment="1">
      <alignment/>
    </xf>
    <xf numFmtId="0" fontId="63" fillId="0" borderId="0" xfId="0" applyFont="1"/>
    <xf numFmtId="0" fontId="64" fillId="0" borderId="0" xfId="0" applyFont="1"/>
    <xf numFmtId="4" fontId="37" fillId="0" borderId="10" xfId="0" applyNumberFormat="1" applyFont="1" applyBorder="1" applyAlignment="1">
      <alignment horizontal="right" vertical="center" wrapText="1"/>
    </xf>
    <xf numFmtId="9" fontId="37" fillId="0" borderId="10" xfId="21" applyFont="1" applyFill="1" applyBorder="1" applyAlignment="1">
      <alignment horizontal="right" vertical="center" wrapText="1"/>
    </xf>
    <xf numFmtId="9" fontId="37" fillId="0" borderId="1" xfId="21" applyFont="1" applyFill="1" applyBorder="1" applyAlignment="1">
      <alignment horizontal="right" vertical="center" wrapText="1"/>
    </xf>
    <xf numFmtId="0" fontId="33" fillId="0" borderId="1" xfId="0" applyFont="1" applyBorder="1" applyAlignment="1">
      <alignment vertical="center" wrapText="1"/>
    </xf>
    <xf numFmtId="0" fontId="33" fillId="0" borderId="1" xfId="0" applyFont="1" applyBorder="1" applyAlignment="1">
      <alignment horizontal="left" vertical="center" wrapText="1"/>
    </xf>
    <xf numFmtId="4" fontId="37" fillId="23" borderId="10" xfId="0" applyNumberFormat="1" applyFont="1" applyFill="1" applyBorder="1" applyAlignment="1">
      <alignment horizontal="right" vertical="center" wrapText="1"/>
    </xf>
    <xf numFmtId="9" fontId="37" fillId="23" borderId="10" xfId="21" applyFont="1" applyFill="1" applyBorder="1" applyAlignment="1">
      <alignment horizontal="right" vertical="center" wrapText="1"/>
    </xf>
    <xf numFmtId="2" fontId="37" fillId="0" borderId="10" xfId="0" applyNumberFormat="1" applyFont="1" applyBorder="1" applyAlignment="1">
      <alignment horizontal="right" vertical="center" wrapText="1"/>
    </xf>
    <xf numFmtId="43" fontId="6" fillId="2" borderId="0" xfId="0" applyNumberFormat="1" applyFont="1" applyFill="1"/>
    <xf numFmtId="10" fontId="6" fillId="2" borderId="0" xfId="21" applyNumberFormat="1" applyFont="1" applyFill="1"/>
    <xf numFmtId="0" fontId="33" fillId="19" borderId="0" xfId="0" applyFont="1" applyFill="1"/>
    <xf numFmtId="0" fontId="0" fillId="19" borderId="0" xfId="0" applyFill="1"/>
    <xf numFmtId="0" fontId="33" fillId="19" borderId="1" xfId="0" applyFont="1" applyFill="1" applyBorder="1" applyAlignment="1">
      <alignment horizontal="center"/>
    </xf>
    <xf numFmtId="0" fontId="33" fillId="19" borderId="1" xfId="0" applyFont="1" applyFill="1" applyBorder="1"/>
    <xf numFmtId="0" fontId="6" fillId="0" borderId="12" xfId="24" applyFont="1" applyBorder="1" applyAlignment="1">
      <alignment horizontal="left" vertical="top" wrapText="1"/>
      <protection/>
    </xf>
    <xf numFmtId="0" fontId="33" fillId="0" borderId="4" xfId="0" applyFont="1" applyBorder="1" applyAlignment="1">
      <alignment horizontal="left" vertical="top" wrapText="1"/>
    </xf>
    <xf numFmtId="0" fontId="6" fillId="2" borderId="12" xfId="24" applyFont="1" applyFill="1" applyBorder="1" applyAlignment="1">
      <alignment vertical="top" wrapText="1"/>
      <protection/>
    </xf>
    <xf numFmtId="0" fontId="33" fillId="0" borderId="10" xfId="0" applyFont="1" applyBorder="1" applyAlignment="1">
      <alignment horizontal="left" vertical="top" wrapText="1"/>
    </xf>
    <xf numFmtId="0" fontId="6" fillId="2" borderId="8" xfId="24" applyFont="1" applyFill="1" applyBorder="1" applyAlignment="1">
      <alignment vertical="top" wrapText="1"/>
      <protection/>
    </xf>
    <xf numFmtId="0" fontId="6" fillId="0" borderId="2" xfId="24" applyFont="1" applyBorder="1" applyAlignment="1">
      <alignment vertical="top" wrapText="1"/>
      <protection/>
    </xf>
    <xf numFmtId="0" fontId="33" fillId="0" borderId="16" xfId="0" applyFont="1" applyBorder="1" applyAlignment="1">
      <alignment horizontal="left" vertical="top" wrapText="1"/>
    </xf>
    <xf numFmtId="0" fontId="6" fillId="2" borderId="15" xfId="24" applyFont="1" applyFill="1" applyBorder="1" applyAlignment="1">
      <alignment horizontal="left" vertical="top" wrapText="1"/>
      <protection/>
    </xf>
    <xf numFmtId="0" fontId="6" fillId="2" borderId="12" xfId="24" applyFont="1" applyFill="1" applyBorder="1" applyAlignment="1">
      <alignment horizontal="left" vertical="top" wrapText="1"/>
      <protection/>
    </xf>
    <xf numFmtId="0" fontId="6" fillId="2" borderId="10" xfId="24" applyFont="1" applyFill="1" applyBorder="1" applyAlignment="1">
      <alignment horizontal="left" vertical="top" wrapText="1"/>
      <protection/>
    </xf>
    <xf numFmtId="0" fontId="54" fillId="25" borderId="36" xfId="0" applyFont="1" applyFill="1" applyBorder="1" applyAlignment="1">
      <alignment horizontal="left" vertical="top" wrapText="1"/>
    </xf>
    <xf numFmtId="0" fontId="6" fillId="0" borderId="15" xfId="24" applyFont="1" applyBorder="1" applyAlignment="1">
      <alignment horizontal="left" vertical="top" wrapText="1"/>
      <protection/>
    </xf>
    <xf numFmtId="0" fontId="6" fillId="0" borderId="10" xfId="24" applyFont="1" applyBorder="1" applyAlignment="1">
      <alignment horizontal="left" vertical="top" wrapText="1"/>
      <protection/>
    </xf>
    <xf numFmtId="0" fontId="6" fillId="2" borderId="1" xfId="24" applyFont="1" applyFill="1" applyBorder="1" applyAlignment="1">
      <alignment horizontal="left" vertical="top" wrapText="1"/>
      <protection/>
    </xf>
    <xf numFmtId="0" fontId="33" fillId="0" borderId="1" xfId="0" applyFont="1" applyBorder="1" applyAlignment="1">
      <alignment vertical="top" wrapText="1"/>
    </xf>
    <xf numFmtId="0" fontId="33" fillId="0" borderId="1" xfId="0" applyFont="1" applyBorder="1" applyAlignment="1">
      <alignment horizontal="left" vertical="top" wrapText="1"/>
    </xf>
    <xf numFmtId="43" fontId="8" fillId="0" borderId="24" xfId="20" applyFont="1" applyFill="1" applyBorder="1" applyAlignment="1" applyProtection="1">
      <alignment/>
      <protection/>
    </xf>
    <xf numFmtId="43" fontId="6" fillId="0" borderId="24" xfId="20" applyFont="1" applyFill="1" applyBorder="1" applyAlignment="1" applyProtection="1">
      <alignment/>
      <protection/>
    </xf>
    <xf numFmtId="43" fontId="8" fillId="0" borderId="25" xfId="20" applyFont="1" applyFill="1" applyBorder="1" applyAlignment="1" applyProtection="1">
      <alignment/>
      <protection/>
    </xf>
    <xf numFmtId="43" fontId="10" fillId="0" borderId="1" xfId="20" applyFont="1" applyFill="1" applyBorder="1" applyAlignment="1">
      <alignment/>
    </xf>
    <xf numFmtId="43" fontId="8" fillId="0" borderId="1" xfId="20" applyFont="1" applyFill="1" applyBorder="1" applyAlignment="1" applyProtection="1">
      <alignment/>
      <protection/>
    </xf>
    <xf numFmtId="43" fontId="6" fillId="0" borderId="1" xfId="20" applyFont="1" applyFill="1" applyBorder="1" applyAlignment="1" applyProtection="1">
      <alignment/>
      <protection/>
    </xf>
    <xf numFmtId="43" fontId="10" fillId="0" borderId="2" xfId="20" applyFont="1" applyFill="1" applyBorder="1" applyAlignment="1">
      <alignment/>
    </xf>
    <xf numFmtId="43" fontId="8" fillId="0" borderId="2" xfId="20" applyFont="1" applyFill="1" applyBorder="1" applyAlignment="1" applyProtection="1">
      <alignment/>
      <protection/>
    </xf>
    <xf numFmtId="43" fontId="6" fillId="0" borderId="2" xfId="20" applyFont="1" applyFill="1" applyBorder="1" applyAlignment="1" applyProtection="1">
      <alignment/>
      <protection/>
    </xf>
    <xf numFmtId="43" fontId="10" fillId="0" borderId="3" xfId="20" applyFont="1" applyFill="1" applyBorder="1" applyAlignment="1">
      <alignment/>
    </xf>
    <xf numFmtId="43" fontId="8" fillId="0" borderId="3" xfId="20" applyFont="1" applyFill="1" applyBorder="1" applyAlignment="1" applyProtection="1">
      <alignment/>
      <protection/>
    </xf>
    <xf numFmtId="43" fontId="8" fillId="0" borderId="6" xfId="20" applyFont="1" applyFill="1" applyBorder="1" applyAlignment="1" applyProtection="1">
      <alignment/>
      <protection/>
    </xf>
    <xf numFmtId="0" fontId="68" fillId="0" borderId="0" xfId="0" applyFont="1"/>
    <xf numFmtId="10" fontId="3" fillId="0" borderId="0" xfId="21" applyNumberFormat="1" applyFont="1"/>
    <xf numFmtId="0" fontId="67" fillId="0" borderId="0" xfId="0" applyFont="1"/>
    <xf numFmtId="43" fontId="33" fillId="0" borderId="0" xfId="0" applyNumberFormat="1" applyFont="1"/>
    <xf numFmtId="0" fontId="32" fillId="0" borderId="0" xfId="0" applyFont="1" applyAlignment="1">
      <alignment wrapText="1"/>
    </xf>
    <xf numFmtId="0" fontId="32" fillId="20" borderId="0" xfId="0" applyFont="1" applyFill="1" applyAlignment="1">
      <alignment horizontal="center" wrapText="1"/>
    </xf>
    <xf numFmtId="43" fontId="32" fillId="21" borderId="22" xfId="20" applyFont="1" applyFill="1" applyBorder="1" applyAlignment="1">
      <alignment horizontal="center" wrapText="1"/>
    </xf>
    <xf numFmtId="0" fontId="35" fillId="0" borderId="19" xfId="0" applyFont="1" applyBorder="1" applyAlignment="1">
      <alignment horizontal="center" vertical="center" wrapText="1"/>
    </xf>
    <xf numFmtId="0" fontId="35" fillId="0" borderId="16" xfId="0" applyFont="1" applyBorder="1" applyAlignment="1">
      <alignment horizontal="center" vertical="center" wrapText="1"/>
    </xf>
    <xf numFmtId="0" fontId="32" fillId="12" borderId="1" xfId="0" applyFont="1" applyFill="1" applyBorder="1" applyAlignment="1">
      <alignment horizontal="left" vertical="top" wrapText="1"/>
    </xf>
    <xf numFmtId="0" fontId="39" fillId="12" borderId="1" xfId="0" applyFont="1" applyFill="1" applyBorder="1" applyAlignment="1">
      <alignment horizontal="center" vertical="center"/>
    </xf>
    <xf numFmtId="0" fontId="32" fillId="12" borderId="1" xfId="0" applyFont="1" applyFill="1" applyBorder="1" applyAlignment="1">
      <alignment vertical="top" wrapText="1"/>
    </xf>
    <xf numFmtId="43" fontId="74" fillId="20" borderId="37" xfId="20" applyFont="1" applyFill="1" applyBorder="1" applyAlignment="1">
      <alignment horizontal="center" wrapText="1"/>
    </xf>
    <xf numFmtId="0" fontId="42" fillId="0" borderId="1" xfId="0" applyFont="1" applyBorder="1" applyAlignment="1">
      <alignment horizontal="left" vertical="top"/>
    </xf>
    <xf numFmtId="0" fontId="35" fillId="2" borderId="1" xfId="0" applyFont="1" applyFill="1" applyBorder="1" applyAlignment="1">
      <alignment horizontal="left" vertical="center"/>
    </xf>
    <xf numFmtId="0" fontId="35" fillId="14" borderId="1" xfId="0" applyFont="1" applyFill="1" applyBorder="1" applyAlignment="1">
      <alignment horizontal="left" vertical="center" wrapText="1"/>
    </xf>
    <xf numFmtId="0" fontId="35" fillId="14" borderId="1" xfId="0" applyFont="1" applyFill="1" applyBorder="1" applyAlignment="1">
      <alignment horizontal="left" vertical="center"/>
    </xf>
    <xf numFmtId="0" fontId="35" fillId="2" borderId="1" xfId="0" applyFont="1" applyFill="1" applyBorder="1" applyAlignment="1">
      <alignment horizontal="left" vertical="top"/>
    </xf>
    <xf numFmtId="0" fontId="32" fillId="18" borderId="1" xfId="0" applyFont="1" applyFill="1" applyBorder="1"/>
    <xf numFmtId="0" fontId="35" fillId="2" borderId="1" xfId="0" applyFont="1" applyFill="1" applyBorder="1"/>
    <xf numFmtId="43" fontId="35" fillId="0" borderId="1" xfId="20" applyFont="1" applyFill="1" applyBorder="1" applyAlignment="1" applyProtection="1">
      <alignment/>
      <protection/>
    </xf>
    <xf numFmtId="0" fontId="35" fillId="0" borderId="4" xfId="0" applyFont="1" applyBorder="1" applyAlignment="1">
      <alignment horizontal="left" vertical="center" wrapText="1"/>
    </xf>
    <xf numFmtId="0" fontId="35" fillId="0" borderId="1" xfId="0" applyFont="1" applyBorder="1" applyAlignment="1">
      <alignment vertical="center" wrapText="1"/>
    </xf>
    <xf numFmtId="0" fontId="32" fillId="18" borderId="1" xfId="0" applyFont="1" applyFill="1" applyBorder="1" applyAlignment="1">
      <alignment horizontal="center" vertical="center"/>
    </xf>
    <xf numFmtId="0" fontId="32" fillId="18" borderId="1" xfId="0" applyFont="1" applyFill="1" applyBorder="1" applyAlignment="1">
      <alignment horizontal="center" vertical="center" wrapText="1"/>
    </xf>
    <xf numFmtId="43" fontId="35" fillId="2" borderId="1" xfId="20" applyFont="1" applyFill="1" applyBorder="1"/>
    <xf numFmtId="10" fontId="33" fillId="0" borderId="1" xfId="21" applyNumberFormat="1" applyFont="1" applyBorder="1" applyAlignment="1">
      <alignment wrapText="1"/>
    </xf>
    <xf numFmtId="0" fontId="32" fillId="12" borderId="1" xfId="0" applyFont="1" applyFill="1" applyBorder="1" applyAlignment="1">
      <alignment horizontal="center" vertical="center" wrapText="1"/>
    </xf>
    <xf numFmtId="0" fontId="32" fillId="19" borderId="1" xfId="0" applyFont="1" applyFill="1" applyBorder="1" applyAlignment="1">
      <alignment horizontal="left" wrapText="1"/>
    </xf>
    <xf numFmtId="0" fontId="32" fillId="12" borderId="38" xfId="0" applyFont="1" applyFill="1" applyBorder="1" applyAlignment="1">
      <alignment horizontal="left" vertical="center"/>
    </xf>
    <xf numFmtId="0" fontId="32" fillId="12" borderId="39" xfId="0" applyFont="1" applyFill="1" applyBorder="1" applyAlignment="1">
      <alignment horizontal="left" vertical="center" wrapText="1"/>
    </xf>
    <xf numFmtId="0" fontId="32" fillId="12" borderId="40" xfId="0" applyFont="1" applyFill="1" applyBorder="1" applyAlignment="1">
      <alignment horizontal="left" vertical="center" wrapText="1"/>
    </xf>
    <xf numFmtId="0" fontId="33" fillId="0" borderId="0" xfId="0" applyFont="1" applyAlignment="1">
      <alignment horizontal="left" vertical="center"/>
    </xf>
    <xf numFmtId="0" fontId="33" fillId="0" borderId="0" xfId="0" applyFont="1" applyAlignment="1">
      <alignment horizontal="left" vertical="center" wrapText="1"/>
    </xf>
    <xf numFmtId="43" fontId="2" fillId="0" borderId="1" xfId="20" applyFont="1" applyFill="1" applyBorder="1" applyAlignment="1" applyProtection="1">
      <alignment horizontal="right"/>
      <protection/>
    </xf>
    <xf numFmtId="0" fontId="32" fillId="12" borderId="1" xfId="0" applyFont="1" applyFill="1" applyBorder="1" applyAlignment="1">
      <alignment horizontal="center" vertical="center"/>
    </xf>
    <xf numFmtId="3" fontId="32" fillId="12" borderId="1" xfId="20" applyNumberFormat="1" applyFont="1" applyFill="1" applyBorder="1" applyAlignment="1" applyProtection="1">
      <alignment horizontal="center" wrapText="1"/>
      <protection/>
    </xf>
    <xf numFmtId="0" fontId="32" fillId="19" borderId="1" xfId="0" applyFont="1" applyFill="1" applyBorder="1" applyAlignment="1">
      <alignment horizontal="left" wrapText="1"/>
    </xf>
    <xf numFmtId="0" fontId="77" fillId="26" borderId="0" xfId="0" applyFont="1" applyFill="1" applyAlignment="1">
      <alignment vertical="center"/>
    </xf>
    <xf numFmtId="0" fontId="73" fillId="15" borderId="0" xfId="0" applyFont="1" applyFill="1" applyAlignment="1">
      <alignment vertical="center"/>
    </xf>
    <xf numFmtId="4" fontId="32" fillId="19" borderId="1" xfId="0" applyNumberFormat="1" applyFont="1" applyFill="1" applyBorder="1" applyAlignment="1">
      <alignment horizontal="left" wrapText="1"/>
    </xf>
    <xf numFmtId="0" fontId="32" fillId="12" borderId="3" xfId="0" applyFont="1" applyFill="1" applyBorder="1" applyAlignment="1">
      <alignment horizontal="left" vertical="center" wrapText="1"/>
    </xf>
    <xf numFmtId="0" fontId="32" fillId="12" borderId="23" xfId="0" applyFont="1" applyFill="1" applyBorder="1" applyAlignment="1">
      <alignment horizontal="left" vertical="center" wrapText="1"/>
    </xf>
    <xf numFmtId="0" fontId="72" fillId="0" borderId="0" xfId="0" applyFont="1"/>
    <xf numFmtId="0" fontId="32" fillId="12" borderId="1" xfId="0" applyFont="1" applyFill="1" applyBorder="1" applyAlignment="1">
      <alignment horizontal="center" vertical="center" wrapText="1"/>
    </xf>
    <xf numFmtId="43" fontId="33" fillId="19" borderId="0" xfId="20" applyFont="1" applyFill="1"/>
    <xf numFmtId="43" fontId="0" fillId="19" borderId="0" xfId="20" applyFont="1" applyFill="1"/>
    <xf numFmtId="43" fontId="32" fillId="19" borderId="1" xfId="20" applyFont="1" applyFill="1" applyBorder="1" applyAlignment="1">
      <alignment horizontal="left" wrapText="1"/>
    </xf>
    <xf numFmtId="14" fontId="33" fillId="0" borderId="0" xfId="0" applyNumberFormat="1" applyFont="1" applyAlignment="1">
      <alignment horizontal="left" vertical="center"/>
    </xf>
    <xf numFmtId="0" fontId="4" fillId="0" borderId="0" xfId="22" applyFill="1" applyBorder="1" applyAlignment="1">
      <alignment horizontal="left" vertical="center" wrapText="1"/>
    </xf>
    <xf numFmtId="0" fontId="33" fillId="26" borderId="0" xfId="0" applyFont="1" applyFill="1"/>
    <xf numFmtId="0" fontId="77" fillId="26" borderId="0" xfId="0" applyFont="1" applyFill="1" applyAlignment="1">
      <alignment horizontal="left" vertical="center"/>
    </xf>
    <xf numFmtId="0" fontId="33" fillId="0" borderId="0" xfId="0" applyFont="1" applyAlignment="1">
      <alignment horizontal="left"/>
    </xf>
    <xf numFmtId="0" fontId="3" fillId="0" borderId="0" xfId="0" applyFont="1" applyAlignment="1">
      <alignment horizontal="left"/>
    </xf>
    <xf numFmtId="0" fontId="32" fillId="0" borderId="1" xfId="0" applyFont="1" applyBorder="1" applyAlignment="1">
      <alignment horizontal="left" vertical="top" wrapText="1"/>
    </xf>
    <xf numFmtId="43" fontId="35" fillId="0" borderId="1" xfId="20" applyFont="1" applyFill="1" applyBorder="1" applyAlignment="1">
      <alignment horizontal="center" vertical="center" wrapText="1"/>
    </xf>
    <xf numFmtId="43" fontId="33" fillId="0" borderId="1" xfId="20" applyFont="1" applyFill="1" applyBorder="1" applyAlignment="1">
      <alignment horizontal="left" vertical="top" wrapText="1"/>
    </xf>
    <xf numFmtId="0" fontId="35" fillId="0" borderId="0" xfId="0" applyFont="1" applyAlignment="1">
      <alignment horizontal="center" vertical="center"/>
    </xf>
    <xf numFmtId="4" fontId="32" fillId="20" borderId="1" xfId="0" applyNumberFormat="1" applyFont="1" applyFill="1" applyBorder="1" applyAlignment="1">
      <alignment horizontal="center" vertical="center" wrapText="1"/>
    </xf>
    <xf numFmtId="0" fontId="39" fillId="12" borderId="1" xfId="0" applyFont="1" applyFill="1" applyBorder="1" applyAlignment="1">
      <alignment horizontal="center" vertical="center" wrapText="1"/>
    </xf>
    <xf numFmtId="0" fontId="0" fillId="0" borderId="0" xfId="0" applyAlignment="1">
      <alignment wrapText="1"/>
    </xf>
    <xf numFmtId="0" fontId="32" fillId="0" borderId="0" xfId="0" applyFont="1" applyAlignment="1">
      <alignment horizontal="left" vertical="center"/>
    </xf>
    <xf numFmtId="43" fontId="35" fillId="20" borderId="16" xfId="20" applyFont="1" applyFill="1" applyBorder="1"/>
    <xf numFmtId="0" fontId="0" fillId="0" borderId="0" xfId="0" applyAlignment="1">
      <alignment horizontal="center" vertical="center"/>
    </xf>
    <xf numFmtId="0" fontId="33" fillId="0" borderId="0" xfId="0" applyFont="1" applyAlignment="1">
      <alignment horizontal="center" vertical="center"/>
    </xf>
    <xf numFmtId="0" fontId="33" fillId="0" borderId="0" xfId="0" applyFont="1" applyAlignment="1">
      <alignment horizontal="left" wrapText="1"/>
    </xf>
    <xf numFmtId="0" fontId="32" fillId="12" borderId="15" xfId="0" applyFont="1" applyFill="1" applyBorder="1" applyAlignment="1">
      <alignment horizontal="center" vertical="center" wrapText="1"/>
    </xf>
    <xf numFmtId="0" fontId="35" fillId="0" borderId="22" xfId="0" applyFont="1" applyBorder="1" applyAlignment="1">
      <alignment horizontal="left" vertical="center" wrapText="1"/>
    </xf>
    <xf numFmtId="0" fontId="33" fillId="27" borderId="0" xfId="0" applyFont="1" applyFill="1"/>
    <xf numFmtId="0" fontId="32" fillId="28" borderId="0" xfId="0" applyFont="1" applyFill="1" applyAlignment="1">
      <alignment horizontal="left" vertical="top"/>
    </xf>
    <xf numFmtId="0" fontId="32" fillId="27" borderId="0" xfId="0" applyFont="1" applyFill="1" applyAlignment="1">
      <alignment horizontal="left" vertical="top"/>
    </xf>
    <xf numFmtId="0" fontId="32" fillId="28" borderId="0" xfId="0" applyFont="1" applyFill="1" applyAlignment="1">
      <alignment horizontal="left"/>
    </xf>
    <xf numFmtId="0" fontId="32" fillId="27" borderId="0" xfId="0" applyFont="1" applyFill="1" applyAlignment="1">
      <alignment horizontal="left"/>
    </xf>
    <xf numFmtId="0" fontId="33" fillId="28" borderId="0" xfId="0" applyFont="1" applyFill="1"/>
    <xf numFmtId="9" fontId="33" fillId="0" borderId="0" xfId="21" applyFont="1" applyFill="1" applyBorder="1" applyAlignment="1">
      <alignment horizontal="left" vertical="top" wrapText="1"/>
    </xf>
    <xf numFmtId="0" fontId="33" fillId="0" borderId="0" xfId="0" applyFont="1" applyAlignment="1">
      <alignment vertical="top" wrapText="1"/>
    </xf>
    <xf numFmtId="43" fontId="33" fillId="0" borderId="1" xfId="20" applyFont="1" applyFill="1" applyBorder="1" applyAlignment="1">
      <alignment horizontal="left" vertical="top" wrapText="1"/>
    </xf>
    <xf numFmtId="0" fontId="39" fillId="19" borderId="0" xfId="0" applyFont="1" applyFill="1"/>
    <xf numFmtId="0" fontId="35" fillId="29" borderId="1" xfId="0" applyFont="1" applyFill="1" applyBorder="1" applyAlignment="1">
      <alignment vertical="center" wrapText="1"/>
    </xf>
    <xf numFmtId="10" fontId="35" fillId="0" borderId="0" xfId="21" applyNumberFormat="1" applyFont="1" applyFill="1"/>
    <xf numFmtId="0" fontId="32" fillId="19" borderId="1" xfId="0" applyFont="1" applyFill="1" applyBorder="1" applyAlignment="1">
      <alignment horizontal="left" vertical="center" wrapText="1"/>
    </xf>
    <xf numFmtId="10" fontId="33" fillId="0" borderId="1" xfId="21" applyNumberFormat="1" applyFont="1" applyFill="1" applyBorder="1" applyAlignment="1">
      <alignment horizontal="right" vertical="top" wrapText="1"/>
    </xf>
    <xf numFmtId="0" fontId="35" fillId="0" borderId="1" xfId="0" applyFont="1" applyBorder="1" applyAlignment="1">
      <alignment horizontal="left" vertical="center"/>
    </xf>
    <xf numFmtId="0" fontId="39" fillId="26" borderId="0" xfId="0" applyFont="1" applyFill="1" applyAlignment="1">
      <alignment vertical="center"/>
    </xf>
    <xf numFmtId="0" fontId="39" fillId="15" borderId="0" xfId="0" applyFont="1" applyFill="1" applyAlignment="1">
      <alignment vertical="center"/>
    </xf>
    <xf numFmtId="164" fontId="33" fillId="0" borderId="0" xfId="0" applyNumberFormat="1" applyFont="1"/>
    <xf numFmtId="0" fontId="35" fillId="0" borderId="1" xfId="0" applyFont="1" applyBorder="1" applyAlignment="1">
      <alignment horizontal="left" vertical="center" wrapText="1"/>
    </xf>
    <xf numFmtId="43" fontId="33" fillId="0" borderId="1" xfId="20" applyFont="1" applyBorder="1" applyAlignment="1">
      <alignment vertical="center"/>
    </xf>
    <xf numFmtId="10" fontId="33" fillId="0" borderId="1" xfId="21" applyNumberFormat="1" applyFont="1" applyBorder="1"/>
    <xf numFmtId="10" fontId="0" fillId="0" borderId="1" xfId="21" applyNumberFormat="1" applyFont="1" applyBorder="1"/>
    <xf numFmtId="0" fontId="32" fillId="0" borderId="1" xfId="0" applyFont="1" applyBorder="1" applyAlignment="1">
      <alignment horizontal="left" wrapText="1"/>
    </xf>
    <xf numFmtId="2" fontId="33" fillId="0" borderId="1" xfId="0" applyNumberFormat="1" applyFont="1" applyBorder="1" applyAlignment="1">
      <alignment vertical="center"/>
    </xf>
    <xf numFmtId="0" fontId="83" fillId="23" borderId="1" xfId="0" applyFont="1" applyFill="1" applyBorder="1" applyAlignment="1">
      <alignment horizontal="left" vertical="top" indent="1"/>
    </xf>
    <xf numFmtId="10" fontId="43" fillId="23" borderId="1" xfId="21" applyNumberFormat="1" applyFont="1" applyFill="1" applyBorder="1" applyAlignment="1">
      <alignment horizontal="right" vertical="top" wrapText="1"/>
    </xf>
    <xf numFmtId="4" fontId="32" fillId="0" borderId="18" xfId="0" applyNumberFormat="1" applyFont="1" applyBorder="1" applyAlignment="1">
      <alignment horizontal="center" vertical="center" wrapText="1"/>
    </xf>
    <xf numFmtId="0" fontId="32" fillId="0" borderId="18" xfId="0" applyFont="1" applyBorder="1" applyAlignment="1">
      <alignment horizontal="center" vertical="center" wrapText="1"/>
    </xf>
    <xf numFmtId="4" fontId="35" fillId="0" borderId="41" xfId="0" applyNumberFormat="1" applyFont="1" applyBorder="1" applyAlignment="1">
      <alignment horizontal="left" vertical="center" wrapText="1"/>
    </xf>
    <xf numFmtId="0" fontId="32" fillId="0" borderId="41" xfId="0" applyFont="1" applyBorder="1" applyAlignment="1">
      <alignment horizontal="center" vertical="center" wrapText="1"/>
    </xf>
    <xf numFmtId="0" fontId="33" fillId="0" borderId="37" xfId="0" applyFont="1" applyBorder="1" applyAlignment="1">
      <alignment horizontal="left" vertical="center" wrapText="1"/>
    </xf>
    <xf numFmtId="43" fontId="32" fillId="12" borderId="42" xfId="20" applyFont="1" applyFill="1" applyBorder="1" applyAlignment="1">
      <alignment wrapText="1"/>
    </xf>
    <xf numFmtId="43" fontId="32" fillId="12" borderId="22" xfId="20" applyFont="1" applyFill="1" applyBorder="1" applyAlignment="1">
      <alignment wrapText="1"/>
    </xf>
    <xf numFmtId="43" fontId="32" fillId="12" borderId="34" xfId="20" applyFont="1" applyFill="1" applyBorder="1" applyAlignment="1">
      <alignment wrapText="1"/>
    </xf>
    <xf numFmtId="43" fontId="35" fillId="19" borderId="43" xfId="20" applyFont="1" applyFill="1" applyBorder="1" applyAlignment="1">
      <alignment horizontal="right" vertical="center" wrapText="1"/>
    </xf>
    <xf numFmtId="43" fontId="35" fillId="0" borderId="37" xfId="20" applyFont="1" applyFill="1" applyBorder="1" applyAlignment="1">
      <alignment horizontal="right" vertical="center" wrapText="1"/>
    </xf>
    <xf numFmtId="43" fontId="35" fillId="0" borderId="44" xfId="20" applyFont="1" applyFill="1" applyBorder="1" applyAlignment="1">
      <alignment horizontal="right" vertical="center" wrapText="1"/>
    </xf>
    <xf numFmtId="43" fontId="32" fillId="0" borderId="18" xfId="20" applyFont="1" applyFill="1" applyBorder="1" applyAlignment="1">
      <alignment horizontal="right" wrapText="1"/>
    </xf>
    <xf numFmtId="43" fontId="32" fillId="20" borderId="41" xfId="20" applyFont="1" applyFill="1" applyBorder="1" applyAlignment="1">
      <alignment horizontal="right" vertical="center" wrapText="1"/>
    </xf>
    <xf numFmtId="43" fontId="32" fillId="20" borderId="18" xfId="20" applyFont="1" applyFill="1" applyBorder="1" applyAlignment="1">
      <alignment horizontal="right" vertical="center" wrapText="1"/>
    </xf>
    <xf numFmtId="43" fontId="32" fillId="20" borderId="45" xfId="20" applyFont="1" applyFill="1" applyBorder="1" applyAlignment="1">
      <alignment horizontal="right" vertical="center" wrapText="1"/>
    </xf>
    <xf numFmtId="43" fontId="35" fillId="0" borderId="46" xfId="20" applyFont="1" applyFill="1" applyBorder="1" applyAlignment="1">
      <alignment horizontal="right" vertical="center" wrapText="1"/>
    </xf>
    <xf numFmtId="43" fontId="35" fillId="0" borderId="47" xfId="20" applyFont="1" applyFill="1" applyBorder="1" applyAlignment="1">
      <alignment horizontal="right" vertical="center" wrapText="1"/>
    </xf>
    <xf numFmtId="43" fontId="35" fillId="0" borderId="0" xfId="20" applyFont="1" applyFill="1" applyBorder="1" applyAlignment="1">
      <alignment horizontal="right" vertical="center" wrapText="1"/>
    </xf>
    <xf numFmtId="43" fontId="32" fillId="0" borderId="47" xfId="20" applyFont="1" applyFill="1" applyBorder="1" applyAlignment="1">
      <alignment horizontal="right" wrapText="1"/>
    </xf>
    <xf numFmtId="43" fontId="35" fillId="0" borderId="41" xfId="20" applyFont="1" applyFill="1" applyBorder="1" applyAlignment="1">
      <alignment horizontal="right" vertical="center" wrapText="1"/>
    </xf>
    <xf numFmtId="43" fontId="35" fillId="0" borderId="18" xfId="20" applyFont="1" applyFill="1" applyBorder="1" applyAlignment="1">
      <alignment horizontal="right" vertical="center" wrapText="1"/>
    </xf>
    <xf numFmtId="43" fontId="35" fillId="0" borderId="45" xfId="20" applyFont="1" applyFill="1" applyBorder="1" applyAlignment="1">
      <alignment horizontal="right" vertical="center" wrapText="1"/>
    </xf>
    <xf numFmtId="0" fontId="32" fillId="21" borderId="1" xfId="0" applyFont="1" applyFill="1" applyBorder="1" applyAlignment="1">
      <alignment horizontal="left" vertical="top" wrapText="1"/>
    </xf>
    <xf numFmtId="0" fontId="35" fillId="0" borderId="4" xfId="0" applyFont="1" applyBorder="1" applyAlignment="1">
      <alignment horizontal="left" vertical="center" wrapText="1"/>
    </xf>
    <xf numFmtId="0" fontId="32" fillId="18" borderId="1" xfId="0" applyFont="1" applyFill="1" applyBorder="1" applyAlignment="1">
      <alignment horizontal="center" vertical="center"/>
    </xf>
    <xf numFmtId="0" fontId="32" fillId="18" borderId="1" xfId="0" applyFont="1" applyFill="1" applyBorder="1" applyAlignment="1">
      <alignment horizontal="center" vertical="center" wrapText="1"/>
    </xf>
    <xf numFmtId="0" fontId="35" fillId="2" borderId="1" xfId="0" applyFont="1" applyFill="1" applyBorder="1" applyAlignment="1">
      <alignment horizontal="left" vertical="center" wrapText="1"/>
    </xf>
    <xf numFmtId="0" fontId="35" fillId="2" borderId="1" xfId="0" applyFont="1" applyFill="1" applyBorder="1" applyAlignment="1">
      <alignment horizontal="right" vertical="center"/>
    </xf>
    <xf numFmtId="0" fontId="73" fillId="28" borderId="0" xfId="0" applyFont="1" applyFill="1" applyAlignment="1">
      <alignment horizontal="left" vertical="center"/>
    </xf>
    <xf numFmtId="0" fontId="0" fillId="28" borderId="0" xfId="0" applyFill="1" applyAlignment="1">
      <alignment wrapText="1"/>
    </xf>
    <xf numFmtId="0" fontId="32" fillId="27" borderId="0" xfId="0" applyFont="1" applyFill="1"/>
    <xf numFmtId="0" fontId="35" fillId="27" borderId="0" xfId="0" applyFont="1" applyFill="1"/>
    <xf numFmtId="0" fontId="35" fillId="30" borderId="0" xfId="0" applyFont="1" applyFill="1"/>
    <xf numFmtId="0" fontId="6" fillId="30" borderId="0" xfId="0" applyFont="1" applyFill="1"/>
    <xf numFmtId="0" fontId="0" fillId="27" borderId="0" xfId="0" applyFill="1"/>
    <xf numFmtId="0" fontId="32" fillId="28" borderId="0" xfId="0" applyFont="1" applyFill="1"/>
    <xf numFmtId="0" fontId="0" fillId="28" borderId="0" xfId="0" applyFill="1"/>
    <xf numFmtId="0" fontId="32" fillId="12" borderId="1" xfId="0" applyFont="1" applyFill="1" applyBorder="1" applyAlignment="1">
      <alignment horizontal="left" vertical="center" wrapText="1"/>
    </xf>
    <xf numFmtId="0" fontId="32" fillId="27" borderId="0" xfId="0" applyFont="1" applyFill="1" applyAlignment="1">
      <alignment horizontal="left" vertical="center"/>
    </xf>
    <xf numFmtId="170" fontId="33" fillId="0" borderId="1" xfId="0" applyNumberFormat="1" applyFont="1" applyBorder="1" applyAlignment="1">
      <alignment horizontal="center" vertical="center" wrapText="1"/>
    </xf>
    <xf numFmtId="0" fontId="3" fillId="27" borderId="0" xfId="0" applyFont="1" applyFill="1"/>
    <xf numFmtId="4" fontId="85" fillId="20" borderId="1" xfId="0" applyNumberFormat="1" applyFont="1" applyFill="1" applyBorder="1" applyAlignment="1">
      <alignment horizontal="center" vertical="center" wrapText="1"/>
    </xf>
    <xf numFmtId="4" fontId="35" fillId="12" borderId="1" xfId="0" applyNumberFormat="1" applyFont="1" applyFill="1" applyBorder="1" applyAlignment="1">
      <alignment horizontal="center" vertical="center" wrapText="1"/>
    </xf>
    <xf numFmtId="0" fontId="42" fillId="0" borderId="0" xfId="0" applyFont="1" applyAlignment="1">
      <alignment vertical="top" wrapText="1"/>
    </xf>
    <xf numFmtId="43" fontId="42" fillId="0" borderId="0" xfId="20" applyFont="1" applyFill="1" applyBorder="1" applyAlignment="1">
      <alignment horizontal="left" vertical="top" wrapText="1"/>
    </xf>
    <xf numFmtId="0" fontId="42" fillId="0" borderId="0" xfId="0" applyFont="1" applyAlignment="1">
      <alignment horizontal="left" vertical="center" wrapText="1"/>
    </xf>
    <xf numFmtId="0" fontId="39" fillId="27" borderId="0" xfId="0" applyFont="1" applyFill="1"/>
    <xf numFmtId="2" fontId="35" fillId="0" borderId="1" xfId="0" applyNumberFormat="1" applyFont="1" applyBorder="1"/>
    <xf numFmtId="0" fontId="33" fillId="0" borderId="0" xfId="0" applyFont="1" applyAlignment="1">
      <alignment horizontal="center" wrapText="1"/>
    </xf>
    <xf numFmtId="0" fontId="33" fillId="0" borderId="1" xfId="0" applyFont="1" applyBorder="1" applyAlignment="1">
      <alignment horizontal="right" wrapText="1"/>
    </xf>
    <xf numFmtId="43" fontId="33" fillId="0" borderId="1" xfId="20" applyFont="1" applyFill="1" applyBorder="1" applyAlignment="1">
      <alignment horizontal="left" vertical="center" wrapText="1"/>
    </xf>
    <xf numFmtId="0" fontId="42" fillId="0" borderId="1"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42" fillId="0" borderId="1" xfId="0" applyFont="1" applyBorder="1" applyAlignment="1">
      <alignment horizontal="left" vertical="center" wrapText="1"/>
    </xf>
    <xf numFmtId="43" fontId="35" fillId="0" borderId="1" xfId="20" applyFont="1" applyFill="1" applyBorder="1" applyAlignment="1">
      <alignment horizontal="right" vertical="top" wrapText="1"/>
    </xf>
    <xf numFmtId="43" fontId="35" fillId="0" borderId="1" xfId="20" applyFont="1" applyFill="1" applyBorder="1" applyAlignment="1">
      <alignment horizontal="right" vertical="center" wrapText="1"/>
    </xf>
    <xf numFmtId="43" fontId="42" fillId="0" borderId="1" xfId="20" applyFont="1" applyFill="1" applyBorder="1" applyAlignment="1">
      <alignment horizontal="right" vertical="center" wrapText="1"/>
    </xf>
    <xf numFmtId="43" fontId="35" fillId="0" borderId="1" xfId="20" applyFont="1" applyFill="1" applyBorder="1" applyAlignment="1">
      <alignment horizontal="left" vertical="top" wrapText="1"/>
    </xf>
    <xf numFmtId="43" fontId="35" fillId="0" borderId="1" xfId="20" applyFont="1" applyFill="1" applyBorder="1" applyAlignment="1">
      <alignment horizontal="left" vertical="center" wrapText="1"/>
    </xf>
    <xf numFmtId="43" fontId="42" fillId="0" borderId="1" xfId="20" applyFont="1" applyFill="1" applyBorder="1" applyAlignment="1">
      <alignment horizontal="left" vertical="center" wrapText="1"/>
    </xf>
    <xf numFmtId="4" fontId="33" fillId="0" borderId="1" xfId="0" applyNumberFormat="1" applyFont="1" applyBorder="1" applyAlignment="1">
      <alignment horizontal="right" vertical="top" wrapText="1"/>
    </xf>
    <xf numFmtId="10" fontId="32" fillId="21" borderId="1" xfId="21" applyNumberFormat="1" applyFont="1" applyFill="1" applyBorder="1" applyAlignment="1">
      <alignment horizontal="right" vertical="top" wrapText="1"/>
    </xf>
    <xf numFmtId="10" fontId="32" fillId="12" borderId="1" xfId="21" applyNumberFormat="1" applyFont="1" applyFill="1" applyBorder="1" applyAlignment="1">
      <alignment horizontal="right" vertical="top" wrapText="1"/>
    </xf>
    <xf numFmtId="10" fontId="32" fillId="21" borderId="1" xfId="21" applyNumberFormat="1" applyFont="1" applyFill="1" applyBorder="1" applyAlignment="1">
      <alignment horizontal="right" vertical="top" wrapText="1"/>
    </xf>
    <xf numFmtId="10" fontId="32" fillId="21" borderId="1" xfId="21" applyNumberFormat="1" applyFont="1" applyFill="1" applyBorder="1" applyAlignment="1">
      <alignment horizontal="right" vertical="center" wrapText="1"/>
    </xf>
    <xf numFmtId="0" fontId="35" fillId="0" borderId="1" xfId="0" applyFont="1" applyBorder="1" applyAlignment="1">
      <alignment horizontal="center" vertical="center" wrapText="1"/>
    </xf>
    <xf numFmtId="170" fontId="33" fillId="0" borderId="1" xfId="0" applyNumberFormat="1" applyFont="1" applyBorder="1" applyAlignment="1">
      <alignment horizontal="right" vertical="top" wrapText="1"/>
    </xf>
    <xf numFmtId="170" fontId="35" fillId="0" borderId="1" xfId="0" applyNumberFormat="1" applyFont="1" applyBorder="1" applyAlignment="1">
      <alignment horizontal="right" vertical="top" wrapText="1"/>
    </xf>
    <xf numFmtId="4" fontId="33" fillId="0" borderId="1" xfId="0" applyNumberFormat="1" applyFont="1" applyBorder="1" applyAlignment="1">
      <alignment horizontal="right" vertical="center" wrapText="1"/>
    </xf>
    <xf numFmtId="43" fontId="35" fillId="0" borderId="1" xfId="20" applyFont="1" applyFill="1" applyBorder="1" applyAlignment="1">
      <alignment horizontal="right" vertical="center"/>
    </xf>
    <xf numFmtId="0" fontId="35" fillId="0" borderId="1" xfId="0" applyFont="1" applyBorder="1" applyAlignment="1">
      <alignment horizontal="left" wrapText="1"/>
    </xf>
    <xf numFmtId="43" fontId="35" fillId="0" borderId="1" xfId="20" applyFont="1" applyFill="1" applyBorder="1" applyAlignment="1">
      <alignment horizontal="right" wrapText="1"/>
    </xf>
    <xf numFmtId="43" fontId="35" fillId="0" borderId="1" xfId="20" applyFont="1" applyFill="1" applyBorder="1" applyAlignment="1">
      <alignment horizontal="right" wrapText="1"/>
    </xf>
    <xf numFmtId="43" fontId="35" fillId="0" borderId="1" xfId="20" applyFont="1" applyBorder="1"/>
    <xf numFmtId="4" fontId="32" fillId="12" borderId="1" xfId="0" applyNumberFormat="1" applyFont="1" applyFill="1" applyBorder="1" applyAlignment="1">
      <alignment horizontal="right" vertical="center" wrapText="1"/>
    </xf>
    <xf numFmtId="4" fontId="32" fillId="12" borderId="1" xfId="0" applyNumberFormat="1" applyFont="1" applyFill="1" applyBorder="1" applyAlignment="1">
      <alignment horizontal="center" vertical="center" wrapText="1"/>
    </xf>
    <xf numFmtId="4" fontId="32" fillId="12" borderId="1" xfId="0" applyNumberFormat="1" applyFont="1" applyFill="1" applyBorder="1" applyAlignment="1">
      <alignment horizontal="left" wrapText="1"/>
    </xf>
    <xf numFmtId="43" fontId="35" fillId="0" borderId="1" xfId="20" applyFont="1" applyFill="1" applyBorder="1" applyAlignment="1">
      <alignment wrapText="1"/>
    </xf>
    <xf numFmtId="43" fontId="35" fillId="0" borderId="1" xfId="20" applyFont="1" applyBorder="1" applyAlignment="1">
      <alignment/>
    </xf>
    <xf numFmtId="43" fontId="35" fillId="0" borderId="1" xfId="20" applyFont="1" applyFill="1" applyBorder="1" applyAlignment="1">
      <alignment wrapText="1"/>
    </xf>
    <xf numFmtId="43" fontId="32" fillId="12" borderId="1" xfId="20" applyFont="1" applyFill="1" applyBorder="1" applyAlignment="1">
      <alignment vertical="center" wrapText="1"/>
    </xf>
    <xf numFmtId="43" fontId="32" fillId="12" borderId="1" xfId="20" applyFont="1" applyFill="1" applyBorder="1" applyAlignment="1">
      <alignment wrapText="1"/>
    </xf>
    <xf numFmtId="43" fontId="32" fillId="0" borderId="0" xfId="20" applyFont="1" applyFill="1" applyBorder="1" applyAlignment="1" applyProtection="1">
      <alignment horizontal="right"/>
      <protection/>
    </xf>
    <xf numFmtId="43" fontId="32" fillId="0" borderId="1" xfId="20" applyFont="1" applyFill="1" applyBorder="1" applyAlignment="1">
      <alignment horizontal="right" wrapText="1"/>
    </xf>
    <xf numFmtId="3" fontId="88" fillId="0" borderId="0" xfId="24" applyNumberFormat="1" applyFont="1" applyAlignment="1">
      <alignment horizontal="right"/>
      <protection/>
    </xf>
    <xf numFmtId="37" fontId="88" fillId="0" borderId="0" xfId="24" applyNumberFormat="1" applyFont="1" applyAlignment="1">
      <alignment horizontal="right"/>
      <protection/>
    </xf>
    <xf numFmtId="3" fontId="88" fillId="0" borderId="0" xfId="24" applyNumberFormat="1" applyFont="1">
      <alignment/>
      <protection/>
    </xf>
    <xf numFmtId="37" fontId="89" fillId="0" borderId="0" xfId="24" applyNumberFormat="1" applyFont="1" applyAlignment="1">
      <alignment horizontal="right"/>
      <protection/>
    </xf>
    <xf numFmtId="37" fontId="90" fillId="0" borderId="0" xfId="24" applyNumberFormat="1" applyFont="1" applyAlignment="1">
      <alignment horizontal="right"/>
      <protection/>
    </xf>
    <xf numFmtId="172" fontId="32" fillId="19" borderId="1" xfId="0" applyNumberFormat="1" applyFont="1" applyFill="1" applyBorder="1" applyAlignment="1">
      <alignment horizontal="center" wrapText="1"/>
    </xf>
    <xf numFmtId="0" fontId="40" fillId="19" borderId="0" xfId="0" applyFont="1" applyFill="1"/>
    <xf numFmtId="43" fontId="2" fillId="19" borderId="1" xfId="20" applyFont="1" applyFill="1" applyBorder="1" applyAlignment="1" applyProtection="1">
      <alignment horizontal="right"/>
      <protection/>
    </xf>
    <xf numFmtId="43" fontId="32" fillId="19" borderId="1" xfId="20" applyFont="1" applyFill="1" applyBorder="1" applyAlignment="1" applyProtection="1">
      <alignment horizontal="center" wrapText="1"/>
      <protection/>
    </xf>
    <xf numFmtId="4" fontId="35" fillId="19" borderId="1" xfId="20" applyNumberFormat="1" applyFont="1" applyFill="1" applyBorder="1" applyAlignment="1" applyProtection="1">
      <alignment horizontal="right"/>
      <protection/>
    </xf>
    <xf numFmtId="165" fontId="32" fillId="19" borderId="1" xfId="20" applyNumberFormat="1" applyFont="1" applyFill="1" applyBorder="1" applyAlignment="1" applyProtection="1">
      <alignment horizontal="right" vertical="center" wrapText="1"/>
      <protection/>
    </xf>
    <xf numFmtId="4" fontId="35" fillId="19" borderId="1" xfId="20" applyNumberFormat="1" applyFont="1" applyFill="1" applyBorder="1" applyAlignment="1" applyProtection="1">
      <alignment/>
      <protection/>
    </xf>
    <xf numFmtId="169" fontId="35" fillId="19" borderId="1" xfId="0" applyNumberFormat="1" applyFont="1" applyFill="1" applyBorder="1" applyAlignment="1">
      <alignment horizontal="center" vertical="center"/>
    </xf>
    <xf numFmtId="165" fontId="32" fillId="19" borderId="1" xfId="20" applyNumberFormat="1" applyFont="1" applyFill="1" applyBorder="1" applyAlignment="1" applyProtection="1">
      <alignment horizontal="right" wrapText="1"/>
      <protection/>
    </xf>
    <xf numFmtId="165" fontId="35" fillId="19" borderId="1" xfId="20" applyNumberFormat="1" applyFont="1" applyFill="1" applyBorder="1" applyAlignment="1" applyProtection="1">
      <alignment horizontal="right"/>
      <protection/>
    </xf>
    <xf numFmtId="0" fontId="35" fillId="19" borderId="1" xfId="0" applyFont="1" applyFill="1" applyBorder="1" applyAlignment="1">
      <alignment horizontal="left" vertical="center" wrapText="1"/>
    </xf>
    <xf numFmtId="2" fontId="35" fillId="14" borderId="1" xfId="0" applyNumberFormat="1" applyFont="1" applyFill="1" applyBorder="1"/>
    <xf numFmtId="10" fontId="35" fillId="0" borderId="1" xfId="21" applyNumberFormat="1" applyFont="1" applyFill="1" applyBorder="1" applyAlignment="1">
      <alignment horizontal="center" vertical="center"/>
    </xf>
    <xf numFmtId="0" fontId="32" fillId="13" borderId="1" xfId="0" applyFont="1" applyFill="1" applyBorder="1" applyAlignment="1">
      <alignment horizontal="center" vertical="center" wrapText="1"/>
    </xf>
    <xf numFmtId="10" fontId="37" fillId="19" borderId="1" xfId="21" applyNumberFormat="1" applyFont="1" applyFill="1" applyBorder="1" applyAlignment="1">
      <alignment horizontal="right" vertical="center"/>
    </xf>
    <xf numFmtId="9" fontId="38" fillId="19" borderId="1" xfId="21" applyFont="1" applyFill="1" applyBorder="1" applyAlignment="1">
      <alignment horizontal="right" vertical="center"/>
    </xf>
    <xf numFmtId="9" fontId="37" fillId="19" borderId="1" xfId="21" applyFont="1" applyFill="1" applyBorder="1" applyAlignment="1">
      <alignment horizontal="right" vertical="center"/>
    </xf>
    <xf numFmtId="43" fontId="33" fillId="0" borderId="1" xfId="20" applyFont="1" applyBorder="1"/>
    <xf numFmtId="43" fontId="35" fillId="19" borderId="1" xfId="20" applyFont="1" applyFill="1" applyBorder="1" applyAlignment="1" applyProtection="1">
      <alignment horizontal="right"/>
      <protection/>
    </xf>
    <xf numFmtId="43" fontId="32" fillId="19" borderId="1" xfId="20" applyFont="1" applyFill="1" applyBorder="1" applyAlignment="1">
      <alignment horizontal="right" vertical="top" wrapText="1"/>
    </xf>
    <xf numFmtId="43" fontId="35" fillId="19" borderId="1" xfId="20" applyFont="1" applyFill="1" applyBorder="1" applyAlignment="1" applyProtection="1">
      <alignment horizontal="right"/>
      <protection/>
    </xf>
    <xf numFmtId="43" fontId="35" fillId="0" borderId="1" xfId="20" applyFont="1" applyFill="1" applyBorder="1" applyAlignment="1" applyProtection="1">
      <alignment horizontal="right"/>
      <protection/>
    </xf>
    <xf numFmtId="43" fontId="35" fillId="0" borderId="1" xfId="20" applyFont="1" applyFill="1" applyBorder="1" applyAlignment="1" applyProtection="1">
      <alignment horizontal="right"/>
      <protection/>
    </xf>
    <xf numFmtId="43" fontId="32" fillId="12" borderId="1" xfId="20" applyFont="1" applyFill="1" applyBorder="1" applyAlignment="1">
      <alignment horizontal="right" wrapText="1"/>
    </xf>
    <xf numFmtId="43" fontId="32" fillId="19" borderId="1" xfId="20" applyFont="1" applyFill="1" applyBorder="1" applyAlignment="1">
      <alignment horizontal="right" wrapText="1"/>
    </xf>
    <xf numFmtId="43" fontId="33" fillId="19" borderId="1" xfId="20" applyFont="1" applyFill="1" applyBorder="1" applyAlignment="1" applyProtection="1">
      <alignment horizontal="right"/>
      <protection/>
    </xf>
    <xf numFmtId="0" fontId="36" fillId="12" borderId="1" xfId="0" applyFont="1" applyFill="1" applyBorder="1" applyAlignment="1">
      <alignment horizontal="center"/>
    </xf>
    <xf numFmtId="43" fontId="35" fillId="19" borderId="1" xfId="20" applyFont="1" applyFill="1" applyBorder="1" applyAlignment="1" applyProtection="1">
      <alignment horizontal="right" vertical="center"/>
      <protection/>
    </xf>
    <xf numFmtId="43" fontId="35" fillId="0" borderId="1" xfId="20" applyFont="1" applyFill="1" applyBorder="1" applyAlignment="1" applyProtection="1">
      <alignment horizontal="right" vertical="center"/>
      <protection/>
    </xf>
    <xf numFmtId="0" fontId="32" fillId="0" borderId="0" xfId="0" applyFont="1" applyAlignment="1">
      <alignment vertical="top"/>
    </xf>
    <xf numFmtId="4" fontId="37" fillId="0" borderId="10" xfId="0" applyNumberFormat="1" applyFont="1" applyBorder="1" applyAlignment="1">
      <alignment horizontal="left" vertical="center" wrapText="1"/>
    </xf>
    <xf numFmtId="43" fontId="38" fillId="18" borderId="10" xfId="20" applyFont="1" applyFill="1" applyBorder="1" applyAlignment="1">
      <alignment horizontal="right" vertical="center" wrapText="1"/>
    </xf>
    <xf numFmtId="43" fontId="37" fillId="0" borderId="1" xfId="20" applyFont="1" applyFill="1" applyBorder="1" applyAlignment="1">
      <alignment horizontal="right" vertical="center" wrapText="1"/>
    </xf>
    <xf numFmtId="43" fontId="32" fillId="12" borderId="1" xfId="20" applyFont="1" applyFill="1" applyBorder="1" applyAlignment="1">
      <alignment horizontal="right" vertical="top" wrapText="1"/>
    </xf>
    <xf numFmtId="43" fontId="32" fillId="21" borderId="1" xfId="20" applyFont="1" applyFill="1" applyBorder="1" applyAlignment="1">
      <alignment horizontal="right" vertical="top" wrapText="1"/>
    </xf>
    <xf numFmtId="43" fontId="32" fillId="21" borderId="1" xfId="20" applyFont="1" applyFill="1" applyBorder="1" applyAlignment="1">
      <alignment horizontal="right" vertical="center" wrapText="1"/>
    </xf>
    <xf numFmtId="4" fontId="35" fillId="0" borderId="1" xfId="0" applyNumberFormat="1" applyFont="1" applyBorder="1" applyAlignment="1">
      <alignment vertical="center" wrapText="1"/>
    </xf>
    <xf numFmtId="0" fontId="35" fillId="14" borderId="1" xfId="0" applyFont="1" applyFill="1" applyBorder="1" applyAlignment="1">
      <alignment vertical="center"/>
    </xf>
    <xf numFmtId="0" fontId="33" fillId="0" borderId="0" xfId="0" applyFont="1" applyAlignment="1">
      <alignment horizontal="center"/>
    </xf>
    <xf numFmtId="43" fontId="35" fillId="0" borderId="16" xfId="20" applyFont="1" applyFill="1" applyBorder="1" applyAlignment="1">
      <alignment horizontal="right" wrapText="1"/>
    </xf>
    <xf numFmtId="43" fontId="35" fillId="12" borderId="16" xfId="20" applyFont="1" applyFill="1" applyBorder="1" applyAlignment="1">
      <alignment horizontal="right" wrapText="1"/>
    </xf>
    <xf numFmtId="43" fontId="32" fillId="12" borderId="16" xfId="20" applyFont="1" applyFill="1" applyBorder="1" applyAlignment="1">
      <alignment horizontal="right" wrapText="1"/>
    </xf>
    <xf numFmtId="43" fontId="32" fillId="12" borderId="16" xfId="20" applyFont="1" applyFill="1" applyBorder="1" applyAlignment="1">
      <alignment horizontal="center" wrapText="1"/>
    </xf>
    <xf numFmtId="43" fontId="8" fillId="0" borderId="3" xfId="20" applyFont="1" applyFill="1" applyBorder="1" applyAlignment="1" applyProtection="1">
      <alignment horizontal="center"/>
      <protection/>
    </xf>
    <xf numFmtId="43" fontId="8" fillId="3" borderId="1" xfId="20" applyFont="1" applyFill="1" applyBorder="1" applyAlignment="1" applyProtection="1">
      <alignment horizontal="center" vertical="top" wrapText="1"/>
      <protection/>
    </xf>
    <xf numFmtId="43" fontId="6" fillId="3" borderId="2" xfId="20" applyFont="1" applyFill="1" applyBorder="1" applyAlignment="1" applyProtection="1">
      <alignment horizontal="center" vertical="top" wrapText="1"/>
      <protection/>
    </xf>
    <xf numFmtId="43" fontId="6" fillId="3" borderId="1" xfId="20" applyFont="1" applyFill="1" applyBorder="1" applyAlignment="1" applyProtection="1">
      <alignment horizontal="center" vertical="top" wrapText="1"/>
      <protection/>
    </xf>
    <xf numFmtId="43" fontId="6" fillId="3" borderId="4" xfId="20" applyFont="1" applyFill="1" applyBorder="1" applyAlignment="1" applyProtection="1">
      <alignment horizontal="center" vertical="top" wrapText="1"/>
      <protection/>
    </xf>
    <xf numFmtId="43" fontId="8" fillId="0" borderId="24" xfId="20" applyFont="1" applyFill="1" applyBorder="1" applyAlignment="1" applyProtection="1">
      <alignment horizontal="center"/>
      <protection/>
    </xf>
    <xf numFmtId="43" fontId="6" fillId="0" borderId="24" xfId="20" applyFont="1" applyFill="1" applyBorder="1" applyAlignment="1" applyProtection="1">
      <alignment horizontal="center"/>
      <protection/>
    </xf>
    <xf numFmtId="43" fontId="10" fillId="2" borderId="48" xfId="20" applyFont="1" applyFill="1" applyBorder="1" applyAlignment="1">
      <alignment/>
    </xf>
    <xf numFmtId="43" fontId="10" fillId="2" borderId="10" xfId="20" applyFont="1" applyFill="1" applyBorder="1" applyAlignment="1">
      <alignment/>
    </xf>
    <xf numFmtId="43" fontId="10" fillId="2" borderId="8" xfId="20" applyFont="1" applyFill="1" applyBorder="1" applyAlignment="1">
      <alignment/>
    </xf>
    <xf numFmtId="43" fontId="6" fillId="3" borderId="49" xfId="20" applyFont="1" applyFill="1" applyBorder="1" applyAlignment="1" applyProtection="1">
      <alignment horizontal="right" vertical="top" wrapText="1"/>
      <protection/>
    </xf>
    <xf numFmtId="43" fontId="10" fillId="0" borderId="50" xfId="20" applyFont="1" applyFill="1" applyBorder="1" applyAlignment="1">
      <alignment/>
    </xf>
    <xf numFmtId="43" fontId="6" fillId="0" borderId="1" xfId="20" applyFont="1" applyFill="1" applyBorder="1"/>
    <xf numFmtId="43" fontId="8" fillId="3" borderId="6" xfId="20" applyFont="1" applyFill="1" applyBorder="1" applyAlignment="1" applyProtection="1">
      <alignment horizontal="right" vertical="top" wrapText="1"/>
      <protection/>
    </xf>
    <xf numFmtId="43" fontId="35" fillId="0" borderId="1" xfId="20" applyFont="1" applyFill="1" applyBorder="1" applyAlignment="1">
      <alignment horizontal="right" vertical="top"/>
    </xf>
    <xf numFmtId="0" fontId="91" fillId="0" borderId="0" xfId="0" applyFont="1"/>
    <xf numFmtId="43" fontId="69" fillId="20" borderId="16" xfId="20" applyFont="1" applyFill="1" applyBorder="1" applyAlignment="1">
      <alignment wrapText="1"/>
    </xf>
    <xf numFmtId="43" fontId="74" fillId="20" borderId="16" xfId="20" applyFont="1" applyFill="1" applyBorder="1" applyAlignment="1">
      <alignment wrapText="1"/>
    </xf>
    <xf numFmtId="4" fontId="74" fillId="20" borderId="16" xfId="0" applyNumberFormat="1" applyFont="1" applyFill="1" applyBorder="1" applyAlignment="1">
      <alignment wrapText="1"/>
    </xf>
    <xf numFmtId="0" fontId="32" fillId="0" borderId="18" xfId="0" applyFont="1" applyBorder="1" applyAlignment="1">
      <alignment horizontal="left" wrapText="1"/>
    </xf>
    <xf numFmtId="0" fontId="32" fillId="0" borderId="22" xfId="0" applyFont="1" applyBorder="1" applyAlignment="1">
      <alignment horizontal="left" wrapText="1"/>
    </xf>
    <xf numFmtId="4" fontId="35" fillId="0" borderId="16" xfId="0" applyNumberFormat="1" applyFont="1" applyBorder="1" applyAlignment="1">
      <alignment horizontal="center" vertical="center" wrapText="1"/>
    </xf>
    <xf numFmtId="170" fontId="35" fillId="0" borderId="16" xfId="0" applyNumberFormat="1" applyFont="1" applyBorder="1" applyAlignment="1">
      <alignment horizontal="center" vertical="center" wrapText="1"/>
    </xf>
    <xf numFmtId="43" fontId="35" fillId="0" borderId="16" xfId="20" applyFont="1" applyFill="1" applyBorder="1" applyAlignment="1">
      <alignment horizontal="center" vertical="center" wrapText="1"/>
    </xf>
    <xf numFmtId="0" fontId="32" fillId="0" borderId="18" xfId="0" applyFont="1" applyBorder="1" applyAlignment="1">
      <alignment wrapText="1"/>
    </xf>
    <xf numFmtId="0" fontId="32" fillId="0" borderId="22" xfId="0" applyFont="1" applyBorder="1" applyAlignment="1">
      <alignment wrapText="1"/>
    </xf>
    <xf numFmtId="43" fontId="35" fillId="19" borderId="1" xfId="20" applyFont="1" applyFill="1" applyBorder="1" applyAlignment="1">
      <alignment horizontal="right" wrapText="1"/>
    </xf>
    <xf numFmtId="0" fontId="38" fillId="14" borderId="0" xfId="24" applyFont="1" applyFill="1" applyAlignment="1">
      <alignment wrapText="1"/>
      <protection/>
    </xf>
    <xf numFmtId="1" fontId="13" fillId="2" borderId="0" xfId="24" applyNumberFormat="1" applyFont="1" applyFill="1">
      <alignment/>
      <protection/>
    </xf>
    <xf numFmtId="43" fontId="38" fillId="14" borderId="24" xfId="20" applyFont="1" applyFill="1" applyBorder="1" applyAlignment="1" applyProtection="1">
      <alignment/>
      <protection/>
    </xf>
    <xf numFmtId="0" fontId="94" fillId="2" borderId="0" xfId="0" applyFont="1" applyFill="1" applyAlignment="1">
      <alignment horizontal="left" vertical="center"/>
    </xf>
    <xf numFmtId="43" fontId="94" fillId="2" borderId="0" xfId="20" applyFont="1" applyFill="1" applyBorder="1" applyAlignment="1" applyProtection="1">
      <alignment/>
      <protection/>
    </xf>
    <xf numFmtId="43" fontId="14" fillId="2" borderId="0" xfId="20" applyFont="1" applyFill="1" applyBorder="1" applyAlignment="1" applyProtection="1">
      <alignment/>
      <protection/>
    </xf>
    <xf numFmtId="43" fontId="14" fillId="14" borderId="0" xfId="20" applyFont="1" applyFill="1" applyBorder="1" applyAlignment="1" applyProtection="1">
      <alignment/>
      <protection/>
    </xf>
    <xf numFmtId="0" fontId="94" fillId="31" borderId="0" xfId="0" applyFont="1" applyFill="1" applyAlignment="1">
      <alignment horizontal="center" vertical="center" wrapText="1"/>
    </xf>
    <xf numFmtId="0" fontId="94" fillId="31" borderId="0" xfId="24" applyFont="1" applyFill="1" applyAlignment="1">
      <alignment horizontal="center" vertical="center" wrapText="1"/>
      <protection/>
    </xf>
    <xf numFmtId="0" fontId="37" fillId="14" borderId="0" xfId="24" applyFont="1" applyFill="1">
      <alignment/>
      <protection/>
    </xf>
    <xf numFmtId="0" fontId="94" fillId="14" borderId="0" xfId="0" applyFont="1" applyFill="1" applyAlignment="1">
      <alignment horizontal="left" vertical="center"/>
    </xf>
    <xf numFmtId="43" fontId="94" fillId="14" borderId="0" xfId="20" applyFont="1" applyFill="1" applyBorder="1" applyAlignment="1" applyProtection="1">
      <alignment/>
      <protection/>
    </xf>
    <xf numFmtId="10" fontId="37" fillId="0" borderId="0" xfId="21" applyNumberFormat="1" applyFont="1"/>
    <xf numFmtId="10" fontId="12" fillId="0" borderId="0" xfId="24" applyNumberFormat="1">
      <alignment/>
      <protection/>
    </xf>
    <xf numFmtId="43" fontId="58" fillId="14" borderId="24" xfId="20" applyFont="1" applyFill="1" applyBorder="1" applyAlignment="1">
      <alignment/>
    </xf>
    <xf numFmtId="43" fontId="58" fillId="19" borderId="50" xfId="20" applyFont="1" applyFill="1" applyBorder="1" applyAlignment="1">
      <alignment/>
    </xf>
    <xf numFmtId="43" fontId="58" fillId="0" borderId="24" xfId="20" applyFont="1" applyFill="1" applyBorder="1" applyAlignment="1">
      <alignment/>
    </xf>
    <xf numFmtId="43" fontId="58" fillId="0" borderId="50" xfId="20" applyFont="1" applyFill="1" applyBorder="1" applyAlignment="1">
      <alignment/>
    </xf>
    <xf numFmtId="0" fontId="82" fillId="25" borderId="51" xfId="0" applyFont="1" applyFill="1" applyBorder="1" applyAlignment="1">
      <alignment horizontal="center" vertical="center" wrapText="1"/>
    </xf>
    <xf numFmtId="0" fontId="82" fillId="25" borderId="52" xfId="0" applyFont="1" applyFill="1" applyBorder="1" applyAlignment="1">
      <alignment horizontal="center" vertical="center" wrapText="1"/>
    </xf>
    <xf numFmtId="0" fontId="8" fillId="25" borderId="53" xfId="0" applyFont="1" applyFill="1" applyBorder="1" applyAlignment="1">
      <alignment horizontal="center" vertical="center" wrapText="1"/>
    </xf>
    <xf numFmtId="0" fontId="8" fillId="25" borderId="18" xfId="0" applyFont="1" applyFill="1" applyBorder="1" applyAlignment="1">
      <alignment horizontal="center" vertical="center" wrapText="1"/>
    </xf>
    <xf numFmtId="0" fontId="58" fillId="2" borderId="9" xfId="0" applyFont="1" applyFill="1" applyBorder="1" applyAlignment="1">
      <alignment horizontal="left" vertical="center"/>
    </xf>
    <xf numFmtId="0" fontId="58" fillId="2" borderId="28" xfId="0" applyFont="1" applyFill="1" applyBorder="1" applyAlignment="1">
      <alignment horizontal="left" vertical="center"/>
    </xf>
    <xf numFmtId="0" fontId="38" fillId="2" borderId="28" xfId="0" applyFont="1" applyFill="1" applyBorder="1" applyAlignment="1">
      <alignment horizontal="left" vertical="center"/>
    </xf>
    <xf numFmtId="0" fontId="59" fillId="2" borderId="28" xfId="0" applyFont="1" applyFill="1" applyBorder="1" applyAlignment="1">
      <alignment horizontal="left" vertical="center"/>
    </xf>
    <xf numFmtId="0" fontId="60" fillId="2" borderId="28" xfId="0" applyFont="1" applyFill="1" applyBorder="1" applyAlignment="1">
      <alignment horizontal="left" vertical="center"/>
    </xf>
    <xf numFmtId="0" fontId="37" fillId="2" borderId="28" xfId="0" applyFont="1" applyFill="1" applyBorder="1" applyAlignment="1">
      <alignment horizontal="left" vertical="center"/>
    </xf>
    <xf numFmtId="0" fontId="35" fillId="2" borderId="28" xfId="0" applyFont="1" applyFill="1" applyBorder="1" applyAlignment="1">
      <alignment horizontal="left" vertical="center"/>
    </xf>
    <xf numFmtId="0" fontId="38" fillId="2" borderId="54" xfId="0" applyFont="1" applyFill="1" applyBorder="1" applyAlignment="1">
      <alignment horizontal="left" vertical="center"/>
    </xf>
    <xf numFmtId="0" fontId="62" fillId="25" borderId="55" xfId="0" applyFont="1" applyFill="1" applyBorder="1"/>
    <xf numFmtId="43" fontId="37" fillId="2" borderId="24" xfId="20" applyFont="1" applyFill="1" applyBorder="1" applyAlignment="1" applyProtection="1">
      <alignment horizontal="center" vertical="center"/>
      <protection/>
    </xf>
    <xf numFmtId="43" fontId="37" fillId="2" borderId="24" xfId="20" applyFont="1" applyFill="1" applyBorder="1" applyAlignment="1" applyProtection="1">
      <alignment horizontal="center"/>
      <protection/>
    </xf>
    <xf numFmtId="43" fontId="38" fillId="2" borderId="24" xfId="20" applyFont="1" applyFill="1" applyBorder="1" applyAlignment="1" applyProtection="1">
      <alignment horizontal="center"/>
      <protection/>
    </xf>
    <xf numFmtId="10" fontId="6" fillId="3" borderId="4" xfId="21" applyNumberFormat="1" applyFont="1" applyFill="1" applyBorder="1" applyAlignment="1" applyProtection="1">
      <alignment horizontal="right" vertical="top" wrapText="1"/>
      <protection/>
    </xf>
    <xf numFmtId="0" fontId="32" fillId="12" borderId="10" xfId="0" applyFont="1" applyFill="1" applyBorder="1" applyAlignment="1">
      <alignment horizontal="center" vertical="center" wrapText="1"/>
    </xf>
    <xf numFmtId="4" fontId="35" fillId="19" borderId="1" xfId="20" applyNumberFormat="1" applyFont="1" applyFill="1" applyBorder="1" applyAlignment="1" applyProtection="1">
      <alignment horizontal="right"/>
      <protection/>
    </xf>
    <xf numFmtId="43" fontId="32" fillId="0" borderId="0" xfId="20" applyFont="1" applyAlignment="1">
      <alignment/>
    </xf>
    <xf numFmtId="2" fontId="33" fillId="0" borderId="0" xfId="0" applyNumberFormat="1" applyFont="1"/>
    <xf numFmtId="0" fontId="96" fillId="0" borderId="18" xfId="0" applyFont="1" applyBorder="1" applyAlignment="1">
      <alignment horizontal="left" wrapText="1"/>
    </xf>
    <xf numFmtId="0" fontId="96" fillId="0" borderId="22" xfId="0" applyFont="1" applyBorder="1" applyAlignment="1">
      <alignment horizontal="left" wrapText="1"/>
    </xf>
    <xf numFmtId="0" fontId="96" fillId="20" borderId="22" xfId="0" applyFont="1" applyFill="1" applyBorder="1" applyAlignment="1">
      <alignment horizontal="right" wrapText="1" indent="1"/>
    </xf>
    <xf numFmtId="0" fontId="96" fillId="20" borderId="16" xfId="0" applyFont="1" applyFill="1" applyBorder="1" applyAlignment="1">
      <alignment horizontal="center" wrapText="1"/>
    </xf>
    <xf numFmtId="0" fontId="68" fillId="0" borderId="16" xfId="0" applyFont="1" applyBorder="1" applyAlignment="1">
      <alignment horizontal="center" vertical="top" wrapText="1"/>
    </xf>
    <xf numFmtId="0" fontId="68" fillId="0" borderId="16" xfId="0" applyFont="1" applyBorder="1" applyAlignment="1">
      <alignment horizontal="center" vertical="center" wrapText="1"/>
    </xf>
    <xf numFmtId="0" fontId="68" fillId="0" borderId="19" xfId="0" applyFont="1" applyBorder="1" applyAlignment="1">
      <alignment horizontal="center" vertical="center" wrapText="1"/>
    </xf>
    <xf numFmtId="0" fontId="96" fillId="0" borderId="17" xfId="0" applyFont="1" applyBorder="1" applyAlignment="1">
      <alignment horizontal="center" wrapText="1"/>
    </xf>
    <xf numFmtId="0" fontId="68" fillId="0" borderId="16" xfId="0" applyFont="1" applyBorder="1" applyAlignment="1">
      <alignment horizontal="left" wrapText="1"/>
    </xf>
    <xf numFmtId="43" fontId="68" fillId="0" borderId="16" xfId="20" applyFont="1" applyBorder="1" applyAlignment="1">
      <alignment wrapText="1"/>
    </xf>
    <xf numFmtId="43" fontId="68" fillId="0" borderId="16" xfId="20" applyFont="1" applyBorder="1" applyAlignment="1">
      <alignment horizontal="right" wrapText="1"/>
    </xf>
    <xf numFmtId="43" fontId="68" fillId="0" borderId="16" xfId="20" applyFont="1" applyFill="1" applyBorder="1" applyAlignment="1">
      <alignment wrapText="1"/>
    </xf>
    <xf numFmtId="0" fontId="68" fillId="20" borderId="16" xfId="0" applyFont="1" applyFill="1" applyBorder="1" applyAlignment="1">
      <alignment wrapText="1"/>
    </xf>
    <xf numFmtId="43" fontId="68" fillId="20" borderId="16" xfId="20" applyFont="1" applyFill="1" applyBorder="1" applyAlignment="1">
      <alignment wrapText="1"/>
    </xf>
    <xf numFmtId="43" fontId="68" fillId="20" borderId="16" xfId="20" applyFont="1" applyFill="1" applyBorder="1" applyAlignment="1">
      <alignment horizontal="right" wrapText="1"/>
    </xf>
    <xf numFmtId="43" fontId="68" fillId="0" borderId="16" xfId="20" applyFont="1" applyBorder="1" applyAlignment="1">
      <alignment horizontal="left" wrapText="1"/>
    </xf>
    <xf numFmtId="43" fontId="68" fillId="20" borderId="16" xfId="20" applyFont="1" applyFill="1" applyBorder="1" applyAlignment="1">
      <alignment horizontal="center" wrapText="1"/>
    </xf>
    <xf numFmtId="0" fontId="68" fillId="0" borderId="16" xfId="0" applyFont="1" applyBorder="1" applyAlignment="1">
      <alignment wrapText="1"/>
    </xf>
    <xf numFmtId="43" fontId="68" fillId="0" borderId="16" xfId="20" applyFont="1" applyBorder="1" applyAlignment="1">
      <alignment horizontal="center" wrapText="1"/>
    </xf>
    <xf numFmtId="43" fontId="68" fillId="20" borderId="16" xfId="20" applyFont="1" applyFill="1" applyBorder="1"/>
    <xf numFmtId="0" fontId="96" fillId="0" borderId="18" xfId="0" applyFont="1" applyBorder="1" applyAlignment="1">
      <alignment horizontal="left" vertical="center" wrapText="1"/>
    </xf>
    <xf numFmtId="0" fontId="96" fillId="0" borderId="22" xfId="0" applyFont="1" applyBorder="1" applyAlignment="1">
      <alignment horizontal="left" vertical="center" wrapText="1"/>
    </xf>
    <xf numFmtId="0" fontId="68" fillId="0" borderId="16" xfId="0" applyFont="1" applyBorder="1" applyAlignment="1">
      <alignment horizontal="center" wrapText="1"/>
    </xf>
    <xf numFmtId="0" fontId="68" fillId="0" borderId="56" xfId="0" applyFont="1" applyBorder="1" applyAlignment="1">
      <alignment horizontal="left" wrapText="1"/>
    </xf>
    <xf numFmtId="43" fontId="68" fillId="20" borderId="16" xfId="20" applyFont="1" applyFill="1" applyBorder="1" applyAlignment="1">
      <alignment vertical="center"/>
    </xf>
    <xf numFmtId="43" fontId="96" fillId="20" borderId="16" xfId="20" applyFont="1" applyFill="1" applyBorder="1"/>
    <xf numFmtId="0" fontId="96" fillId="20" borderId="18" xfId="0" applyFont="1" applyFill="1" applyBorder="1" applyAlignment="1">
      <alignment horizontal="center" wrapText="1"/>
    </xf>
    <xf numFmtId="0" fontId="68" fillId="0" borderId="0" xfId="0" applyFont="1" applyAlignment="1">
      <alignment horizontal="center" vertical="top" wrapText="1"/>
    </xf>
    <xf numFmtId="43" fontId="0" fillId="0" borderId="0" xfId="20" applyFont="1"/>
    <xf numFmtId="0" fontId="96" fillId="0" borderId="20" xfId="0" applyFont="1" applyBorder="1" applyAlignment="1">
      <alignment horizontal="center" vertical="center" wrapText="1"/>
    </xf>
    <xf numFmtId="0" fontId="96" fillId="0" borderId="17" xfId="0" applyFont="1" applyBorder="1" applyAlignment="1">
      <alignment horizontal="center" vertical="center" wrapText="1"/>
    </xf>
    <xf numFmtId="43" fontId="68" fillId="32" borderId="16" xfId="20" applyFont="1" applyFill="1" applyBorder="1" applyAlignment="1">
      <alignment horizontal="right" wrapText="1"/>
    </xf>
    <xf numFmtId="43" fontId="68" fillId="0" borderId="16" xfId="20" applyFont="1" applyFill="1" applyBorder="1" applyAlignment="1">
      <alignment horizontal="center" wrapText="1"/>
    </xf>
    <xf numFmtId="43" fontId="68" fillId="0" borderId="16" xfId="20" applyFont="1" applyFill="1" applyBorder="1" applyAlignment="1">
      <alignment horizontal="right" wrapText="1"/>
    </xf>
    <xf numFmtId="43" fontId="96" fillId="12" borderId="16" xfId="20" applyFont="1" applyFill="1" applyBorder="1" applyAlignment="1">
      <alignment wrapText="1"/>
    </xf>
    <xf numFmtId="43" fontId="96" fillId="32" borderId="16" xfId="20" applyFont="1" applyFill="1" applyBorder="1" applyAlignment="1">
      <alignment wrapText="1"/>
    </xf>
    <xf numFmtId="43" fontId="68" fillId="12" borderId="16" xfId="20" applyFont="1" applyFill="1" applyBorder="1" applyAlignment="1">
      <alignment wrapText="1"/>
    </xf>
    <xf numFmtId="43" fontId="68" fillId="32" borderId="16" xfId="20" applyFont="1" applyFill="1" applyBorder="1" applyAlignment="1">
      <alignment wrapText="1"/>
    </xf>
    <xf numFmtId="43" fontId="96" fillId="32" borderId="18" xfId="20" applyFont="1" applyFill="1" applyBorder="1" applyAlignment="1">
      <alignment wrapText="1"/>
    </xf>
    <xf numFmtId="43" fontId="68" fillId="23" borderId="16" xfId="20" applyFont="1" applyFill="1" applyBorder="1" applyAlignment="1">
      <alignment wrapText="1"/>
    </xf>
    <xf numFmtId="0" fontId="71" fillId="0" borderId="34" xfId="0" applyFont="1" applyBorder="1" applyAlignment="1">
      <alignment wrapText="1"/>
    </xf>
    <xf numFmtId="174" fontId="42" fillId="0" borderId="1" xfId="20" applyNumberFormat="1" applyFont="1" applyFill="1" applyBorder="1" applyAlignment="1">
      <alignment horizontal="center" vertical="top" wrapText="1"/>
    </xf>
    <xf numFmtId="174" fontId="35" fillId="0" borderId="1" xfId="20" applyNumberFormat="1" applyFont="1" applyFill="1" applyBorder="1" applyAlignment="1">
      <alignment horizontal="center" vertical="top" wrapText="1"/>
    </xf>
    <xf numFmtId="174" fontId="35" fillId="0" borderId="16" xfId="20" applyNumberFormat="1" applyFont="1" applyBorder="1" applyAlignment="1">
      <alignment horizontal="right" wrapText="1"/>
    </xf>
    <xf numFmtId="0" fontId="71" fillId="0" borderId="0" xfId="0" applyFont="1" applyAlignment="1">
      <alignment wrapText="1"/>
    </xf>
    <xf numFmtId="4" fontId="32" fillId="19" borderId="1" xfId="0" applyNumberFormat="1" applyFont="1" applyFill="1" applyBorder="1" applyAlignment="1">
      <alignment horizontal="right" wrapText="1"/>
    </xf>
    <xf numFmtId="0" fontId="6" fillId="0" borderId="0" xfId="0" applyFont="1" applyAlignment="1">
      <alignment horizontal="center" vertical="center"/>
    </xf>
    <xf numFmtId="0" fontId="55" fillId="19" borderId="0" xfId="0" applyFont="1" applyFill="1"/>
    <xf numFmtId="0" fontId="6" fillId="19" borderId="0" xfId="0" applyFont="1" applyFill="1"/>
    <xf numFmtId="0" fontId="6" fillId="0" borderId="57" xfId="0" applyFont="1" applyBorder="1" applyAlignment="1">
      <alignment horizontal="center" vertical="center"/>
    </xf>
    <xf numFmtId="0" fontId="55" fillId="19" borderId="58" xfId="0" applyFont="1" applyFill="1" applyBorder="1" applyAlignment="1">
      <alignment horizontal="center" vertical="center"/>
    </xf>
    <xf numFmtId="0" fontId="6" fillId="19" borderId="57" xfId="0" applyFont="1" applyFill="1" applyBorder="1" applyAlignment="1">
      <alignment horizontal="center" vertical="center"/>
    </xf>
    <xf numFmtId="0" fontId="103" fillId="25" borderId="1" xfId="0" applyFont="1" applyFill="1" applyBorder="1" applyAlignment="1">
      <alignment horizontal="center" vertical="center" wrapText="1"/>
    </xf>
    <xf numFmtId="0" fontId="103" fillId="25" borderId="59" xfId="0" applyFont="1" applyFill="1" applyBorder="1" applyAlignment="1">
      <alignment horizontal="center" vertical="center" wrapText="1"/>
    </xf>
    <xf numFmtId="0" fontId="6" fillId="0" borderId="1" xfId="0" applyFont="1" applyBorder="1"/>
    <xf numFmtId="0" fontId="6" fillId="0" borderId="1" xfId="0" applyFont="1" applyBorder="1" applyAlignment="1">
      <alignment horizontal="left" vertical="center"/>
    </xf>
    <xf numFmtId="4" fontId="6" fillId="0" borderId="1" xfId="21" applyNumberFormat="1" applyFont="1" applyFill="1" applyBorder="1"/>
    <xf numFmtId="4" fontId="6" fillId="0" borderId="59" xfId="0" applyNumberFormat="1" applyFont="1" applyBorder="1"/>
    <xf numFmtId="0" fontId="104" fillId="0" borderId="3" xfId="0" applyFont="1" applyBorder="1"/>
    <xf numFmtId="0" fontId="104" fillId="0" borderId="1" xfId="0" applyFont="1" applyBorder="1"/>
    <xf numFmtId="0" fontId="10" fillId="2" borderId="1" xfId="0" applyFont="1" applyFill="1" applyBorder="1" applyAlignment="1">
      <alignment horizontal="left" vertical="center"/>
    </xf>
    <xf numFmtId="4" fontId="6" fillId="0" borderId="1" xfId="21" applyNumberFormat="1" applyFont="1" applyFill="1" applyBorder="1" applyAlignment="1" applyProtection="1">
      <alignment horizontal="center"/>
      <protection/>
    </xf>
    <xf numFmtId="2" fontId="6" fillId="0" borderId="59" xfId="26" applyNumberFormat="1" applyFont="1" applyBorder="1" applyAlignment="1" applyProtection="1">
      <alignment horizontal="center"/>
      <protection/>
    </xf>
    <xf numFmtId="0" fontId="6" fillId="25" borderId="3" xfId="0" applyFont="1" applyFill="1" applyBorder="1"/>
    <xf numFmtId="0" fontId="6" fillId="25" borderId="1" xfId="0" applyFont="1" applyFill="1" applyBorder="1"/>
    <xf numFmtId="0" fontId="8" fillId="25" borderId="1" xfId="0" applyFont="1" applyFill="1" applyBorder="1"/>
    <xf numFmtId="0" fontId="6" fillId="33" borderId="1" xfId="0" applyFont="1" applyFill="1" applyBorder="1" applyAlignment="1">
      <alignment horizontal="center" vertical="center"/>
    </xf>
    <xf numFmtId="43" fontId="6" fillId="33" borderId="1" xfId="0" applyNumberFormat="1" applyFont="1" applyFill="1" applyBorder="1" applyAlignment="1">
      <alignment horizontal="left" vertical="center"/>
    </xf>
    <xf numFmtId="4" fontId="6" fillId="26" borderId="1" xfId="21" applyNumberFormat="1" applyFont="1" applyFill="1" applyBorder="1" applyAlignment="1" applyProtection="1">
      <alignment horizontal="center"/>
      <protection/>
    </xf>
    <xf numFmtId="2" fontId="6" fillId="26" borderId="59" xfId="26" applyNumberFormat="1" applyFont="1" applyFill="1" applyBorder="1" applyAlignment="1" applyProtection="1">
      <alignment horizontal="center"/>
      <protection/>
    </xf>
    <xf numFmtId="0" fontId="8" fillId="25" borderId="1" xfId="0" applyFont="1" applyFill="1" applyBorder="1" applyAlignment="1">
      <alignment horizontal="center" vertical="center"/>
    </xf>
    <xf numFmtId="0" fontId="8" fillId="25" borderId="59" xfId="0" applyFont="1" applyFill="1" applyBorder="1"/>
    <xf numFmtId="4" fontId="0" fillId="34" borderId="1" xfId="0" applyNumberFormat="1" applyFill="1" applyBorder="1" applyAlignment="1">
      <alignment horizontal="center" vertical="center"/>
    </xf>
    <xf numFmtId="4" fontId="6" fillId="35" borderId="1" xfId="21" applyNumberFormat="1" applyFont="1" applyFill="1" applyBorder="1" applyAlignment="1" applyProtection="1">
      <alignment horizontal="center"/>
      <protection/>
    </xf>
    <xf numFmtId="2" fontId="6" fillId="35" borderId="59" xfId="26" applyNumberFormat="1" applyFont="1" applyFill="1" applyBorder="1" applyAlignment="1" applyProtection="1">
      <alignment horizontal="center"/>
      <protection/>
    </xf>
    <xf numFmtId="0" fontId="6" fillId="23" borderId="1" xfId="0" applyFont="1" applyFill="1" applyBorder="1" applyAlignment="1">
      <alignment horizontal="left" vertical="center"/>
    </xf>
    <xf numFmtId="2" fontId="6" fillId="23" borderId="59" xfId="26" applyNumberFormat="1" applyFont="1" applyFill="1" applyBorder="1" applyAlignment="1" applyProtection="1">
      <alignment horizontal="center"/>
      <protection/>
    </xf>
    <xf numFmtId="0" fontId="51" fillId="25" borderId="1" xfId="0" applyFont="1" applyFill="1" applyBorder="1" applyAlignment="1">
      <alignment horizontal="left" indent="2"/>
    </xf>
    <xf numFmtId="175" fontId="12" fillId="36" borderId="1" xfId="26" applyNumberFormat="1" applyFill="1" applyBorder="1">
      <alignment/>
    </xf>
    <xf numFmtId="4" fontId="0" fillId="34" borderId="1" xfId="0" applyNumberFormat="1" applyFill="1" applyBorder="1"/>
    <xf numFmtId="0" fontId="6" fillId="36" borderId="1" xfId="0" applyFont="1" applyFill="1" applyBorder="1"/>
    <xf numFmtId="0" fontId="8" fillId="25" borderId="3" xfId="0" applyFont="1" applyFill="1" applyBorder="1"/>
    <xf numFmtId="0" fontId="0" fillId="37" borderId="1" xfId="0" applyFill="1" applyBorder="1" applyAlignment="1">
      <alignment horizontal="center" vertical="center"/>
    </xf>
    <xf numFmtId="0" fontId="0" fillId="37" borderId="1" xfId="0" applyFill="1" applyBorder="1"/>
    <xf numFmtId="0" fontId="105" fillId="37" borderId="1" xfId="0" applyFont="1" applyFill="1" applyBorder="1"/>
    <xf numFmtId="2" fontId="6" fillId="38" borderId="59" xfId="26" applyNumberFormat="1" applyFont="1" applyFill="1" applyBorder="1" applyAlignment="1" applyProtection="1">
      <alignment horizontal="center"/>
      <protection/>
    </xf>
    <xf numFmtId="0" fontId="6" fillId="39" borderId="1" xfId="0" applyFont="1" applyFill="1" applyBorder="1" applyAlignment="1">
      <alignment horizontal="center" vertical="center"/>
    </xf>
    <xf numFmtId="4" fontId="6" fillId="37" borderId="1" xfId="21" applyNumberFormat="1" applyFont="1" applyFill="1" applyBorder="1" applyAlignment="1" applyProtection="1">
      <alignment horizontal="center"/>
      <protection/>
    </xf>
    <xf numFmtId="4" fontId="6" fillId="38" borderId="1" xfId="21" applyNumberFormat="1" applyFont="1" applyFill="1" applyBorder="1" applyAlignment="1" applyProtection="1">
      <alignment horizontal="center"/>
      <protection/>
    </xf>
    <xf numFmtId="0" fontId="6" fillId="39" borderId="1" xfId="0" applyFont="1" applyFill="1" applyBorder="1" applyAlignment="1">
      <alignment horizontal="left" vertical="center"/>
    </xf>
    <xf numFmtId="43" fontId="6" fillId="39" borderId="1" xfId="0" applyNumberFormat="1" applyFont="1" applyFill="1" applyBorder="1" applyAlignment="1">
      <alignment horizontal="left" vertical="center"/>
    </xf>
    <xf numFmtId="0" fontId="6" fillId="25" borderId="23" xfId="0" applyFont="1" applyFill="1" applyBorder="1"/>
    <xf numFmtId="0" fontId="6" fillId="25" borderId="6" xfId="0" applyFont="1" applyFill="1" applyBorder="1"/>
    <xf numFmtId="0" fontId="8" fillId="25" borderId="6" xfId="0" applyFont="1" applyFill="1" applyBorder="1"/>
    <xf numFmtId="0" fontId="6" fillId="39" borderId="6" xfId="0" applyFont="1" applyFill="1" applyBorder="1" applyAlignment="1">
      <alignment horizontal="center" vertical="center"/>
    </xf>
    <xf numFmtId="43" fontId="6" fillId="39" borderId="6" xfId="0" applyNumberFormat="1" applyFont="1" applyFill="1" applyBorder="1" applyAlignment="1">
      <alignment horizontal="left" vertical="center"/>
    </xf>
    <xf numFmtId="4" fontId="6" fillId="38" borderId="6" xfId="21" applyNumberFormat="1" applyFont="1" applyFill="1" applyBorder="1" applyAlignment="1" applyProtection="1">
      <alignment horizontal="center"/>
      <protection/>
    </xf>
    <xf numFmtId="2" fontId="6" fillId="38" borderId="60" xfId="26" applyNumberFormat="1" applyFont="1" applyFill="1" applyBorder="1" applyAlignment="1" applyProtection="1">
      <alignment horizontal="center"/>
      <protection/>
    </xf>
    <xf numFmtId="2" fontId="6" fillId="0" borderId="60" xfId="26" applyNumberFormat="1" applyFont="1" applyBorder="1" applyAlignment="1" applyProtection="1">
      <alignment horizontal="center"/>
      <protection/>
    </xf>
    <xf numFmtId="175" fontId="6" fillId="0" borderId="0" xfId="26" applyNumberFormat="1" applyFont="1" applyBorder="1" applyProtection="1">
      <alignment/>
      <protection/>
    </xf>
    <xf numFmtId="4" fontId="6" fillId="0" borderId="0" xfId="0" applyNumberFormat="1" applyFont="1"/>
    <xf numFmtId="0" fontId="103" fillId="0" borderId="0" xfId="0" applyFont="1" applyAlignment="1">
      <alignment horizontal="center" vertical="center" wrapText="1"/>
    </xf>
    <xf numFmtId="175" fontId="6" fillId="0" borderId="0" xfId="0" applyNumberFormat="1" applyFont="1"/>
    <xf numFmtId="0" fontId="105" fillId="19" borderId="0" xfId="0" applyFont="1" applyFill="1"/>
    <xf numFmtId="0" fontId="106" fillId="40" borderId="0" xfId="0" applyFont="1" applyFill="1"/>
    <xf numFmtId="0" fontId="107" fillId="40" borderId="0" xfId="0" applyFont="1" applyFill="1"/>
    <xf numFmtId="0" fontId="107" fillId="0" borderId="0" xfId="0" applyFont="1"/>
    <xf numFmtId="0" fontId="108" fillId="41" borderId="0" xfId="0" applyFont="1" applyFill="1"/>
    <xf numFmtId="0" fontId="109" fillId="41" borderId="0" xfId="0" applyFont="1" applyFill="1"/>
    <xf numFmtId="0" fontId="107" fillId="0" borderId="0" xfId="0" applyFont="1" applyAlignment="1">
      <alignment wrapText="1"/>
    </xf>
    <xf numFmtId="0" fontId="106" fillId="42" borderId="1" xfId="0" applyFont="1" applyFill="1" applyBorder="1" applyAlignment="1">
      <alignment horizontal="center" vertical="center" wrapText="1"/>
    </xf>
    <xf numFmtId="0" fontId="106" fillId="42" borderId="59" xfId="0" applyFont="1" applyFill="1" applyBorder="1" applyAlignment="1">
      <alignment horizontal="center" vertical="center" wrapText="1"/>
    </xf>
    <xf numFmtId="4" fontId="0" fillId="27" borderId="1" xfId="0" applyNumberFormat="1" applyFill="1" applyBorder="1" applyAlignment="1">
      <alignment horizontal="center" vertical="center" wrapText="1"/>
    </xf>
    <xf numFmtId="4" fontId="68" fillId="27" borderId="1" xfId="0" applyNumberFormat="1" applyFont="1" applyFill="1" applyBorder="1" applyAlignment="1">
      <alignment horizontal="center" vertical="center" wrapText="1"/>
    </xf>
    <xf numFmtId="0" fontId="106" fillId="42" borderId="1" xfId="0" applyFont="1" applyFill="1" applyBorder="1" applyAlignment="1">
      <alignment horizontal="center" wrapText="1"/>
    </xf>
    <xf numFmtId="0" fontId="106" fillId="42" borderId="59" xfId="0" applyFont="1" applyFill="1" applyBorder="1" applyAlignment="1">
      <alignment horizontal="center" wrapText="1"/>
    </xf>
    <xf numFmtId="4" fontId="0" fillId="27" borderId="3" xfId="0" applyNumberFormat="1" applyFill="1" applyBorder="1" applyAlignment="1">
      <alignment wrapText="1"/>
    </xf>
    <xf numFmtId="4" fontId="68" fillId="27" borderId="59" xfId="21" applyNumberFormat="1" applyFont="1" applyFill="1" applyBorder="1" applyAlignment="1">
      <alignment horizontal="center" vertical="center" wrapText="1"/>
    </xf>
    <xf numFmtId="0" fontId="0" fillId="27" borderId="3" xfId="0" applyFill="1" applyBorder="1" applyAlignment="1">
      <alignment wrapText="1"/>
    </xf>
    <xf numFmtId="4" fontId="68" fillId="27" borderId="59" xfId="0" applyNumberFormat="1" applyFont="1" applyFill="1" applyBorder="1" applyAlignment="1">
      <alignment horizontal="center" vertical="center" wrapText="1"/>
    </xf>
    <xf numFmtId="4" fontId="0" fillId="27" borderId="59" xfId="0" applyNumberFormat="1" applyFill="1" applyBorder="1" applyAlignment="1">
      <alignment horizontal="center" vertical="center" wrapText="1"/>
    </xf>
    <xf numFmtId="4" fontId="0" fillId="27" borderId="6" xfId="0" applyNumberFormat="1" applyFill="1" applyBorder="1" applyAlignment="1">
      <alignment horizontal="center" vertical="center" wrapText="1"/>
    </xf>
    <xf numFmtId="4" fontId="67" fillId="0" borderId="0" xfId="0" applyNumberFormat="1" applyFont="1" applyAlignment="1">
      <alignment horizontal="center" vertical="center" wrapText="1"/>
    </xf>
    <xf numFmtId="4" fontId="68" fillId="0" borderId="0" xfId="0" applyNumberFormat="1" applyFont="1" applyAlignment="1">
      <alignment horizontal="center" vertical="center" wrapText="1"/>
    </xf>
    <xf numFmtId="0" fontId="0" fillId="27" borderId="23" xfId="0" applyFill="1" applyBorder="1" applyAlignment="1">
      <alignment wrapText="1"/>
    </xf>
    <xf numFmtId="4" fontId="68" fillId="27" borderId="60" xfId="0" applyNumberFormat="1" applyFont="1" applyFill="1" applyBorder="1" applyAlignment="1">
      <alignment horizontal="center" vertical="center" wrapText="1"/>
    </xf>
    <xf numFmtId="0" fontId="106" fillId="42" borderId="15" xfId="0" applyFont="1" applyFill="1" applyBorder="1" applyAlignment="1">
      <alignment horizontal="center" vertical="center"/>
    </xf>
    <xf numFmtId="0" fontId="106" fillId="42" borderId="1" xfId="0" applyFont="1" applyFill="1" applyBorder="1" applyAlignment="1">
      <alignment horizontal="center" vertical="center"/>
    </xf>
    <xf numFmtId="0" fontId="106" fillId="0" borderId="0" xfId="0" applyFont="1" applyAlignment="1">
      <alignment horizontal="left" vertical="center" wrapText="1"/>
    </xf>
    <xf numFmtId="0" fontId="96" fillId="27" borderId="3" xfId="0" applyFont="1" applyFill="1" applyBorder="1" applyAlignment="1">
      <alignment horizontal="left" vertical="center" wrapText="1"/>
    </xf>
    <xf numFmtId="0" fontId="73" fillId="27" borderId="1" xfId="0" applyFont="1" applyFill="1" applyBorder="1" applyAlignment="1">
      <alignment horizontal="center" vertical="center" wrapText="1"/>
    </xf>
    <xf numFmtId="4" fontId="73" fillId="27" borderId="1" xfId="0" applyNumberFormat="1" applyFont="1" applyFill="1" applyBorder="1" applyAlignment="1">
      <alignment horizontal="center" vertical="center" wrapText="1"/>
    </xf>
    <xf numFmtId="4" fontId="0" fillId="0" borderId="0" xfId="0" applyNumberFormat="1" applyAlignment="1">
      <alignment horizontal="left" vertical="center" wrapText="1"/>
    </xf>
    <xf numFmtId="4" fontId="73" fillId="27" borderId="1" xfId="21" applyNumberFormat="1" applyFont="1" applyFill="1" applyBorder="1" applyAlignment="1">
      <alignment horizontal="center" vertical="center" wrapText="1"/>
    </xf>
    <xf numFmtId="4" fontId="67" fillId="0" borderId="0" xfId="0" applyNumberFormat="1" applyFont="1" applyAlignment="1">
      <alignment horizontal="left" vertical="center" wrapText="1"/>
    </xf>
    <xf numFmtId="0" fontId="68" fillId="27" borderId="3" xfId="0" applyFont="1" applyFill="1" applyBorder="1" applyAlignment="1">
      <alignment horizontal="left" vertical="center" wrapText="1" indent="2"/>
    </xf>
    <xf numFmtId="4" fontId="0" fillId="27" borderId="1" xfId="21" applyNumberFormat="1" applyFont="1" applyFill="1" applyBorder="1" applyAlignment="1">
      <alignment horizontal="center" vertical="center" wrapText="1"/>
    </xf>
    <xf numFmtId="9" fontId="0" fillId="0" borderId="0" xfId="21" applyFont="1" applyFill="1" applyBorder="1" applyAlignment="1">
      <alignment horizontal="left" vertical="center" wrapText="1"/>
    </xf>
    <xf numFmtId="0" fontId="0" fillId="27" borderId="3" xfId="0" applyFill="1" applyBorder="1" applyAlignment="1">
      <alignment horizontal="left" vertical="center" wrapText="1" indent="2"/>
    </xf>
    <xf numFmtId="0" fontId="0" fillId="27" borderId="3" xfId="0" applyFill="1" applyBorder="1" applyAlignment="1">
      <alignment horizontal="left" wrapText="1" indent="2"/>
    </xf>
    <xf numFmtId="0" fontId="68" fillId="27" borderId="3" xfId="0" applyFont="1" applyFill="1" applyBorder="1" applyAlignment="1">
      <alignment horizontal="left" vertical="center" wrapText="1" indent="1"/>
    </xf>
    <xf numFmtId="4" fontId="0" fillId="27" borderId="1" xfId="0" applyNumberFormat="1" applyFill="1" applyBorder="1" applyAlignment="1">
      <alignment horizontal="center" wrapText="1"/>
    </xf>
    <xf numFmtId="4" fontId="0" fillId="27" borderId="1" xfId="21" applyNumberFormat="1" applyFont="1" applyFill="1" applyBorder="1" applyAlignment="1">
      <alignment horizontal="center" wrapText="1"/>
    </xf>
    <xf numFmtId="0" fontId="68" fillId="37" borderId="3" xfId="0" applyFont="1" applyFill="1" applyBorder="1" applyAlignment="1">
      <alignment horizontal="left" vertical="center" wrapText="1" indent="3"/>
    </xf>
    <xf numFmtId="9" fontId="33" fillId="37" borderId="1" xfId="21" applyFont="1" applyFill="1" applyBorder="1" applyAlignment="1">
      <alignment horizontal="center" vertical="center"/>
    </xf>
    <xf numFmtId="4" fontId="33" fillId="37" borderId="1" xfId="21" applyNumberFormat="1" applyFont="1" applyFill="1" applyBorder="1" applyAlignment="1">
      <alignment horizontal="center" vertical="center"/>
    </xf>
    <xf numFmtId="10" fontId="0" fillId="37" borderId="1" xfId="21" applyNumberFormat="1" applyFont="1" applyFill="1" applyBorder="1" applyAlignment="1">
      <alignment horizontal="center" vertical="center" wrapText="1"/>
    </xf>
    <xf numFmtId="4" fontId="0" fillId="37" borderId="1" xfId="21" applyNumberFormat="1" applyFont="1" applyFill="1" applyBorder="1" applyAlignment="1">
      <alignment horizontal="center" vertical="center" wrapText="1"/>
    </xf>
    <xf numFmtId="0" fontId="0" fillId="37" borderId="15" xfId="0" applyFill="1" applyBorder="1" applyAlignment="1">
      <alignment wrapText="1"/>
    </xf>
    <xf numFmtId="4" fontId="0" fillId="37" borderId="15" xfId="21" applyNumberFormat="1" applyFont="1" applyFill="1" applyBorder="1" applyAlignment="1">
      <alignment horizontal="center" vertical="center" wrapText="1"/>
    </xf>
    <xf numFmtId="0" fontId="0" fillId="37" borderId="6" xfId="0" applyFill="1" applyBorder="1" applyAlignment="1">
      <alignment wrapText="1"/>
    </xf>
    <xf numFmtId="4" fontId="0" fillId="37" borderId="6" xfId="21" applyNumberFormat="1" applyFont="1" applyFill="1" applyBorder="1" applyAlignment="1">
      <alignment horizontal="center" vertical="center" wrapText="1"/>
    </xf>
    <xf numFmtId="4" fontId="0" fillId="0" borderId="0" xfId="0" applyNumberFormat="1" applyAlignment="1">
      <alignment horizontal="center" vertical="center"/>
    </xf>
    <xf numFmtId="0" fontId="68" fillId="0" borderId="0" xfId="0" applyFont="1" applyAlignment="1">
      <alignment horizontal="left" vertical="center"/>
    </xf>
    <xf numFmtId="0" fontId="106" fillId="42" borderId="59" xfId="0" applyFont="1" applyFill="1" applyBorder="1" applyAlignment="1">
      <alignment vertical="center"/>
    </xf>
    <xf numFmtId="0" fontId="106" fillId="42" borderId="1" xfId="0" applyFont="1" applyFill="1" applyBorder="1" applyAlignment="1">
      <alignment horizontal="center"/>
    </xf>
    <xf numFmtId="0" fontId="106" fillId="42" borderId="59" xfId="0" applyFont="1" applyFill="1" applyBorder="1" applyAlignment="1">
      <alignment horizontal="center"/>
    </xf>
    <xf numFmtId="0" fontId="68" fillId="27" borderId="3" xfId="0" applyFont="1" applyFill="1" applyBorder="1" applyAlignment="1">
      <alignment horizontal="left" vertical="center" indent="1"/>
    </xf>
    <xf numFmtId="4" fontId="0" fillId="27" borderId="1" xfId="0" applyNumberFormat="1" applyFill="1" applyBorder="1" applyAlignment="1">
      <alignment horizontal="center" vertical="center"/>
    </xf>
    <xf numFmtId="4" fontId="68" fillId="27" borderId="1" xfId="0" applyNumberFormat="1" applyFont="1" applyFill="1" applyBorder="1" applyAlignment="1">
      <alignment horizontal="center" vertical="center"/>
    </xf>
    <xf numFmtId="4" fontId="0" fillId="27" borderId="3" xfId="0" applyNumberFormat="1" applyFill="1" applyBorder="1"/>
    <xf numFmtId="4" fontId="0" fillId="27" borderId="59" xfId="0" applyNumberFormat="1" applyFill="1" applyBorder="1" applyAlignment="1">
      <alignment horizontal="center" vertical="center"/>
    </xf>
    <xf numFmtId="0" fontId="68" fillId="27" borderId="3" xfId="0" applyFont="1" applyFill="1" applyBorder="1" applyAlignment="1">
      <alignment horizontal="left" vertical="top" indent="1"/>
    </xf>
    <xf numFmtId="0" fontId="0" fillId="27" borderId="3" xfId="0" applyFill="1" applyBorder="1"/>
    <xf numFmtId="0" fontId="67" fillId="0" borderId="10" xfId="0" applyFont="1" applyBorder="1" applyAlignment="1">
      <alignment horizontal="left" vertical="top" indent="1"/>
    </xf>
    <xf numFmtId="0" fontId="67" fillId="0" borderId="10" xfId="0" applyFont="1" applyBorder="1" applyAlignment="1">
      <alignment horizontal="center" vertical="center"/>
    </xf>
    <xf numFmtId="4" fontId="67" fillId="0" borderId="10" xfId="0" applyNumberFormat="1" applyFont="1" applyBorder="1" applyAlignment="1">
      <alignment horizontal="center" vertical="center"/>
    </xf>
    <xf numFmtId="0" fontId="67" fillId="0" borderId="10" xfId="0" applyFont="1" applyBorder="1" applyAlignment="1">
      <alignment vertical="center" wrapText="1"/>
    </xf>
    <xf numFmtId="0" fontId="106" fillId="0" borderId="0" xfId="0" applyFont="1" applyAlignment="1">
      <alignment wrapText="1"/>
    </xf>
    <xf numFmtId="0" fontId="0" fillId="27" borderId="23" xfId="0" applyFill="1" applyBorder="1"/>
    <xf numFmtId="4" fontId="0" fillId="27" borderId="6" xfId="0" applyNumberFormat="1" applyFill="1" applyBorder="1" applyAlignment="1">
      <alignment horizontal="center" vertical="center"/>
    </xf>
    <xf numFmtId="4" fontId="0" fillId="27" borderId="60" xfId="0" applyNumberFormat="1" applyFill="1" applyBorder="1" applyAlignment="1">
      <alignment horizontal="center" vertical="center"/>
    </xf>
    <xf numFmtId="0" fontId="106" fillId="42" borderId="3" xfId="0" applyFont="1" applyFill="1" applyBorder="1" applyAlignment="1">
      <alignment horizontal="center" vertical="center"/>
    </xf>
    <xf numFmtId="0" fontId="106" fillId="42" borderId="59" xfId="0" applyFont="1" applyFill="1" applyBorder="1" applyAlignment="1">
      <alignment vertical="center" wrapText="1"/>
    </xf>
    <xf numFmtId="0" fontId="106" fillId="0" borderId="0" xfId="0" applyFont="1" applyAlignment="1">
      <alignment vertical="center" wrapText="1"/>
    </xf>
    <xf numFmtId="0" fontId="68" fillId="27" borderId="23" xfId="0" applyFont="1" applyFill="1" applyBorder="1" applyAlignment="1">
      <alignment horizontal="left" vertical="center"/>
    </xf>
    <xf numFmtId="0" fontId="0" fillId="27" borderId="6" xfId="0" applyFill="1" applyBorder="1" applyAlignment="1">
      <alignment horizontal="center" vertical="center"/>
    </xf>
    <xf numFmtId="0" fontId="68" fillId="27" borderId="60" xfId="0" applyFont="1" applyFill="1" applyBorder="1" applyAlignment="1">
      <alignment vertical="center" wrapText="1"/>
    </xf>
    <xf numFmtId="0" fontId="68" fillId="0" borderId="0" xfId="0" applyFont="1" applyAlignment="1">
      <alignment vertical="center" wrapText="1"/>
    </xf>
    <xf numFmtId="0" fontId="102" fillId="0" borderId="0" xfId="0" applyFont="1" applyAlignment="1">
      <alignment horizontal="center" vertical="center"/>
    </xf>
    <xf numFmtId="0" fontId="68" fillId="0" borderId="0" xfId="0" applyFont="1" applyAlignment="1">
      <alignment horizontal="left" vertical="top" indent="1"/>
    </xf>
    <xf numFmtId="0" fontId="0" fillId="0" borderId="0" xfId="0" applyAlignment="1">
      <alignment horizontal="center"/>
    </xf>
    <xf numFmtId="0" fontId="68" fillId="0" borderId="0" xfId="0" applyFont="1" applyAlignment="1">
      <alignment horizontal="center" vertical="center" wrapText="1"/>
    </xf>
    <xf numFmtId="0" fontId="68" fillId="27" borderId="3" xfId="0" applyFont="1" applyFill="1" applyBorder="1" applyAlignment="1">
      <alignment horizontal="left" vertical="center"/>
    </xf>
    <xf numFmtId="0" fontId="0" fillId="27" borderId="1" xfId="0" applyFill="1" applyBorder="1" applyAlignment="1">
      <alignment horizontal="center" vertical="center"/>
    </xf>
    <xf numFmtId="2" fontId="0" fillId="27" borderId="1" xfId="0" applyNumberFormat="1" applyFill="1" applyBorder="1" applyAlignment="1">
      <alignment horizontal="center" vertical="center"/>
    </xf>
    <xf numFmtId="0" fontId="68" fillId="27" borderId="59" xfId="0" applyFont="1" applyFill="1" applyBorder="1" applyAlignment="1">
      <alignment vertical="center" wrapText="1"/>
    </xf>
    <xf numFmtId="0" fontId="106" fillId="0" borderId="0" xfId="0" applyFont="1" applyAlignment="1">
      <alignment vertical="center"/>
    </xf>
    <xf numFmtId="0" fontId="106" fillId="42" borderId="1" xfId="0" applyFont="1" applyFill="1" applyBorder="1" applyAlignment="1">
      <alignment vertical="center"/>
    </xf>
    <xf numFmtId="4" fontId="0" fillId="27" borderId="3" xfId="0" applyNumberFormat="1" applyFill="1" applyBorder="1" applyAlignment="1">
      <alignment horizontal="left" vertical="center"/>
    </xf>
    <xf numFmtId="0" fontId="0" fillId="27" borderId="59" xfId="0" applyFill="1" applyBorder="1" applyAlignment="1">
      <alignment horizontal="center" vertical="center" wrapText="1"/>
    </xf>
    <xf numFmtId="4" fontId="0" fillId="27" borderId="23" xfId="0" applyNumberFormat="1" applyFill="1" applyBorder="1" applyAlignment="1">
      <alignment horizontal="left" vertical="center"/>
    </xf>
    <xf numFmtId="0" fontId="0" fillId="27" borderId="60" xfId="0" applyFill="1" applyBorder="1" applyAlignment="1">
      <alignment vertical="center"/>
    </xf>
    <xf numFmtId="4" fontId="0" fillId="27" borderId="23" xfId="0" applyNumberFormat="1" applyFill="1" applyBorder="1" applyAlignment="1">
      <alignment wrapText="1"/>
    </xf>
    <xf numFmtId="4" fontId="0" fillId="27" borderId="6" xfId="21" applyNumberFormat="1" applyFont="1" applyFill="1" applyBorder="1" applyAlignment="1">
      <alignment horizontal="center" vertical="center" wrapText="1"/>
    </xf>
    <xf numFmtId="4" fontId="0" fillId="27" borderId="60" xfId="21" applyNumberFormat="1" applyFont="1" applyFill="1" applyBorder="1" applyAlignment="1">
      <alignment horizontal="center" vertical="center" wrapText="1"/>
    </xf>
    <xf numFmtId="0" fontId="106" fillId="0" borderId="0" xfId="0" applyFont="1"/>
    <xf numFmtId="0" fontId="106" fillId="0" borderId="0" xfId="0" applyFont="1" applyAlignment="1">
      <alignment horizontal="center" vertical="center"/>
    </xf>
    <xf numFmtId="4" fontId="0" fillId="27" borderId="1" xfId="0" applyNumberFormat="1" applyFill="1" applyBorder="1" applyAlignment="1">
      <alignment horizontal="left" vertical="center" indent="1"/>
    </xf>
    <xf numFmtId="0" fontId="68" fillId="27" borderId="1" xfId="0" applyFont="1" applyFill="1" applyBorder="1" applyAlignment="1">
      <alignment vertical="center" wrapText="1"/>
    </xf>
    <xf numFmtId="9" fontId="68" fillId="27" borderId="1" xfId="21" applyFont="1" applyFill="1" applyBorder="1" applyAlignment="1">
      <alignment horizontal="center" vertical="center"/>
    </xf>
    <xf numFmtId="4" fontId="0" fillId="0" borderId="0" xfId="0" applyNumberFormat="1" applyAlignment="1">
      <alignment horizontal="left" vertical="center" indent="1"/>
    </xf>
    <xf numFmtId="4" fontId="68" fillId="0" borderId="0" xfId="0" applyNumberFormat="1" applyFont="1" applyAlignment="1">
      <alignment horizontal="center" vertical="center"/>
    </xf>
    <xf numFmtId="0" fontId="108" fillId="0" borderId="0" xfId="0" applyFont="1"/>
    <xf numFmtId="0" fontId="109" fillId="0" borderId="0" xfId="0" applyFont="1"/>
    <xf numFmtId="4" fontId="0" fillId="27" borderId="23" xfId="0" applyNumberFormat="1" applyFill="1" applyBorder="1" applyAlignment="1">
      <alignment horizontal="left" vertical="center" indent="1"/>
    </xf>
    <xf numFmtId="4" fontId="68" fillId="27" borderId="6" xfId="0" applyNumberFormat="1" applyFont="1" applyFill="1" applyBorder="1" applyAlignment="1">
      <alignment horizontal="center" vertical="center"/>
    </xf>
    <xf numFmtId="4" fontId="0" fillId="27" borderId="60" xfId="0" applyNumberFormat="1" applyFill="1" applyBorder="1" applyAlignment="1">
      <alignment vertical="center" wrapText="1"/>
    </xf>
    <xf numFmtId="0" fontId="110" fillId="27" borderId="23" xfId="0" applyFont="1" applyFill="1" applyBorder="1" applyAlignment="1">
      <alignment vertical="center"/>
    </xf>
    <xf numFmtId="4" fontId="73" fillId="27" borderId="6" xfId="0" applyNumberFormat="1" applyFont="1" applyFill="1" applyBorder="1" applyAlignment="1">
      <alignment horizontal="center" vertical="center"/>
    </xf>
    <xf numFmtId="4" fontId="73" fillId="27" borderId="60" xfId="0" applyNumberFormat="1" applyFont="1" applyFill="1" applyBorder="1" applyAlignment="1">
      <alignment horizontal="center" vertical="center"/>
    </xf>
    <xf numFmtId="0" fontId="102" fillId="0" borderId="0" xfId="0" applyFont="1"/>
    <xf numFmtId="4" fontId="0" fillId="0" borderId="0" xfId="0" applyNumberFormat="1" applyAlignment="1">
      <alignment vertical="center"/>
    </xf>
    <xf numFmtId="0" fontId="38" fillId="27" borderId="23" xfId="0" applyFont="1" applyFill="1" applyBorder="1" applyAlignment="1">
      <alignment horizontal="left" vertical="center"/>
    </xf>
    <xf numFmtId="4" fontId="73" fillId="27" borderId="1" xfId="0" applyNumberFormat="1" applyFont="1" applyFill="1" applyBorder="1" applyAlignment="1">
      <alignment horizontal="center" vertical="center"/>
    </xf>
    <xf numFmtId="0" fontId="37" fillId="0" borderId="0" xfId="0" applyFont="1" applyAlignment="1">
      <alignment vertical="center"/>
    </xf>
    <xf numFmtId="9" fontId="0" fillId="0" borderId="0" xfId="0" applyNumberFormat="1" applyAlignment="1">
      <alignment horizontal="center" vertical="center"/>
    </xf>
    <xf numFmtId="0" fontId="106" fillId="42" borderId="59" xfId="0" applyFont="1" applyFill="1" applyBorder="1" applyAlignment="1">
      <alignment horizontal="center" vertical="center"/>
    </xf>
    <xf numFmtId="9" fontId="0" fillId="27" borderId="6" xfId="21" applyFont="1" applyFill="1" applyBorder="1" applyAlignment="1">
      <alignment horizontal="center" vertical="center"/>
    </xf>
    <xf numFmtId="0" fontId="69" fillId="0" borderId="0" xfId="0" applyFont="1" applyAlignment="1">
      <alignment wrapText="1"/>
    </xf>
    <xf numFmtId="0" fontId="69" fillId="0" borderId="0" xfId="0" applyFont="1" applyAlignment="1">
      <alignment horizontal="center" vertical="center"/>
    </xf>
    <xf numFmtId="0" fontId="0" fillId="27" borderId="59" xfId="0" applyFill="1" applyBorder="1" applyAlignment="1">
      <alignment wrapText="1"/>
    </xf>
    <xf numFmtId="0" fontId="73" fillId="27" borderId="23" xfId="0" applyFont="1" applyFill="1" applyBorder="1" applyAlignment="1">
      <alignment horizontal="left" vertical="center" wrapText="1"/>
    </xf>
    <xf numFmtId="4" fontId="73" fillId="27" borderId="60" xfId="21" applyNumberFormat="1" applyFont="1" applyFill="1" applyBorder="1" applyAlignment="1">
      <alignment horizontal="center" vertical="center"/>
    </xf>
    <xf numFmtId="0" fontId="68" fillId="27" borderId="3" xfId="0" applyFont="1" applyFill="1" applyBorder="1" applyAlignment="1">
      <alignment horizontal="left" vertical="center" indent="4"/>
    </xf>
    <xf numFmtId="10" fontId="0" fillId="0" borderId="0" xfId="0" applyNumberFormat="1" applyAlignment="1">
      <alignment horizontal="center" vertical="center"/>
    </xf>
    <xf numFmtId="0" fontId="68" fillId="27" borderId="3" xfId="0" applyFont="1" applyFill="1" applyBorder="1" applyAlignment="1">
      <alignment horizontal="left" vertical="top" indent="4"/>
    </xf>
    <xf numFmtId="0" fontId="68" fillId="27" borderId="59" xfId="0" applyFont="1" applyFill="1" applyBorder="1" applyAlignment="1">
      <alignment horizontal="left" vertical="center" wrapText="1"/>
    </xf>
    <xf numFmtId="4" fontId="0" fillId="27" borderId="3" xfId="0" applyNumberFormat="1" applyFill="1" applyBorder="1" applyAlignment="1">
      <alignment horizontal="left" vertical="center" indent="4"/>
    </xf>
    <xf numFmtId="0" fontId="111" fillId="27" borderId="3" xfId="0" applyFont="1" applyFill="1" applyBorder="1" applyAlignment="1">
      <alignment horizontal="left" vertical="center" wrapText="1" indent="4"/>
    </xf>
    <xf numFmtId="0" fontId="111" fillId="27" borderId="23" xfId="0" applyFont="1" applyFill="1" applyBorder="1" applyAlignment="1">
      <alignment horizontal="left" vertical="center" wrapText="1" indent="4"/>
    </xf>
    <xf numFmtId="0" fontId="106" fillId="42" borderId="61" xfId="0" applyFont="1" applyFill="1" applyBorder="1" applyAlignment="1">
      <alignment horizontal="center" vertical="center"/>
    </xf>
    <xf numFmtId="4" fontId="0" fillId="0" borderId="0" xfId="0" applyNumberFormat="1"/>
    <xf numFmtId="4" fontId="68" fillId="27" borderId="58" xfId="0" applyNumberFormat="1" applyFont="1" applyFill="1" applyBorder="1" applyAlignment="1">
      <alignment horizontal="center" vertical="center"/>
    </xf>
    <xf numFmtId="0" fontId="68" fillId="0" borderId="0" xfId="0" applyFont="1" applyAlignment="1">
      <alignment horizontal="center" vertical="center"/>
    </xf>
    <xf numFmtId="4" fontId="96" fillId="27" borderId="6" xfId="21" applyNumberFormat="1" applyFont="1" applyFill="1" applyBorder="1" applyAlignment="1">
      <alignment horizontal="center" vertical="center"/>
    </xf>
    <xf numFmtId="0" fontId="68" fillId="27" borderId="60" xfId="0" applyFont="1" applyFill="1" applyBorder="1" applyAlignment="1">
      <alignment horizontal="center" vertical="center" wrapText="1"/>
    </xf>
    <xf numFmtId="0" fontId="0" fillId="27" borderId="60" xfId="0" applyFill="1" applyBorder="1" applyAlignment="1">
      <alignment wrapText="1"/>
    </xf>
    <xf numFmtId="0" fontId="73" fillId="27" borderId="23" xfId="0" applyFont="1" applyFill="1" applyBorder="1" applyAlignment="1">
      <alignment wrapText="1"/>
    </xf>
    <xf numFmtId="4" fontId="67" fillId="0" borderId="0" xfId="0" applyNumberFormat="1" applyFont="1" applyAlignment="1">
      <alignment horizontal="center" vertical="center"/>
    </xf>
    <xf numFmtId="9" fontId="67" fillId="0" borderId="0" xfId="21" applyFont="1" applyBorder="1" applyAlignment="1">
      <alignment horizontal="center" vertical="center"/>
    </xf>
    <xf numFmtId="0" fontId="68" fillId="27" borderId="3" xfId="0" applyFont="1" applyFill="1" applyBorder="1" applyAlignment="1">
      <alignment horizontal="left" vertical="top"/>
    </xf>
    <xf numFmtId="4" fontId="0" fillId="0" borderId="0" xfId="21" applyNumberFormat="1" applyFont="1"/>
    <xf numFmtId="0" fontId="68" fillId="27" borderId="23" xfId="0" applyFont="1" applyFill="1" applyBorder="1" applyAlignment="1">
      <alignment horizontal="left" vertical="top"/>
    </xf>
    <xf numFmtId="0" fontId="67" fillId="0" borderId="12" xfId="0" applyFont="1" applyBorder="1" applyAlignment="1">
      <alignment horizontal="left" vertical="top" indent="1"/>
    </xf>
    <xf numFmtId="0" fontId="68" fillId="0" borderId="0" xfId="0" applyFont="1" applyAlignment="1">
      <alignment vertical="center"/>
    </xf>
    <xf numFmtId="9" fontId="0" fillId="0" borderId="0" xfId="21" applyFont="1" applyBorder="1" applyAlignment="1">
      <alignment horizontal="center" vertical="center"/>
    </xf>
    <xf numFmtId="170" fontId="68" fillId="27" borderId="1" xfId="0" applyNumberFormat="1" applyFont="1" applyFill="1" applyBorder="1" applyAlignment="1">
      <alignment horizontal="center" vertical="center"/>
    </xf>
    <xf numFmtId="0" fontId="68" fillId="0" borderId="0" xfId="0" applyFont="1" applyAlignment="1">
      <alignment horizontal="left"/>
    </xf>
    <xf numFmtId="9" fontId="68" fillId="27" borderId="6" xfId="21" applyFont="1" applyFill="1" applyBorder="1" applyAlignment="1">
      <alignment horizontal="center" vertical="center"/>
    </xf>
    <xf numFmtId="0" fontId="37" fillId="0" borderId="0" xfId="0" applyFont="1"/>
    <xf numFmtId="0" fontId="112" fillId="41" borderId="0" xfId="0" applyFont="1" applyFill="1"/>
    <xf numFmtId="0" fontId="113" fillId="0" borderId="0" xfId="0" applyFont="1"/>
    <xf numFmtId="0" fontId="68" fillId="27" borderId="60" xfId="0" applyFont="1" applyFill="1" applyBorder="1" applyAlignment="1" quotePrefix="1">
      <alignment horizontal="left" vertical="center" wrapText="1"/>
    </xf>
    <xf numFmtId="4" fontId="73" fillId="27" borderId="23" xfId="0" applyNumberFormat="1" applyFont="1" applyFill="1" applyBorder="1" applyAlignment="1">
      <alignment vertical="center"/>
    </xf>
    <xf numFmtId="10" fontId="68" fillId="27" borderId="1" xfId="21" applyNumberFormat="1" applyFont="1" applyFill="1" applyBorder="1" applyAlignment="1">
      <alignment horizontal="center" vertical="center"/>
    </xf>
    <xf numFmtId="4" fontId="68" fillId="0" borderId="1" xfId="0" applyNumberFormat="1" applyFont="1" applyBorder="1" applyAlignment="1">
      <alignment vertical="center"/>
    </xf>
    <xf numFmtId="4" fontId="0" fillId="0" borderId="59" xfId="0" applyNumberFormat="1" applyBorder="1" applyAlignment="1">
      <alignment horizontal="center" vertical="center"/>
    </xf>
    <xf numFmtId="0" fontId="68" fillId="0" borderId="0" xfId="0" applyFont="1" applyAlignment="1">
      <alignment horizontal="left" vertical="center" wrapText="1"/>
    </xf>
    <xf numFmtId="4" fontId="68" fillId="37" borderId="1" xfId="0" applyNumberFormat="1" applyFont="1" applyFill="1" applyBorder="1" applyAlignment="1">
      <alignment horizontal="center" vertical="center"/>
    </xf>
    <xf numFmtId="9" fontId="68" fillId="37" borderId="1" xfId="21" applyFont="1" applyFill="1" applyBorder="1" applyAlignment="1">
      <alignment horizontal="center" vertical="center"/>
    </xf>
    <xf numFmtId="9" fontId="68" fillId="37" borderId="1" xfId="21" applyFont="1" applyFill="1" applyBorder="1" applyAlignment="1">
      <alignment horizontal="center" vertical="center" wrapText="1"/>
    </xf>
    <xf numFmtId="9" fontId="0" fillId="37" borderId="1" xfId="21" applyFont="1" applyFill="1" applyBorder="1" applyAlignment="1">
      <alignment horizontal="center" vertical="center"/>
    </xf>
    <xf numFmtId="4" fontId="68" fillId="37" borderId="1" xfId="0" applyNumberFormat="1" applyFont="1" applyFill="1" applyBorder="1" applyAlignment="1">
      <alignment horizontal="center" vertical="center" wrapText="1"/>
    </xf>
    <xf numFmtId="4" fontId="0" fillId="37" borderId="1" xfId="0" applyNumberFormat="1" applyFill="1" applyBorder="1" applyAlignment="1">
      <alignment horizontal="center" vertical="center"/>
    </xf>
    <xf numFmtId="4" fontId="73" fillId="27" borderId="0" xfId="21" applyNumberFormat="1" applyFont="1" applyFill="1" applyBorder="1" applyAlignment="1">
      <alignment horizontal="center"/>
    </xf>
    <xf numFmtId="0" fontId="68" fillId="27" borderId="1" xfId="0" applyFont="1" applyFill="1" applyBorder="1" applyAlignment="1">
      <alignment horizontal="center" vertical="center"/>
    </xf>
    <xf numFmtId="2" fontId="0" fillId="0" borderId="0" xfId="0" applyNumberFormat="1" applyAlignment="1">
      <alignment horizontal="center"/>
    </xf>
    <xf numFmtId="43" fontId="8" fillId="2" borderId="0" xfId="0" applyNumberFormat="1" applyFont="1" applyFill="1" applyAlignment="1">
      <alignment wrapText="1"/>
    </xf>
    <xf numFmtId="1" fontId="37" fillId="0" borderId="0" xfId="21" applyNumberFormat="1" applyFont="1"/>
    <xf numFmtId="4" fontId="6" fillId="35" borderId="1" xfId="21" applyNumberFormat="1" applyFont="1" applyFill="1" applyBorder="1" applyAlignment="1" applyProtection="1">
      <alignment horizontal="center" vertical="center"/>
      <protection/>
    </xf>
    <xf numFmtId="4" fontId="6" fillId="37" borderId="1" xfId="21" applyNumberFormat="1" applyFont="1" applyFill="1" applyBorder="1" applyAlignment="1" applyProtection="1">
      <alignment horizontal="center" vertical="center"/>
      <protection/>
    </xf>
    <xf numFmtId="4" fontId="6" fillId="38" borderId="1" xfId="21" applyNumberFormat="1" applyFont="1" applyFill="1" applyBorder="1" applyAlignment="1" applyProtection="1">
      <alignment horizontal="center" vertical="center"/>
      <protection/>
    </xf>
    <xf numFmtId="0" fontId="6" fillId="36" borderId="1" xfId="0" applyFont="1" applyFill="1" applyBorder="1" applyAlignment="1">
      <alignment horizontal="center"/>
    </xf>
    <xf numFmtId="0" fontId="105" fillId="37" borderId="1" xfId="0" applyFont="1" applyFill="1" applyBorder="1" applyAlignment="1">
      <alignment horizontal="center"/>
    </xf>
    <xf numFmtId="2" fontId="6" fillId="35" borderId="59" xfId="26" applyNumberFormat="1" applyFont="1" applyFill="1" applyBorder="1" applyAlignment="1" applyProtection="1">
      <alignment horizontal="center" vertical="center"/>
      <protection/>
    </xf>
    <xf numFmtId="2" fontId="6" fillId="38" borderId="59" xfId="26" applyNumberFormat="1" applyFont="1" applyFill="1" applyBorder="1" applyAlignment="1" applyProtection="1">
      <alignment horizontal="center" vertical="center"/>
      <protection/>
    </xf>
    <xf numFmtId="4" fontId="6" fillId="38" borderId="6" xfId="21" applyNumberFormat="1" applyFont="1" applyFill="1" applyBorder="1" applyAlignment="1" applyProtection="1">
      <alignment horizontal="center" vertical="center"/>
      <protection/>
    </xf>
    <xf numFmtId="2" fontId="6" fillId="38" borderId="60" xfId="26" applyNumberFormat="1" applyFont="1" applyFill="1" applyBorder="1" applyAlignment="1" applyProtection="1">
      <alignment horizontal="center" vertical="center"/>
      <protection/>
    </xf>
    <xf numFmtId="175" fontId="12" fillId="36" borderId="1" xfId="26" applyNumberFormat="1" applyFill="1" applyBorder="1" applyAlignment="1">
      <alignment horizontal="center" vertical="center"/>
    </xf>
    <xf numFmtId="0" fontId="105" fillId="37" borderId="1" xfId="0" applyFont="1" applyFill="1" applyBorder="1" applyAlignment="1">
      <alignment horizontal="center" vertical="center"/>
    </xf>
    <xf numFmtId="0" fontId="6" fillId="0" borderId="58" xfId="0" applyFont="1" applyBorder="1" applyAlignment="1">
      <alignment horizontal="center" vertical="center"/>
    </xf>
    <xf numFmtId="0" fontId="68" fillId="27" borderId="23" xfId="0" applyFont="1" applyFill="1" applyBorder="1" applyAlignment="1">
      <alignment vertical="center"/>
    </xf>
    <xf numFmtId="0" fontId="68" fillId="27" borderId="59" xfId="0" applyFont="1" applyFill="1" applyBorder="1" applyAlignment="1">
      <alignment horizontal="center" vertical="center" wrapText="1"/>
    </xf>
    <xf numFmtId="4" fontId="68" fillId="27" borderId="15" xfId="0" applyNumberFormat="1" applyFont="1" applyFill="1" applyBorder="1" applyAlignment="1">
      <alignment horizontal="center" vertical="center"/>
    </xf>
    <xf numFmtId="10" fontId="68" fillId="27" borderId="10" xfId="21" applyNumberFormat="1" applyFont="1" applyFill="1" applyBorder="1" applyAlignment="1">
      <alignment horizontal="center" vertical="center"/>
    </xf>
    <xf numFmtId="4" fontId="68" fillId="37" borderId="15" xfId="0" applyNumberFormat="1" applyFont="1" applyFill="1" applyBorder="1" applyAlignment="1">
      <alignment horizontal="center" vertical="center"/>
    </xf>
    <xf numFmtId="9" fontId="68" fillId="37" borderId="10" xfId="21" applyFont="1" applyFill="1" applyBorder="1" applyAlignment="1">
      <alignment horizontal="center" vertical="center"/>
    </xf>
    <xf numFmtId="9" fontId="0" fillId="37" borderId="10" xfId="21" applyFont="1" applyFill="1" applyBorder="1" applyAlignment="1">
      <alignment horizontal="center" vertical="center"/>
    </xf>
    <xf numFmtId="4" fontId="0" fillId="37" borderId="15" xfId="0" applyNumberFormat="1" applyFill="1" applyBorder="1" applyAlignment="1">
      <alignment horizontal="center" vertical="center"/>
    </xf>
    <xf numFmtId="0" fontId="68" fillId="27" borderId="15" xfId="0" applyFont="1" applyFill="1" applyBorder="1" applyAlignment="1">
      <alignment horizontal="center" vertical="center"/>
    </xf>
    <xf numFmtId="9" fontId="0" fillId="27" borderId="62" xfId="21" applyFont="1" applyFill="1" applyBorder="1" applyAlignment="1">
      <alignment horizontal="center" vertical="center"/>
    </xf>
    <xf numFmtId="0" fontId="106" fillId="42" borderId="10" xfId="0" applyFont="1" applyFill="1" applyBorder="1" applyAlignment="1">
      <alignment horizontal="center" vertical="center" wrapText="1"/>
    </xf>
    <xf numFmtId="0" fontId="106" fillId="42" borderId="63" xfId="0" applyFont="1" applyFill="1" applyBorder="1" applyAlignment="1">
      <alignment horizontal="center" vertical="center" wrapText="1"/>
    </xf>
    <xf numFmtId="0" fontId="68" fillId="27" borderId="23" xfId="0" applyFont="1" applyFill="1" applyBorder="1" applyAlignment="1">
      <alignment horizontal="left" vertical="center" wrapText="1" indent="2"/>
    </xf>
    <xf numFmtId="4" fontId="68" fillId="27" borderId="6" xfId="0" applyNumberFormat="1" applyFont="1" applyFill="1" applyBorder="1" applyAlignment="1">
      <alignment horizontal="center" vertical="center" wrapText="1"/>
    </xf>
    <xf numFmtId="0" fontId="8" fillId="25" borderId="45" xfId="0" applyFont="1" applyFill="1" applyBorder="1" applyAlignment="1">
      <alignment horizontal="center" vertical="center" wrapText="1"/>
    </xf>
    <xf numFmtId="0" fontId="10" fillId="2" borderId="9" xfId="0" applyFont="1" applyFill="1" applyBorder="1" applyAlignment="1">
      <alignment horizontal="left" vertical="center"/>
    </xf>
    <xf numFmtId="0" fontId="10" fillId="2" borderId="28" xfId="0" applyFont="1" applyFill="1" applyBorder="1" applyAlignment="1">
      <alignment horizontal="left" vertical="center"/>
    </xf>
    <xf numFmtId="0" fontId="8" fillId="0" borderId="28" xfId="0" applyFont="1" applyBorder="1" applyAlignment="1">
      <alignment horizontal="left" vertical="center"/>
    </xf>
    <xf numFmtId="0" fontId="11" fillId="0" borderId="28" xfId="0" applyFont="1" applyBorder="1" applyAlignment="1">
      <alignment horizontal="left" vertical="center"/>
    </xf>
    <xf numFmtId="0" fontId="6" fillId="0" borderId="28" xfId="0" applyFont="1" applyBorder="1" applyAlignment="1">
      <alignment horizontal="left" vertical="center"/>
    </xf>
    <xf numFmtId="0" fontId="2" fillId="0" borderId="28" xfId="0" applyFont="1" applyBorder="1" applyAlignment="1">
      <alignment horizontal="left" vertical="center"/>
    </xf>
    <xf numFmtId="0" fontId="6" fillId="2" borderId="28" xfId="0" applyFont="1" applyFill="1" applyBorder="1" applyAlignment="1">
      <alignment horizontal="left" vertical="center"/>
    </xf>
    <xf numFmtId="0" fontId="11" fillId="2" borderId="28" xfId="0" applyFont="1" applyFill="1" applyBorder="1" applyAlignment="1">
      <alignment horizontal="left" vertical="center"/>
    </xf>
    <xf numFmtId="0" fontId="2" fillId="2" borderId="28" xfId="0" applyFont="1" applyFill="1" applyBorder="1" applyAlignment="1">
      <alignment horizontal="left" vertical="center"/>
    </xf>
    <xf numFmtId="0" fontId="8" fillId="2" borderId="28" xfId="0" applyFont="1" applyFill="1" applyBorder="1" applyAlignment="1">
      <alignment horizontal="left" vertical="center"/>
    </xf>
    <xf numFmtId="0" fontId="8" fillId="0" borderId="54" xfId="0" applyFont="1" applyBorder="1" applyAlignment="1">
      <alignment horizontal="left" vertical="center"/>
    </xf>
    <xf numFmtId="0" fontId="9" fillId="25" borderId="64" xfId="0" applyFont="1" applyFill="1" applyBorder="1" applyAlignment="1">
      <alignment horizontal="center" vertical="center"/>
    </xf>
    <xf numFmtId="0" fontId="54" fillId="25" borderId="64" xfId="0" applyFont="1" applyFill="1" applyBorder="1"/>
    <xf numFmtId="0" fontId="9" fillId="25" borderId="65" xfId="0" applyFont="1" applyFill="1" applyBorder="1" applyAlignment="1">
      <alignment horizontal="center" vertical="center"/>
    </xf>
    <xf numFmtId="0" fontId="9" fillId="25" borderId="66" xfId="0" applyFont="1" applyFill="1" applyBorder="1" applyAlignment="1">
      <alignment horizontal="center" vertical="center"/>
    </xf>
    <xf numFmtId="0" fontId="9" fillId="25" borderId="67" xfId="0" applyFont="1" applyFill="1" applyBorder="1" applyAlignment="1">
      <alignment horizontal="center" vertical="center"/>
    </xf>
    <xf numFmtId="0" fontId="9" fillId="25" borderId="68" xfId="0" applyFont="1" applyFill="1" applyBorder="1" applyAlignment="1">
      <alignment horizontal="center" vertical="center"/>
    </xf>
    <xf numFmtId="0" fontId="9" fillId="25" borderId="69" xfId="0" applyFont="1" applyFill="1" applyBorder="1" applyAlignment="1">
      <alignment horizontal="center" vertical="center"/>
    </xf>
    <xf numFmtId="0" fontId="54" fillId="25" borderId="68" xfId="0" applyFont="1" applyFill="1" applyBorder="1"/>
    <xf numFmtId="0" fontId="54" fillId="25" borderId="69" xfId="0" applyFont="1" applyFill="1" applyBorder="1" applyAlignment="1">
      <alignment vertical="center"/>
    </xf>
    <xf numFmtId="0" fontId="11" fillId="25" borderId="69" xfId="0" applyFont="1" applyFill="1" applyBorder="1" applyAlignment="1">
      <alignment vertical="center"/>
    </xf>
    <xf numFmtId="0" fontId="2" fillId="25" borderId="69" xfId="0" applyFont="1" applyFill="1" applyBorder="1" applyAlignment="1">
      <alignment vertical="center"/>
    </xf>
    <xf numFmtId="0" fontId="54" fillId="25" borderId="70" xfId="0" applyFont="1" applyFill="1" applyBorder="1"/>
    <xf numFmtId="0" fontId="54" fillId="25" borderId="71" xfId="0" applyFont="1" applyFill="1" applyBorder="1"/>
    <xf numFmtId="0" fontId="54" fillId="25" borderId="72" xfId="0" applyFont="1" applyFill="1" applyBorder="1" applyAlignment="1">
      <alignment vertical="center"/>
    </xf>
    <xf numFmtId="0" fontId="103" fillId="25" borderId="10" xfId="0" applyFont="1" applyFill="1" applyBorder="1" applyAlignment="1">
      <alignment horizontal="center" vertical="center" wrapText="1"/>
    </xf>
    <xf numFmtId="0" fontId="51" fillId="0" borderId="28" xfId="0" applyFont="1" applyBorder="1" applyAlignment="1">
      <alignment horizontal="left" vertical="center" indent="2"/>
    </xf>
    <xf numFmtId="0" fontId="11" fillId="23" borderId="28" xfId="0" applyFont="1" applyFill="1" applyBorder="1" applyAlignment="1">
      <alignment horizontal="left" vertical="center"/>
    </xf>
    <xf numFmtId="4" fontId="6" fillId="0" borderId="1" xfId="0" applyNumberFormat="1" applyFont="1" applyBorder="1"/>
    <xf numFmtId="175" fontId="6" fillId="0" borderId="1" xfId="26" applyNumberFormat="1" applyFont="1" applyBorder="1" applyProtection="1">
      <alignment/>
      <protection/>
    </xf>
    <xf numFmtId="4" fontId="6" fillId="0" borderId="6" xfId="21" applyNumberFormat="1" applyFont="1" applyFill="1" applyBorder="1" applyAlignment="1" applyProtection="1">
      <alignment horizontal="center"/>
      <protection/>
    </xf>
    <xf numFmtId="0" fontId="6" fillId="43" borderId="1" xfId="0" applyFont="1" applyFill="1" applyBorder="1" applyAlignment="1">
      <alignment horizontal="left" vertical="center"/>
    </xf>
    <xf numFmtId="4" fontId="6" fillId="43" borderId="1" xfId="21" applyNumberFormat="1" applyFont="1" applyFill="1" applyBorder="1" applyAlignment="1" applyProtection="1">
      <alignment horizontal="center"/>
      <protection/>
    </xf>
    <xf numFmtId="2" fontId="6" fillId="43" borderId="59" xfId="26" applyNumberFormat="1" applyFont="1" applyFill="1" applyBorder="1" applyAlignment="1" applyProtection="1">
      <alignment horizontal="center"/>
      <protection/>
    </xf>
    <xf numFmtId="0" fontId="6" fillId="0" borderId="28" xfId="0" applyFont="1" applyBorder="1" applyAlignment="1">
      <alignment horizontal="left" vertical="center" indent="1"/>
    </xf>
    <xf numFmtId="43" fontId="6" fillId="0" borderId="1" xfId="20" applyFont="1" applyFill="1" applyBorder="1" applyAlignment="1" applyProtection="1">
      <alignment/>
      <protection/>
    </xf>
    <xf numFmtId="43" fontId="6" fillId="3" borderId="1" xfId="20" applyFont="1" applyFill="1" applyBorder="1" applyAlignment="1" applyProtection="1">
      <alignment horizontal="right" vertical="top" wrapText="1"/>
      <protection/>
    </xf>
    <xf numFmtId="43" fontId="6" fillId="3" borderId="2" xfId="20" applyFont="1" applyFill="1" applyBorder="1" applyAlignment="1" applyProtection="1">
      <alignment horizontal="right" vertical="top" wrapText="1"/>
      <protection/>
    </xf>
    <xf numFmtId="43" fontId="6" fillId="3" borderId="4" xfId="20" applyFont="1" applyFill="1" applyBorder="1" applyAlignment="1" applyProtection="1">
      <alignment horizontal="right" vertical="top" wrapText="1"/>
      <protection/>
    </xf>
    <xf numFmtId="43" fontId="6" fillId="0" borderId="24" xfId="20" applyFont="1" applyFill="1" applyBorder="1" applyAlignment="1" applyProtection="1">
      <alignment/>
      <protection/>
    </xf>
    <xf numFmtId="10" fontId="6" fillId="3" borderId="4" xfId="21" applyNumberFormat="1" applyFont="1" applyFill="1" applyBorder="1" applyAlignment="1" applyProtection="1">
      <alignment horizontal="right" vertical="top" wrapText="1"/>
      <protection/>
    </xf>
    <xf numFmtId="0" fontId="73" fillId="43" borderId="1" xfId="0" applyFont="1" applyFill="1" applyBorder="1" applyAlignment="1">
      <alignment wrapText="1"/>
    </xf>
    <xf numFmtId="0" fontId="73" fillId="43" borderId="1" xfId="0" applyFont="1" applyFill="1" applyBorder="1" applyAlignment="1">
      <alignment horizontal="center" vertical="center" wrapText="1"/>
    </xf>
    <xf numFmtId="9" fontId="0" fillId="43" borderId="1" xfId="21" applyFont="1" applyFill="1" applyBorder="1" applyAlignment="1">
      <alignment horizontal="center" vertical="center" wrapText="1"/>
    </xf>
    <xf numFmtId="0" fontId="73" fillId="43" borderId="1" xfId="0" applyFont="1" applyFill="1" applyBorder="1" applyAlignment="1">
      <alignment horizontal="center" wrapText="1"/>
    </xf>
    <xf numFmtId="0" fontId="114" fillId="37" borderId="3" xfId="0" applyFont="1" applyFill="1" applyBorder="1" applyAlignment="1">
      <alignment horizontal="left" vertical="center" wrapText="1" indent="6"/>
    </xf>
    <xf numFmtId="0" fontId="114" fillId="37" borderId="23" xfId="0" applyFont="1" applyFill="1" applyBorder="1" applyAlignment="1">
      <alignment horizontal="left" vertical="center" wrapText="1" indent="6"/>
    </xf>
    <xf numFmtId="0" fontId="0" fillId="43" borderId="1" xfId="0" applyFill="1" applyBorder="1" applyAlignment="1">
      <alignment wrapText="1"/>
    </xf>
    <xf numFmtId="4" fontId="0" fillId="43" borderId="1" xfId="0" applyNumberFormat="1" applyFill="1" applyBorder="1" applyAlignment="1">
      <alignment horizontal="right" vertical="center" wrapText="1"/>
    </xf>
    <xf numFmtId="4" fontId="0" fillId="43" borderId="1" xfId="0" applyNumberFormat="1" applyFill="1" applyBorder="1" applyAlignment="1">
      <alignment wrapText="1"/>
    </xf>
    <xf numFmtId="0" fontId="68" fillId="27" borderId="23" xfId="0" applyFont="1" applyFill="1" applyBorder="1" applyAlignment="1">
      <alignment horizontal="left" vertical="top" indent="1"/>
    </xf>
    <xf numFmtId="0" fontId="106" fillId="42" borderId="15" xfId="0" applyFont="1" applyFill="1" applyBorder="1" applyAlignment="1">
      <alignment horizontal="center" vertical="center" wrapText="1"/>
    </xf>
    <xf numFmtId="0" fontId="0" fillId="12" borderId="23" xfId="0" applyFill="1" applyBorder="1"/>
    <xf numFmtId="43" fontId="0" fillId="12" borderId="6" xfId="0" applyNumberFormat="1" applyFill="1" applyBorder="1"/>
    <xf numFmtId="0" fontId="0" fillId="12" borderId="6" xfId="0" applyFill="1" applyBorder="1"/>
    <xf numFmtId="0" fontId="68" fillId="12" borderId="23" xfId="0" applyFont="1" applyFill="1" applyBorder="1" applyAlignment="1">
      <alignment horizontal="left" vertical="center" indent="1"/>
    </xf>
    <xf numFmtId="0" fontId="0" fillId="12" borderId="6" xfId="0" applyFill="1" applyBorder="1" applyAlignment="1">
      <alignment horizontal="center" vertical="center"/>
    </xf>
    <xf numFmtId="4" fontId="68" fillId="12" borderId="6" xfId="0" applyNumberFormat="1" applyFont="1" applyFill="1" applyBorder="1" applyAlignment="1">
      <alignment horizontal="center" vertical="center"/>
    </xf>
    <xf numFmtId="0" fontId="68" fillId="12" borderId="3" xfId="0" applyFont="1" applyFill="1" applyBorder="1" applyAlignment="1">
      <alignment horizontal="left" vertical="center" indent="4"/>
    </xf>
    <xf numFmtId="0" fontId="68" fillId="12" borderId="1" xfId="0" applyFont="1" applyFill="1" applyBorder="1" applyAlignment="1">
      <alignment horizontal="center" vertical="center"/>
    </xf>
    <xf numFmtId="2" fontId="68" fillId="12" borderId="1" xfId="0" applyNumberFormat="1" applyFont="1" applyFill="1" applyBorder="1" applyAlignment="1">
      <alignment horizontal="center" vertical="center"/>
    </xf>
    <xf numFmtId="4" fontId="68" fillId="12" borderId="1" xfId="0" applyNumberFormat="1" applyFont="1" applyFill="1" applyBorder="1" applyAlignment="1">
      <alignment horizontal="center" vertical="center" wrapText="1"/>
    </xf>
    <xf numFmtId="4" fontId="0" fillId="12" borderId="1" xfId="0" applyNumberFormat="1" applyFill="1" applyBorder="1" applyAlignment="1">
      <alignment horizontal="center" vertical="center"/>
    </xf>
    <xf numFmtId="4" fontId="0" fillId="12" borderId="0" xfId="0" applyNumberFormat="1" applyFill="1" applyAlignment="1">
      <alignment horizontal="center" vertical="center"/>
    </xf>
    <xf numFmtId="0" fontId="68" fillId="27" borderId="13" xfId="0" applyFont="1" applyFill="1" applyBorder="1" applyAlignment="1">
      <alignment vertical="center"/>
    </xf>
    <xf numFmtId="0" fontId="68" fillId="27" borderId="8" xfId="0" applyFont="1" applyFill="1" applyBorder="1" applyAlignment="1">
      <alignment vertical="center"/>
    </xf>
    <xf numFmtId="0" fontId="9" fillId="25" borderId="73" xfId="0" applyFont="1" applyFill="1" applyBorder="1" applyAlignment="1">
      <alignment horizontal="center" vertical="center"/>
    </xf>
    <xf numFmtId="0" fontId="9" fillId="25" borderId="74" xfId="0" applyFont="1" applyFill="1" applyBorder="1" applyAlignment="1">
      <alignment horizontal="center" vertical="center"/>
    </xf>
    <xf numFmtId="0" fontId="9" fillId="25" borderId="75" xfId="0" applyFont="1" applyFill="1" applyBorder="1" applyAlignment="1">
      <alignment horizontal="center" vertical="center"/>
    </xf>
    <xf numFmtId="0" fontId="6" fillId="0" borderId="10" xfId="0" applyFont="1" applyBorder="1"/>
    <xf numFmtId="0" fontId="6" fillId="0" borderId="63" xfId="0" applyFont="1" applyBorder="1"/>
    <xf numFmtId="0" fontId="103" fillId="25" borderId="6" xfId="0" applyFont="1" applyFill="1" applyBorder="1" applyAlignment="1">
      <alignment horizontal="center" vertical="center" wrapText="1"/>
    </xf>
    <xf numFmtId="0" fontId="103" fillId="25" borderId="60" xfId="0" applyFont="1" applyFill="1" applyBorder="1" applyAlignment="1">
      <alignment horizontal="center" vertical="center" wrapText="1"/>
    </xf>
    <xf numFmtId="0" fontId="104" fillId="25" borderId="48" xfId="0" applyFont="1" applyFill="1" applyBorder="1"/>
    <xf numFmtId="0" fontId="104" fillId="25" borderId="10" xfId="0" applyFont="1" applyFill="1" applyBorder="1"/>
    <xf numFmtId="0" fontId="103" fillId="25" borderId="63" xfId="0" applyFont="1" applyFill="1" applyBorder="1" applyAlignment="1">
      <alignment horizontal="center" vertical="center" wrapText="1"/>
    </xf>
    <xf numFmtId="0" fontId="104" fillId="25" borderId="38" xfId="0" applyFont="1" applyFill="1" applyBorder="1"/>
    <xf numFmtId="0" fontId="104" fillId="25" borderId="58" xfId="0" applyFont="1" applyFill="1" applyBorder="1"/>
    <xf numFmtId="43" fontId="0" fillId="0" borderId="0" xfId="0" applyNumberFormat="1"/>
    <xf numFmtId="0" fontId="10" fillId="2" borderId="4" xfId="0" applyFont="1" applyFill="1" applyBorder="1" applyAlignment="1">
      <alignment vertical="center"/>
    </xf>
    <xf numFmtId="0" fontId="10" fillId="2" borderId="28" xfId="0" applyFont="1" applyFill="1" applyBorder="1" applyAlignment="1">
      <alignment vertical="center"/>
    </xf>
    <xf numFmtId="0" fontId="10" fillId="2" borderId="76" xfId="0" applyFont="1" applyFill="1" applyBorder="1" applyAlignment="1">
      <alignment vertical="center"/>
    </xf>
    <xf numFmtId="0" fontId="10" fillId="0" borderId="4" xfId="0" applyFont="1" applyBorder="1" applyAlignment="1">
      <alignment vertical="center"/>
    </xf>
    <xf numFmtId="0" fontId="10" fillId="0" borderId="28" xfId="0" applyFont="1" applyBorder="1" applyAlignment="1">
      <alignment vertical="center"/>
    </xf>
    <xf numFmtId="0" fontId="10" fillId="0" borderId="76" xfId="0" applyFont="1" applyBorder="1" applyAlignment="1">
      <alignment vertical="center"/>
    </xf>
    <xf numFmtId="0" fontId="6" fillId="25" borderId="1" xfId="0" applyFont="1" applyFill="1" applyBorder="1" applyAlignment="1">
      <alignment horizontal="left" indent="2"/>
    </xf>
    <xf numFmtId="0" fontId="37" fillId="2" borderId="28" xfId="0" applyFont="1" applyFill="1" applyBorder="1" applyAlignment="1">
      <alignment horizontal="left" vertical="center" indent="1"/>
    </xf>
    <xf numFmtId="0" fontId="38" fillId="25" borderId="22" xfId="24" applyFont="1" applyFill="1" applyBorder="1" applyAlignment="1">
      <alignment horizontal="center" vertical="center" wrapText="1"/>
      <protection/>
    </xf>
    <xf numFmtId="0" fontId="38" fillId="25" borderId="77" xfId="24" applyFont="1" applyFill="1" applyBorder="1" applyAlignment="1">
      <alignment horizontal="center" vertical="center" wrapText="1"/>
      <protection/>
    </xf>
    <xf numFmtId="0" fontId="38" fillId="25" borderId="42" xfId="24" applyFont="1" applyFill="1" applyBorder="1" applyAlignment="1">
      <alignment horizontal="center" vertical="center" wrapText="1"/>
      <protection/>
    </xf>
    <xf numFmtId="0" fontId="38" fillId="25" borderId="34" xfId="24" applyFont="1" applyFill="1" applyBorder="1" applyAlignment="1">
      <alignment horizontal="center" vertical="center" wrapText="1"/>
      <protection/>
    </xf>
    <xf numFmtId="0" fontId="38" fillId="25" borderId="16" xfId="24" applyFont="1" applyFill="1" applyBorder="1" applyAlignment="1">
      <alignment horizontal="center" vertical="center" wrapText="1"/>
      <protection/>
    </xf>
    <xf numFmtId="0" fontId="57" fillId="25" borderId="78" xfId="0" applyFont="1" applyFill="1" applyBorder="1" applyAlignment="1">
      <alignment horizontal="left" vertical="center"/>
    </xf>
    <xf numFmtId="43" fontId="6" fillId="2" borderId="0" xfId="21" applyNumberFormat="1" applyFont="1" applyFill="1"/>
    <xf numFmtId="9" fontId="35" fillId="0" borderId="1" xfId="21" applyFont="1" applyFill="1" applyBorder="1" applyAlignment="1" applyProtection="1">
      <alignment horizontal="center"/>
      <protection/>
    </xf>
    <xf numFmtId="9" fontId="35" fillId="19" borderId="1" xfId="21" applyFont="1" applyFill="1" applyBorder="1" applyAlignment="1" applyProtection="1">
      <alignment horizontal="center"/>
      <protection/>
    </xf>
    <xf numFmtId="0" fontId="6" fillId="2" borderId="0" xfId="24" applyFont="1" applyFill="1" applyAlignment="1">
      <alignment horizontal="center" vertical="center" wrapText="1"/>
      <protection/>
    </xf>
    <xf numFmtId="0" fontId="21" fillId="10" borderId="79" xfId="24" applyFont="1" applyFill="1" applyBorder="1" applyAlignment="1">
      <alignment horizontal="center" vertical="center" wrapText="1"/>
      <protection/>
    </xf>
    <xf numFmtId="0" fontId="21" fillId="10" borderId="80" xfId="24" applyFont="1" applyFill="1" applyBorder="1" applyAlignment="1">
      <alignment horizontal="center" vertical="center" wrapText="1"/>
      <protection/>
    </xf>
    <xf numFmtId="0" fontId="14" fillId="11" borderId="0" xfId="24" applyFont="1" applyFill="1" applyAlignment="1">
      <alignment horizontal="center" vertical="center"/>
      <protection/>
    </xf>
    <xf numFmtId="0" fontId="30" fillId="2" borderId="0" xfId="24" applyFont="1" applyFill="1" applyAlignment="1">
      <alignment horizontal="center" vertical="center"/>
      <protection/>
    </xf>
    <xf numFmtId="0" fontId="6" fillId="18" borderId="28" xfId="24" applyFont="1" applyFill="1" applyBorder="1" applyAlignment="1">
      <alignment horizontal="center" vertical="center" wrapText="1"/>
      <protection/>
    </xf>
    <xf numFmtId="0" fontId="6" fillId="2" borderId="1" xfId="24" applyFont="1" applyFill="1" applyBorder="1" applyAlignment="1">
      <alignment horizontal="center" vertical="center" wrapText="1"/>
      <protection/>
    </xf>
    <xf numFmtId="0" fontId="6" fillId="2" borderId="6" xfId="24" applyFont="1" applyFill="1" applyBorder="1" applyAlignment="1">
      <alignment horizontal="center" vertical="center" wrapText="1"/>
      <protection/>
    </xf>
    <xf numFmtId="4" fontId="33" fillId="0" borderId="1" xfId="0" applyNumberFormat="1" applyFont="1" applyBorder="1" applyAlignment="1">
      <alignment horizontal="right" vertical="center"/>
    </xf>
    <xf numFmtId="0" fontId="38" fillId="2" borderId="1" xfId="0" applyFont="1" applyFill="1" applyBorder="1" applyAlignment="1">
      <alignment horizontal="left"/>
    </xf>
    <xf numFmtId="43" fontId="6" fillId="2" borderId="0" xfId="20" applyFont="1" applyFill="1"/>
    <xf numFmtId="0" fontId="35" fillId="20" borderId="16" xfId="0" applyFont="1" applyFill="1" applyBorder="1" applyAlignment="1">
      <alignment horizontal="right" wrapText="1" indent="1"/>
    </xf>
    <xf numFmtId="4" fontId="35" fillId="0" borderId="16" xfId="0" applyNumberFormat="1" applyFont="1" applyBorder="1" applyAlignment="1">
      <alignment horizontal="right" wrapText="1" indent="1"/>
    </xf>
    <xf numFmtId="4" fontId="35" fillId="12" borderId="16" xfId="0" applyNumberFormat="1" applyFont="1" applyFill="1" applyBorder="1" applyAlignment="1">
      <alignment horizontal="right" wrapText="1" indent="1"/>
    </xf>
    <xf numFmtId="173" fontId="35" fillId="12" borderId="16" xfId="0" applyNumberFormat="1" applyFont="1" applyFill="1" applyBorder="1" applyAlignment="1">
      <alignment horizontal="right" wrapText="1" indent="1"/>
    </xf>
    <xf numFmtId="170" fontId="35" fillId="12" borderId="16" xfId="0" applyNumberFormat="1" applyFont="1" applyFill="1" applyBorder="1" applyAlignment="1">
      <alignment horizontal="right" wrapText="1" indent="1"/>
    </xf>
    <xf numFmtId="4" fontId="32" fillId="12" borderId="16" xfId="0" applyNumberFormat="1" applyFont="1" applyFill="1" applyBorder="1" applyAlignment="1">
      <alignment horizontal="right" wrapText="1" indent="1"/>
    </xf>
    <xf numFmtId="43" fontId="35" fillId="0" borderId="16" xfId="20" applyFont="1" applyBorder="1" applyAlignment="1">
      <alignment horizontal="left" wrapText="1" indent="1"/>
    </xf>
    <xf numFmtId="43" fontId="35" fillId="12" borderId="16" xfId="20" applyFont="1" applyFill="1" applyBorder="1" applyAlignment="1">
      <alignment horizontal="left" wrapText="1" indent="1"/>
    </xf>
    <xf numFmtId="43" fontId="35" fillId="0" borderId="16" xfId="20" applyFont="1" applyBorder="1" applyAlignment="1">
      <alignment horizontal="right"/>
    </xf>
    <xf numFmtId="43" fontId="32" fillId="12" borderId="16" xfId="20" applyFont="1" applyFill="1" applyBorder="1" applyAlignment="1">
      <alignment horizontal="right"/>
    </xf>
    <xf numFmtId="43" fontId="32" fillId="12" borderId="16" xfId="20" applyFont="1" applyFill="1" applyBorder="1" applyAlignment="1">
      <alignment wrapText="1"/>
    </xf>
    <xf numFmtId="43" fontId="35" fillId="0" borderId="16" xfId="20" applyFont="1" applyBorder="1" applyAlignment="1">
      <alignment horizontal="right" wrapText="1" indent="1"/>
    </xf>
    <xf numFmtId="43" fontId="35" fillId="12" borderId="16" xfId="20" applyFont="1" applyFill="1" applyBorder="1" applyAlignment="1">
      <alignment horizontal="right" wrapText="1" indent="1"/>
    </xf>
    <xf numFmtId="43" fontId="35" fillId="20" borderId="16" xfId="20" applyFont="1" applyFill="1" applyBorder="1" applyAlignment="1">
      <alignment horizontal="right" wrapText="1"/>
    </xf>
    <xf numFmtId="43" fontId="35" fillId="0" borderId="1" xfId="20" applyFont="1" applyFill="1" applyBorder="1" applyAlignment="1">
      <alignment horizontal="right" vertical="top" wrapText="1"/>
    </xf>
    <xf numFmtId="43" fontId="35" fillId="0" borderId="0" xfId="20" applyFont="1" applyFill="1" applyBorder="1" applyAlignment="1">
      <alignment horizontal="left" vertical="top" wrapText="1"/>
    </xf>
    <xf numFmtId="43" fontId="35" fillId="0" borderId="0" xfId="20" applyFont="1" applyFill="1" applyBorder="1" applyAlignment="1">
      <alignment vertical="top" wrapText="1"/>
    </xf>
    <xf numFmtId="43" fontId="32" fillId="0" borderId="0" xfId="20" applyFont="1" applyFill="1" applyBorder="1" applyAlignment="1">
      <alignment horizontal="right" vertical="top" wrapText="1"/>
    </xf>
    <xf numFmtId="43" fontId="32" fillId="0" borderId="1" xfId="20" applyFont="1" applyFill="1" applyBorder="1" applyAlignment="1">
      <alignment horizontal="right" vertical="top" wrapText="1"/>
    </xf>
    <xf numFmtId="1" fontId="35" fillId="2" borderId="1" xfId="0" applyNumberFormat="1" applyFont="1" applyFill="1" applyBorder="1"/>
    <xf numFmtId="43" fontId="32" fillId="12" borderId="1" xfId="20" applyFont="1" applyFill="1" applyBorder="1" applyAlignment="1" applyProtection="1">
      <alignment horizontal="right"/>
      <protection/>
    </xf>
    <xf numFmtId="43" fontId="35" fillId="0" borderId="0" xfId="20" applyFont="1" applyFill="1" applyBorder="1" applyAlignment="1" applyProtection="1">
      <alignment horizontal="right"/>
      <protection/>
    </xf>
    <xf numFmtId="43" fontId="35" fillId="0" borderId="1" xfId="20" applyFont="1" applyBorder="1" applyAlignment="1">
      <alignment horizontal="left" vertical="top" wrapText="1"/>
    </xf>
    <xf numFmtId="43" fontId="32" fillId="12" borderId="1" xfId="20" applyFont="1" applyFill="1" applyBorder="1" applyAlignment="1">
      <alignment vertical="top" wrapText="1"/>
    </xf>
    <xf numFmtId="43" fontId="32" fillId="12" borderId="1" xfId="20" applyFont="1" applyFill="1" applyBorder="1" applyAlignment="1">
      <alignment horizontal="left" vertical="top" wrapText="1"/>
    </xf>
    <xf numFmtId="0" fontId="35" fillId="0" borderId="1" xfId="20" applyNumberFormat="1" applyFont="1" applyBorder="1" applyAlignment="1">
      <alignment horizontal="left" vertical="top" wrapText="1"/>
    </xf>
    <xf numFmtId="43" fontId="33" fillId="0" borderId="1" xfId="20" applyFont="1" applyFill="1" applyBorder="1" applyAlignment="1">
      <alignment horizontal="left" vertical="center"/>
    </xf>
    <xf numFmtId="0" fontId="42" fillId="0" borderId="1" xfId="0" applyFont="1" applyBorder="1" applyAlignment="1">
      <alignment vertical="center" wrapText="1"/>
    </xf>
    <xf numFmtId="0" fontId="35" fillId="0" borderId="1" xfId="0" applyFont="1" applyBorder="1" applyAlignment="1">
      <alignment vertical="center" wrapText="1"/>
    </xf>
    <xf numFmtId="43" fontId="42" fillId="0" borderId="1" xfId="20" applyFont="1" applyFill="1" applyBorder="1" applyAlignment="1">
      <alignment horizontal="left" vertical="center" wrapText="1"/>
    </xf>
    <xf numFmtId="43" fontId="33" fillId="0" borderId="1" xfId="20" applyFont="1" applyFill="1" applyBorder="1" applyAlignment="1">
      <alignment horizontal="left" vertical="center" wrapText="1"/>
    </xf>
    <xf numFmtId="43" fontId="35" fillId="15" borderId="1" xfId="20" applyFont="1" applyFill="1" applyBorder="1" applyAlignment="1">
      <alignment horizontal="center" vertical="center" wrapText="1"/>
    </xf>
    <xf numFmtId="43" fontId="35" fillId="16" borderId="1" xfId="20" applyFont="1" applyFill="1" applyBorder="1" applyAlignment="1">
      <alignment horizontal="center" vertical="center" wrapText="1"/>
    </xf>
    <xf numFmtId="43" fontId="35" fillId="17" borderId="1" xfId="20" applyFont="1" applyFill="1" applyBorder="1" applyAlignment="1">
      <alignment horizontal="center" vertical="center" wrapText="1"/>
    </xf>
    <xf numFmtId="43" fontId="35" fillId="0" borderId="1" xfId="20" applyFont="1" applyFill="1" applyBorder="1" applyAlignment="1">
      <alignment horizontal="center" vertical="center" wrapText="1"/>
    </xf>
    <xf numFmtId="9" fontId="35" fillId="0" borderId="1" xfId="21" applyFont="1" applyFill="1" applyBorder="1" applyAlignment="1">
      <alignment horizontal="right" vertical="center" wrapText="1"/>
    </xf>
    <xf numFmtId="0" fontId="30" fillId="2" borderId="0" xfId="24" applyFont="1" applyFill="1" applyAlignment="1">
      <alignment horizontal="center"/>
      <protection/>
    </xf>
    <xf numFmtId="0" fontId="6" fillId="18" borderId="76" xfId="24" applyFont="1" applyFill="1" applyBorder="1" applyAlignment="1">
      <alignment horizontal="center" vertical="top" wrapText="1"/>
      <protection/>
    </xf>
    <xf numFmtId="0" fontId="6" fillId="2" borderId="59" xfId="24" applyFont="1" applyFill="1" applyBorder="1" applyAlignment="1">
      <alignment horizontal="center" vertical="top" wrapText="1"/>
      <protection/>
    </xf>
    <xf numFmtId="0" fontId="6" fillId="2" borderId="60" xfId="24" applyFont="1" applyFill="1" applyBorder="1" applyAlignment="1">
      <alignment horizontal="center" vertical="top" wrapText="1"/>
      <protection/>
    </xf>
    <xf numFmtId="0" fontId="32" fillId="12" borderId="1" xfId="0" applyFont="1" applyFill="1" applyBorder="1" applyAlignment="1">
      <alignment horizontal="center" vertical="top" wrapText="1"/>
    </xf>
    <xf numFmtId="4" fontId="32" fillId="0" borderId="41" xfId="0" applyNumberFormat="1" applyFont="1" applyBorder="1" applyAlignment="1">
      <alignment horizontal="center" vertical="center" wrapText="1"/>
    </xf>
    <xf numFmtId="0" fontId="117" fillId="44" borderId="1" xfId="0" applyFont="1" applyFill="1" applyBorder="1" applyAlignment="1">
      <alignment horizontal="center" vertical="center" wrapText="1"/>
    </xf>
    <xf numFmtId="0" fontId="37" fillId="0" borderId="1" xfId="0" applyFont="1" applyBorder="1" applyAlignment="1">
      <alignment horizontal="center" vertical="center" wrapText="1"/>
    </xf>
    <xf numFmtId="43" fontId="37" fillId="0" borderId="1" xfId="20" applyFont="1" applyBorder="1" applyAlignment="1">
      <alignment horizontal="center" vertical="center" wrapText="1"/>
    </xf>
    <xf numFmtId="43" fontId="37" fillId="44" borderId="1" xfId="20" applyFont="1" applyFill="1" applyBorder="1" applyAlignment="1">
      <alignment horizontal="center" vertical="center" wrapText="1"/>
    </xf>
    <xf numFmtId="0" fontId="117" fillId="44" borderId="81" xfId="0" applyFont="1" applyFill="1" applyBorder="1" applyAlignment="1">
      <alignment horizontal="center" vertical="center" wrapText="1"/>
    </xf>
    <xf numFmtId="0" fontId="117" fillId="44" borderId="24" xfId="0" applyFont="1" applyFill="1" applyBorder="1" applyAlignment="1">
      <alignment horizontal="center" vertical="center" wrapText="1"/>
    </xf>
    <xf numFmtId="43" fontId="38" fillId="0" borderId="24" xfId="20" applyFont="1" applyBorder="1" applyAlignment="1">
      <alignment horizontal="center" vertical="center" wrapText="1"/>
    </xf>
    <xf numFmtId="43" fontId="37" fillId="0" borderId="24" xfId="20" applyFont="1" applyBorder="1" applyAlignment="1">
      <alignment horizontal="center" vertical="center" wrapText="1"/>
    </xf>
    <xf numFmtId="43" fontId="37" fillId="44" borderId="24" xfId="20" applyFont="1" applyFill="1" applyBorder="1" applyAlignment="1">
      <alignment horizontal="center" vertical="center" wrapText="1"/>
    </xf>
    <xf numFmtId="43" fontId="117" fillId="45" borderId="25" xfId="20" applyFont="1" applyFill="1" applyBorder="1" applyAlignment="1">
      <alignment horizontal="center" vertical="center" wrapText="1"/>
    </xf>
    <xf numFmtId="0" fontId="117" fillId="44" borderId="3" xfId="0" applyFont="1" applyFill="1" applyBorder="1" applyAlignment="1">
      <alignment horizontal="center" vertical="center" wrapText="1"/>
    </xf>
    <xf numFmtId="0" fontId="117" fillId="44" borderId="59" xfId="0" applyFont="1" applyFill="1" applyBorder="1" applyAlignment="1">
      <alignment horizontal="center" vertical="center" wrapText="1"/>
    </xf>
    <xf numFmtId="10" fontId="38" fillId="0" borderId="59" xfId="21" applyNumberFormat="1" applyFont="1" applyBorder="1" applyAlignment="1">
      <alignment horizontal="center" vertical="center" wrapText="1"/>
    </xf>
    <xf numFmtId="43" fontId="37" fillId="0" borderId="3" xfId="20" applyFont="1" applyBorder="1" applyAlignment="1">
      <alignment horizontal="center" vertical="center" wrapText="1"/>
    </xf>
    <xf numFmtId="10" fontId="37" fillId="0" borderId="59" xfId="21" applyNumberFormat="1" applyFont="1" applyBorder="1" applyAlignment="1">
      <alignment horizontal="center" vertical="center" wrapText="1"/>
    </xf>
    <xf numFmtId="43" fontId="37" fillId="44" borderId="3" xfId="20" applyFont="1" applyFill="1" applyBorder="1" applyAlignment="1">
      <alignment horizontal="center" vertical="center" wrapText="1"/>
    </xf>
    <xf numFmtId="43" fontId="37" fillId="44" borderId="59" xfId="20" applyFont="1" applyFill="1" applyBorder="1" applyAlignment="1">
      <alignment horizontal="center" vertical="center" wrapText="1"/>
    </xf>
    <xf numFmtId="10" fontId="37" fillId="0" borderId="59" xfId="21" applyNumberFormat="1" applyFont="1" applyBorder="1" applyAlignment="1">
      <alignment vertical="center" wrapText="1"/>
    </xf>
    <xf numFmtId="43" fontId="117" fillId="45" borderId="23" xfId="20" applyFont="1" applyFill="1" applyBorder="1" applyAlignment="1">
      <alignment horizontal="center" vertical="center" wrapText="1"/>
    </xf>
    <xf numFmtId="43" fontId="117" fillId="45" borderId="6" xfId="20" applyFont="1" applyFill="1" applyBorder="1" applyAlignment="1">
      <alignment horizontal="center" vertical="center" wrapText="1"/>
    </xf>
    <xf numFmtId="10" fontId="117" fillId="45" borderId="60" xfId="21" applyNumberFormat="1" applyFont="1" applyFill="1" applyBorder="1" applyAlignment="1">
      <alignment horizontal="center" vertical="center" wrapText="1"/>
    </xf>
    <xf numFmtId="43" fontId="37" fillId="0" borderId="3" xfId="20" applyFont="1" applyBorder="1" applyAlignment="1">
      <alignment vertical="center" wrapText="1"/>
    </xf>
    <xf numFmtId="0" fontId="37" fillId="0" borderId="4" xfId="0" applyFont="1" applyBorder="1" applyAlignment="1">
      <alignment vertical="center" wrapText="1"/>
    </xf>
    <xf numFmtId="0" fontId="33" fillId="0" borderId="4" xfId="0" applyFont="1" applyBorder="1" applyAlignment="1">
      <alignment vertical="center" wrapText="1"/>
    </xf>
    <xf numFmtId="43" fontId="37" fillId="0" borderId="24" xfId="20" applyFont="1" applyFill="1" applyBorder="1" applyAlignment="1">
      <alignment horizontal="center" vertical="center" wrapText="1"/>
    </xf>
    <xf numFmtId="0" fontId="39" fillId="12" borderId="1" xfId="0" applyFont="1" applyFill="1" applyBorder="1" applyAlignment="1">
      <alignment horizontal="center" wrapText="1"/>
    </xf>
    <xf numFmtId="0" fontId="33" fillId="0" borderId="1" xfId="0" applyFont="1" applyBorder="1" applyAlignment="1">
      <alignment horizontal="right" vertical="center" wrapText="1"/>
    </xf>
    <xf numFmtId="168" fontId="33" fillId="0" borderId="1" xfId="0" applyNumberFormat="1" applyFont="1" applyBorder="1" applyAlignment="1">
      <alignment horizontal="right" wrapText="1"/>
    </xf>
    <xf numFmtId="0" fontId="33" fillId="0" borderId="10" xfId="0" applyFont="1" applyBorder="1" applyAlignment="1">
      <alignment horizontal="right" vertical="center" wrapText="1"/>
    </xf>
    <xf numFmtId="0" fontId="33" fillId="0" borderId="10" xfId="0" applyFont="1" applyBorder="1" applyAlignment="1">
      <alignment horizontal="left" vertical="center" wrapText="1"/>
    </xf>
    <xf numFmtId="43" fontId="35" fillId="29" borderId="1" xfId="20" applyFont="1" applyFill="1" applyBorder="1" applyAlignment="1">
      <alignment horizontal="center" vertical="center" wrapText="1"/>
    </xf>
    <xf numFmtId="0" fontId="33" fillId="0" borderId="0" xfId="0" applyFont="1" applyAlignment="1">
      <alignment horizontal="right" vertical="center" wrapText="1"/>
    </xf>
    <xf numFmtId="43" fontId="35" fillId="12" borderId="1" xfId="20" applyFont="1" applyFill="1" applyBorder="1" applyAlignment="1">
      <alignment horizontal="center" vertical="center" wrapText="1"/>
    </xf>
    <xf numFmtId="166" fontId="32" fillId="0" borderId="1" xfId="0" applyNumberFormat="1" applyFont="1" applyBorder="1" applyAlignment="1">
      <alignment horizontal="left" wrapText="1"/>
    </xf>
    <xf numFmtId="43" fontId="32" fillId="0" borderId="1" xfId="20" applyFont="1" applyFill="1" applyBorder="1" applyAlignment="1" applyProtection="1">
      <alignment horizontal="center" wrapText="1"/>
      <protection/>
    </xf>
    <xf numFmtId="4" fontId="32" fillId="0" borderId="1" xfId="0" applyNumberFormat="1" applyFont="1" applyBorder="1" applyAlignment="1">
      <alignment horizontal="left" wrapText="1"/>
    </xf>
    <xf numFmtId="0" fontId="119" fillId="0" borderId="0" xfId="0" applyFont="1"/>
    <xf numFmtId="43" fontId="33" fillId="0" borderId="1" xfId="20" applyFont="1" applyBorder="1" applyAlignment="1">
      <alignment horizontal="center" vertical="center" wrapText="1"/>
    </xf>
    <xf numFmtId="4" fontId="32" fillId="0" borderId="43" xfId="0" applyNumberFormat="1" applyFont="1" applyBorder="1" applyAlignment="1">
      <alignment horizontal="center" vertical="center" wrapText="1"/>
    </xf>
    <xf numFmtId="4" fontId="32" fillId="0" borderId="37" xfId="0" applyNumberFormat="1" applyFont="1" applyBorder="1" applyAlignment="1">
      <alignment horizontal="center" vertical="center" wrapText="1"/>
    </xf>
    <xf numFmtId="0" fontId="35" fillId="0" borderId="21" xfId="0" applyFont="1" applyBorder="1" applyAlignment="1">
      <alignment horizontal="center" wrapText="1"/>
    </xf>
    <xf numFmtId="0" fontId="32" fillId="0" borderId="16" xfId="0" applyFont="1" applyBorder="1" applyAlignment="1">
      <alignment horizontal="center" vertical="center" wrapText="1"/>
    </xf>
    <xf numFmtId="0" fontId="32" fillId="0" borderId="34" xfId="0" applyFont="1" applyBorder="1" applyAlignment="1">
      <alignment horizontal="center" vertical="center" wrapText="1"/>
    </xf>
    <xf numFmtId="0" fontId="39" fillId="0" borderId="0" xfId="0" applyFont="1" applyAlignment="1">
      <alignment vertical="center"/>
    </xf>
    <xf numFmtId="0" fontId="73" fillId="0" borderId="0" xfId="0" applyFont="1" applyAlignment="1">
      <alignment vertical="center"/>
    </xf>
    <xf numFmtId="0" fontId="73" fillId="0" borderId="0" xfId="0" applyFont="1"/>
    <xf numFmtId="0" fontId="32" fillId="0" borderId="19" xfId="0" applyFont="1" applyBorder="1" applyAlignment="1">
      <alignment horizontal="center" vertical="center" wrapText="1"/>
    </xf>
    <xf numFmtId="0" fontId="32" fillId="0" borderId="16" xfId="0" applyFont="1" applyBorder="1" applyAlignment="1">
      <alignment horizontal="center" vertical="top" wrapText="1"/>
    </xf>
    <xf numFmtId="0" fontId="32" fillId="0" borderId="16" xfId="0" applyFont="1" applyBorder="1" applyAlignment="1">
      <alignment horizontal="center" wrapText="1"/>
    </xf>
    <xf numFmtId="0" fontId="32" fillId="0" borderId="34" xfId="0" applyFont="1" applyBorder="1" applyAlignment="1">
      <alignment horizontal="center" vertical="top" wrapText="1"/>
    </xf>
    <xf numFmtId="0" fontId="32" fillId="0" borderId="37"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7" xfId="0" applyFont="1" applyBorder="1" applyAlignment="1">
      <alignment horizontal="center" vertical="center" wrapText="1"/>
    </xf>
    <xf numFmtId="0" fontId="32" fillId="20" borderId="19" xfId="0" applyFont="1" applyFill="1" applyBorder="1" applyAlignment="1">
      <alignment horizontal="center" wrapText="1"/>
    </xf>
    <xf numFmtId="0" fontId="32" fillId="0" borderId="21" xfId="0" applyFont="1" applyBorder="1" applyAlignment="1">
      <alignment horizontal="center" vertical="top" wrapText="1"/>
    </xf>
    <xf numFmtId="0" fontId="32" fillId="0" borderId="21" xfId="0" applyFont="1" applyBorder="1" applyAlignment="1">
      <alignment horizontal="center" vertical="center" wrapText="1"/>
    </xf>
    <xf numFmtId="0" fontId="32" fillId="20" borderId="47" xfId="0" applyFont="1" applyFill="1" applyBorder="1" applyAlignment="1">
      <alignment horizontal="right" wrapText="1" indent="1"/>
    </xf>
    <xf numFmtId="43" fontId="35" fillId="0" borderId="22" xfId="20" applyFont="1" applyBorder="1" applyAlignment="1">
      <alignment horizontal="right" wrapText="1"/>
    </xf>
    <xf numFmtId="43" fontId="35" fillId="20" borderId="22" xfId="20" applyFont="1" applyFill="1" applyBorder="1"/>
    <xf numFmtId="2" fontId="32" fillId="12" borderId="18" xfId="20" applyNumberFormat="1" applyFont="1" applyFill="1" applyBorder="1" applyAlignment="1">
      <alignment horizontal="center" vertical="top" wrapText="1"/>
    </xf>
    <xf numFmtId="2" fontId="32" fillId="12" borderId="21" xfId="20" applyNumberFormat="1" applyFont="1" applyFill="1" applyBorder="1" applyAlignment="1">
      <alignment horizontal="center" vertical="top" wrapText="1"/>
    </xf>
    <xf numFmtId="165" fontId="32" fillId="0" borderId="1" xfId="20" applyNumberFormat="1" applyFont="1" applyFill="1" applyBorder="1" applyAlignment="1" applyProtection="1">
      <alignment horizontal="right"/>
      <protection/>
    </xf>
    <xf numFmtId="43" fontId="77" fillId="26" borderId="0" xfId="20" applyFont="1" applyFill="1" applyAlignment="1">
      <alignment vertical="center"/>
    </xf>
    <xf numFmtId="43" fontId="73" fillId="15" borderId="0" xfId="20" applyFont="1" applyFill="1" applyAlignment="1">
      <alignment vertical="center"/>
    </xf>
    <xf numFmtId="43" fontId="32" fillId="12" borderId="1" xfId="20" applyFont="1" applyFill="1" applyBorder="1" applyAlignment="1">
      <alignment horizontal="center" wrapText="1"/>
    </xf>
    <xf numFmtId="43" fontId="32" fillId="0" borderId="1" xfId="20" applyFont="1" applyFill="1" applyBorder="1" applyAlignment="1" applyProtection="1">
      <alignment horizontal="right" wrapText="1"/>
      <protection/>
    </xf>
    <xf numFmtId="43" fontId="39" fillId="0" borderId="0" xfId="20" applyFont="1" applyBorder="1" applyAlignment="1">
      <alignment/>
    </xf>
    <xf numFmtId="43" fontId="35" fillId="0" borderId="0" xfId="20" applyFont="1" applyFill="1" applyBorder="1" applyAlignment="1" applyProtection="1">
      <alignment horizontal="right" vertical="center"/>
      <protection/>
    </xf>
    <xf numFmtId="43" fontId="35" fillId="0" borderId="0" xfId="20" applyFont="1" applyBorder="1" applyAlignment="1">
      <alignment horizontal="left" vertical="top"/>
    </xf>
    <xf numFmtId="43" fontId="32" fillId="12" borderId="1" xfId="20" applyFont="1" applyFill="1" applyBorder="1" applyAlignment="1">
      <alignment horizontal="center" vertical="center" wrapText="1"/>
    </xf>
    <xf numFmtId="43" fontId="39" fillId="12" borderId="1" xfId="20" applyFont="1" applyFill="1" applyBorder="1" applyAlignment="1">
      <alignment horizontal="center" vertical="center" wrapText="1"/>
    </xf>
    <xf numFmtId="43" fontId="33" fillId="0" borderId="0" xfId="20" applyFont="1" applyBorder="1" applyAlignment="1">
      <alignment/>
    </xf>
    <xf numFmtId="43" fontId="33" fillId="0" borderId="1" xfId="20" applyFont="1" applyBorder="1" applyAlignment="1">
      <alignment vertical="center" wrapText="1"/>
    </xf>
    <xf numFmtId="43" fontId="33" fillId="0" borderId="1" xfId="20" applyFont="1" applyBorder="1" applyAlignment="1">
      <alignment horizontal="right" vertical="center"/>
    </xf>
    <xf numFmtId="43" fontId="39" fillId="0" borderId="9" xfId="20" applyFont="1" applyBorder="1" applyAlignment="1">
      <alignment/>
    </xf>
    <xf numFmtId="43" fontId="36" fillId="12" borderId="1" xfId="20" applyFont="1" applyFill="1" applyBorder="1" applyAlignment="1" applyProtection="1">
      <alignment horizontal="center"/>
      <protection/>
    </xf>
    <xf numFmtId="43" fontId="36" fillId="12" borderId="1" xfId="20" applyFont="1" applyFill="1" applyBorder="1" applyAlignment="1">
      <alignment horizontal="center"/>
    </xf>
    <xf numFmtId="43" fontId="32" fillId="12" borderId="10" xfId="20" applyFont="1" applyFill="1" applyBorder="1" applyAlignment="1" applyProtection="1">
      <alignment horizontal="right" vertical="center" wrapText="1"/>
      <protection/>
    </xf>
    <xf numFmtId="43" fontId="35" fillId="0" borderId="1" xfId="20" applyFont="1" applyFill="1" applyBorder="1" applyAlignment="1" applyProtection="1">
      <alignment/>
      <protection/>
    </xf>
    <xf numFmtId="43" fontId="32" fillId="12" borderId="15" xfId="20" applyFont="1" applyFill="1" applyBorder="1" applyAlignment="1">
      <alignment horizontal="center" wrapText="1"/>
    </xf>
    <xf numFmtId="43" fontId="35" fillId="16" borderId="1" xfId="20" applyFont="1" applyFill="1" applyBorder="1" applyAlignment="1">
      <alignment horizontal="center" vertical="center"/>
    </xf>
    <xf numFmtId="43" fontId="35" fillId="15" borderId="1" xfId="20" applyFont="1" applyFill="1" applyBorder="1" applyAlignment="1">
      <alignment horizontal="center" vertical="center"/>
    </xf>
    <xf numFmtId="43" fontId="35" fillId="17" borderId="1" xfId="20" applyFont="1" applyFill="1" applyBorder="1" applyAlignment="1">
      <alignment horizontal="center" vertical="center"/>
    </xf>
    <xf numFmtId="43" fontId="35" fillId="15" borderId="1" xfId="20" applyFont="1" applyFill="1" applyBorder="1" applyAlignment="1">
      <alignment horizontal="right"/>
    </xf>
    <xf numFmtId="43" fontId="32" fillId="12" borderId="1" xfId="20" applyFont="1" applyFill="1" applyBorder="1" applyAlignment="1">
      <alignment horizontal="right"/>
    </xf>
    <xf numFmtId="43" fontId="35" fillId="16" borderId="1" xfId="20" applyFont="1" applyFill="1" applyBorder="1" applyAlignment="1">
      <alignment horizontal="right"/>
    </xf>
    <xf numFmtId="43" fontId="35" fillId="17" borderId="1" xfId="20" applyFont="1" applyFill="1" applyBorder="1" applyAlignment="1">
      <alignment horizontal="right"/>
    </xf>
    <xf numFmtId="43" fontId="32" fillId="12" borderId="1" xfId="20" applyFont="1" applyFill="1" applyBorder="1" applyAlignment="1">
      <alignment horizontal="left" vertical="top"/>
    </xf>
    <xf numFmtId="43" fontId="32" fillId="0" borderId="0" xfId="20" applyFont="1" applyAlignment="1">
      <alignment vertical="top"/>
    </xf>
    <xf numFmtId="0" fontId="32" fillId="12" borderId="1" xfId="0" applyFont="1" applyFill="1" applyBorder="1" applyAlignment="1">
      <alignment horizontal="center" vertical="center"/>
    </xf>
    <xf numFmtId="43" fontId="32" fillId="12" borderId="1" xfId="20" applyFont="1" applyFill="1" applyBorder="1" applyAlignment="1">
      <alignment horizontal="center" vertical="center" wrapText="1"/>
    </xf>
    <xf numFmtId="43" fontId="32" fillId="12" borderId="1" xfId="20" applyFont="1" applyFill="1" applyBorder="1" applyAlignment="1">
      <alignment horizontal="center" vertical="center"/>
    </xf>
    <xf numFmtId="165" fontId="32" fillId="12" borderId="1" xfId="20" applyNumberFormat="1" applyFont="1" applyFill="1" applyBorder="1" applyAlignment="1" applyProtection="1">
      <alignment horizontal="right"/>
      <protection/>
    </xf>
    <xf numFmtId="43" fontId="35" fillId="19" borderId="16" xfId="20" applyFont="1" applyFill="1" applyBorder="1" applyAlignment="1">
      <alignment horizontal="right" wrapText="1"/>
    </xf>
    <xf numFmtId="43" fontId="35" fillId="0" borderId="16" xfId="20" applyFont="1" applyFill="1" applyBorder="1" applyAlignment="1">
      <alignment horizontal="center" wrapText="1"/>
    </xf>
    <xf numFmtId="0" fontId="62" fillId="25" borderId="82" xfId="0" applyFont="1" applyFill="1" applyBorder="1" applyAlignment="1">
      <alignment horizontal="left" indent="1"/>
    </xf>
    <xf numFmtId="0" fontId="62" fillId="25" borderId="82" xfId="0" applyFont="1" applyFill="1" applyBorder="1" applyAlignment="1">
      <alignment horizontal="left" indent="2"/>
    </xf>
    <xf numFmtId="0" fontId="62" fillId="25" borderId="55" xfId="0" applyFont="1" applyFill="1" applyBorder="1" applyAlignment="1">
      <alignment horizontal="left" indent="1"/>
    </xf>
    <xf numFmtId="0" fontId="62" fillId="25" borderId="55" xfId="0" applyFont="1" applyFill="1" applyBorder="1" applyAlignment="1">
      <alignment horizontal="left" indent="2"/>
    </xf>
    <xf numFmtId="0" fontId="62" fillId="25" borderId="55" xfId="0" applyFont="1" applyFill="1" applyBorder="1" applyAlignment="1">
      <alignment horizontal="left" indent="3"/>
    </xf>
    <xf numFmtId="0" fontId="62" fillId="25" borderId="55" xfId="0" applyFont="1" applyFill="1" applyBorder="1" applyAlignment="1">
      <alignment horizontal="left" vertical="center" indent="4"/>
    </xf>
    <xf numFmtId="0" fontId="62" fillId="25" borderId="83" xfId="0" applyFont="1" applyFill="1" applyBorder="1" applyAlignment="1">
      <alignment horizontal="left" indent="2"/>
    </xf>
    <xf numFmtId="0" fontId="62" fillId="25" borderId="22" xfId="0" applyFont="1" applyFill="1" applyBorder="1" applyAlignment="1">
      <alignment horizontal="left" indent="1"/>
    </xf>
    <xf numFmtId="43" fontId="33" fillId="0" borderId="10" xfId="20" applyFont="1" applyFill="1" applyBorder="1" applyAlignment="1">
      <alignment horizontal="left" vertical="center" wrapText="1"/>
    </xf>
    <xf numFmtId="0" fontId="3" fillId="0" borderId="0" xfId="0" applyFont="1" applyAlignment="1">
      <alignment vertical="center"/>
    </xf>
    <xf numFmtId="0" fontId="42" fillId="0" borderId="1" xfId="0" applyFont="1" applyBorder="1" applyAlignment="1">
      <alignment horizontal="left" vertical="center" wrapText="1"/>
    </xf>
    <xf numFmtId="43" fontId="42" fillId="0" borderId="1" xfId="20" applyFont="1" applyBorder="1" applyAlignment="1">
      <alignment horizontal="left" vertical="center" wrapText="1"/>
    </xf>
    <xf numFmtId="0" fontId="35" fillId="2" borderId="1" xfId="0" applyFont="1" applyFill="1" applyBorder="1" applyAlignment="1">
      <alignment vertical="center"/>
    </xf>
    <xf numFmtId="0" fontId="32" fillId="12" borderId="1" xfId="0" applyFont="1" applyFill="1" applyBorder="1" applyAlignment="1">
      <alignment vertical="center" wrapText="1"/>
    </xf>
    <xf numFmtId="0" fontId="35" fillId="2" borderId="0" xfId="0" applyFont="1" applyFill="1" applyAlignment="1">
      <alignment vertical="center"/>
    </xf>
    <xf numFmtId="4" fontId="35" fillId="0" borderId="0" xfId="0" applyNumberFormat="1" applyFont="1" applyAlignment="1">
      <alignment horizontal="center" vertical="center" wrapText="1"/>
    </xf>
    <xf numFmtId="170" fontId="35" fillId="0" borderId="0" xfId="22" applyNumberFormat="1" applyFont="1" applyFill="1" applyBorder="1" applyAlignment="1">
      <alignment vertical="center" wrapText="1"/>
    </xf>
    <xf numFmtId="0" fontId="29" fillId="46" borderId="0" xfId="24" applyFont="1" applyFill="1" applyAlignment="1">
      <alignment horizontal="center"/>
      <protection/>
    </xf>
    <xf numFmtId="0" fontId="14" fillId="47" borderId="0" xfId="24" applyFont="1" applyFill="1" applyAlignment="1">
      <alignment horizontal="center"/>
      <protection/>
    </xf>
    <xf numFmtId="0" fontId="8" fillId="11" borderId="0" xfId="24" applyFont="1" applyFill="1" applyAlignment="1">
      <alignment horizontal="left"/>
      <protection/>
    </xf>
    <xf numFmtId="0" fontId="2" fillId="2" borderId="0" xfId="24" applyFont="1" applyFill="1" applyAlignment="1">
      <alignment horizontal="left" wrapText="1"/>
      <protection/>
    </xf>
    <xf numFmtId="0" fontId="25" fillId="2" borderId="0" xfId="27" applyFont="1" applyFill="1" applyBorder="1" applyAlignment="1" applyProtection="1">
      <alignment horizontal="left" vertical="top" wrapText="1"/>
      <protection/>
    </xf>
    <xf numFmtId="0" fontId="2" fillId="2" borderId="0" xfId="24" applyFont="1" applyFill="1" applyAlignment="1">
      <alignment horizontal="left" vertical="top" wrapText="1"/>
      <protection/>
    </xf>
    <xf numFmtId="0" fontId="21" fillId="10" borderId="2" xfId="24" applyFont="1" applyFill="1" applyBorder="1" applyAlignment="1">
      <alignment horizontal="center"/>
      <protection/>
    </xf>
    <xf numFmtId="0" fontId="6" fillId="2" borderId="0" xfId="24" applyFont="1" applyFill="1" applyAlignment="1">
      <alignment horizontal="left" vertical="top" wrapText="1"/>
      <protection/>
    </xf>
    <xf numFmtId="0" fontId="6" fillId="2" borderId="84" xfId="24" applyFont="1" applyFill="1" applyBorder="1" applyAlignment="1">
      <alignment horizontal="center" vertical="top" wrapText="1"/>
      <protection/>
    </xf>
    <xf numFmtId="0" fontId="6" fillId="2" borderId="85" xfId="24" applyFont="1" applyFill="1" applyBorder="1" applyAlignment="1">
      <alignment horizontal="center" vertical="top" wrapText="1"/>
      <protection/>
    </xf>
    <xf numFmtId="0" fontId="6" fillId="2" borderId="63" xfId="24" applyFont="1" applyFill="1" applyBorder="1" applyAlignment="1">
      <alignment horizontal="center" vertical="top" wrapText="1"/>
      <protection/>
    </xf>
    <xf numFmtId="0" fontId="6" fillId="2" borderId="15" xfId="24" applyFont="1" applyFill="1" applyBorder="1" applyAlignment="1">
      <alignment horizontal="left" vertical="top" wrapText="1"/>
      <protection/>
    </xf>
    <xf numFmtId="0" fontId="6" fillId="2" borderId="10" xfId="24" applyFont="1" applyFill="1" applyBorder="1" applyAlignment="1">
      <alignment horizontal="left" vertical="top" wrapText="1"/>
      <protection/>
    </xf>
    <xf numFmtId="0" fontId="6" fillId="2" borderId="15" xfId="24" applyFont="1" applyFill="1" applyBorder="1" applyAlignment="1">
      <alignment horizontal="center" vertical="center" wrapText="1"/>
      <protection/>
    </xf>
    <xf numFmtId="0" fontId="6" fillId="2" borderId="12" xfId="24" applyFont="1" applyFill="1" applyBorder="1" applyAlignment="1">
      <alignment horizontal="center" vertical="center" wrapText="1"/>
      <protection/>
    </xf>
    <xf numFmtId="0" fontId="6" fillId="2" borderId="12" xfId="24" applyFont="1" applyFill="1" applyBorder="1" applyAlignment="1">
      <alignment horizontal="left" vertical="top" wrapText="1"/>
      <protection/>
    </xf>
    <xf numFmtId="0" fontId="54" fillId="25" borderId="86" xfId="0" applyFont="1" applyFill="1" applyBorder="1" applyAlignment="1">
      <alignment horizontal="left" vertical="top" wrapText="1"/>
    </xf>
    <xf numFmtId="0" fontId="54" fillId="25" borderId="36" xfId="0" applyFont="1" applyFill="1" applyBorder="1" applyAlignment="1">
      <alignment horizontal="left" vertical="top" wrapText="1"/>
    </xf>
    <xf numFmtId="0" fontId="54" fillId="25" borderId="87" xfId="0" applyFont="1" applyFill="1" applyBorder="1" applyAlignment="1">
      <alignment horizontal="left" vertical="top" wrapText="1"/>
    </xf>
    <xf numFmtId="0" fontId="54" fillId="25" borderId="88" xfId="0" applyFont="1" applyFill="1" applyBorder="1" applyAlignment="1">
      <alignment horizontal="left" vertical="top" wrapText="1"/>
    </xf>
    <xf numFmtId="0" fontId="8" fillId="2" borderId="15"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10" xfId="0" applyFont="1" applyFill="1" applyBorder="1" applyAlignment="1">
      <alignment horizontal="left" vertical="top" wrapText="1"/>
    </xf>
    <xf numFmtId="0" fontId="6" fillId="0" borderId="15" xfId="24" applyFont="1" applyBorder="1" applyAlignment="1">
      <alignment horizontal="left" vertical="top" wrapText="1"/>
      <protection/>
    </xf>
    <xf numFmtId="0" fontId="6" fillId="0" borderId="12" xfId="24" applyFont="1" applyBorder="1" applyAlignment="1">
      <alignment horizontal="left" vertical="top" wrapText="1"/>
      <protection/>
    </xf>
    <xf numFmtId="0" fontId="6" fillId="0" borderId="10" xfId="24" applyFont="1" applyBorder="1" applyAlignment="1">
      <alignment horizontal="left" vertical="top" wrapText="1"/>
      <protection/>
    </xf>
    <xf numFmtId="0" fontId="6" fillId="2" borderId="1" xfId="24" applyFont="1" applyFill="1" applyBorder="1" applyAlignment="1">
      <alignment horizontal="left" vertical="top" wrapText="1"/>
      <protection/>
    </xf>
    <xf numFmtId="0" fontId="35" fillId="0" borderId="15" xfId="0" applyFont="1" applyBorder="1" applyAlignment="1">
      <alignment horizontal="left" vertical="top" wrapText="1"/>
    </xf>
    <xf numFmtId="0" fontId="35" fillId="0" borderId="12" xfId="0" applyFont="1" applyBorder="1" applyAlignment="1">
      <alignment horizontal="left" vertical="top" wrapText="1"/>
    </xf>
    <xf numFmtId="0" fontId="35" fillId="0" borderId="10" xfId="0" applyFont="1" applyBorder="1" applyAlignment="1">
      <alignment horizontal="left" vertical="top" wrapText="1"/>
    </xf>
    <xf numFmtId="0" fontId="54" fillId="25" borderId="89" xfId="0" applyFont="1" applyFill="1" applyBorder="1" applyAlignment="1">
      <alignment horizontal="left" vertical="top" wrapText="1"/>
    </xf>
    <xf numFmtId="0" fontId="6" fillId="2" borderId="10" xfId="24" applyFont="1" applyFill="1" applyBorder="1" applyAlignment="1">
      <alignment horizontal="center" vertical="center" wrapText="1"/>
      <protection/>
    </xf>
    <xf numFmtId="0" fontId="6" fillId="2" borderId="8" xfId="24" applyFont="1" applyFill="1" applyBorder="1" applyAlignment="1">
      <alignment horizontal="center" vertical="center" wrapText="1"/>
      <protection/>
    </xf>
    <xf numFmtId="0" fontId="6" fillId="0" borderId="1" xfId="24" applyFont="1" applyBorder="1" applyAlignment="1">
      <alignment horizontal="center" vertical="top" wrapText="1"/>
      <protection/>
    </xf>
    <xf numFmtId="0" fontId="6" fillId="2" borderId="11" xfId="24" applyFont="1" applyFill="1" applyBorder="1" applyAlignment="1">
      <alignment horizontal="center" vertical="center" wrapText="1"/>
      <protection/>
    </xf>
    <xf numFmtId="0" fontId="6" fillId="0" borderId="1" xfId="24" applyFont="1" applyBorder="1" applyAlignment="1">
      <alignment horizontal="left" vertical="top" wrapText="1"/>
      <protection/>
    </xf>
    <xf numFmtId="0" fontId="6" fillId="2" borderId="0" xfId="24" applyFont="1" applyFill="1" applyAlignment="1">
      <alignment horizontal="center" vertical="center" wrapText="1"/>
      <protection/>
    </xf>
    <xf numFmtId="0" fontId="6" fillId="2" borderId="79" xfId="24" applyFont="1" applyFill="1" applyBorder="1" applyAlignment="1">
      <alignment horizontal="left" vertical="top" wrapText="1"/>
      <protection/>
    </xf>
    <xf numFmtId="0" fontId="33" fillId="0" borderId="47" xfId="0" applyFont="1" applyBorder="1" applyAlignment="1">
      <alignment horizontal="left" vertical="top" wrapText="1"/>
    </xf>
    <xf numFmtId="0" fontId="33" fillId="0" borderId="22" xfId="0" applyFont="1" applyBorder="1" applyAlignment="1">
      <alignment horizontal="left" vertical="top" wrapText="1"/>
    </xf>
    <xf numFmtId="0" fontId="21" fillId="10" borderId="38" xfId="24" applyFont="1" applyFill="1" applyBorder="1" applyAlignment="1">
      <alignment horizontal="center" vertical="center" wrapText="1"/>
      <protection/>
    </xf>
    <xf numFmtId="0" fontId="21" fillId="10" borderId="58" xfId="24" applyFont="1" applyFill="1" applyBorder="1" applyAlignment="1">
      <alignment horizontal="center" vertical="center" wrapText="1"/>
      <protection/>
    </xf>
    <xf numFmtId="0" fontId="54" fillId="25" borderId="90" xfId="0" applyFont="1" applyFill="1" applyBorder="1" applyAlignment="1">
      <alignment horizontal="left" vertical="top" wrapText="1"/>
    </xf>
    <xf numFmtId="0" fontId="33" fillId="0" borderId="1" xfId="0" applyFont="1" applyBorder="1" applyAlignment="1">
      <alignment vertical="top" wrapText="1"/>
    </xf>
    <xf numFmtId="0" fontId="4" fillId="19" borderId="1" xfId="22" applyFill="1" applyBorder="1" applyAlignment="1">
      <alignment horizontal="left" vertical="center"/>
    </xf>
    <xf numFmtId="0" fontId="33" fillId="19" borderId="1" xfId="0" applyFont="1" applyFill="1" applyBorder="1" applyAlignment="1">
      <alignment horizontal="left" vertical="center"/>
    </xf>
    <xf numFmtId="0" fontId="33" fillId="19" borderId="59" xfId="0" applyFont="1" applyFill="1" applyBorder="1" applyAlignment="1">
      <alignment horizontal="left" vertical="center"/>
    </xf>
    <xf numFmtId="14" fontId="33" fillId="19" borderId="1" xfId="0" applyNumberFormat="1" applyFont="1" applyFill="1" applyBorder="1" applyAlignment="1">
      <alignment horizontal="left" vertical="center"/>
    </xf>
    <xf numFmtId="0" fontId="73" fillId="15" borderId="0" xfId="0" applyFont="1" applyFill="1" applyAlignment="1">
      <alignment horizontal="left" vertical="center"/>
    </xf>
    <xf numFmtId="0" fontId="33" fillId="0" borderId="7" xfId="0" applyFont="1" applyBorder="1" applyAlignment="1">
      <alignment horizontal="left" vertical="center" wrapText="1"/>
    </xf>
    <xf numFmtId="0" fontId="33" fillId="0" borderId="54" xfId="0" applyFont="1" applyBorder="1" applyAlignment="1">
      <alignment horizontal="left" vertical="center" wrapText="1"/>
    </xf>
    <xf numFmtId="0" fontId="33" fillId="0" borderId="91" xfId="0" applyFont="1" applyBorder="1" applyAlignment="1">
      <alignment horizontal="left" vertical="center" wrapText="1"/>
    </xf>
    <xf numFmtId="0" fontId="33" fillId="0" borderId="58" xfId="0" applyFont="1" applyBorder="1" applyAlignment="1">
      <alignment horizontal="left" vertical="center"/>
    </xf>
    <xf numFmtId="0" fontId="33" fillId="0" borderId="57" xfId="0" applyFont="1" applyBorder="1" applyAlignment="1">
      <alignment horizontal="left" vertical="center"/>
    </xf>
    <xf numFmtId="0" fontId="33" fillId="0" borderId="1" xfId="0" applyFont="1" applyBorder="1" applyAlignment="1">
      <alignment horizontal="left" vertical="center"/>
    </xf>
    <xf numFmtId="0" fontId="33" fillId="0" borderId="59" xfId="0" applyFont="1" applyBorder="1" applyAlignment="1">
      <alignment horizontal="left" vertical="center"/>
    </xf>
    <xf numFmtId="0" fontId="33" fillId="19" borderId="4" xfId="0" applyFont="1" applyFill="1" applyBorder="1" applyAlignment="1">
      <alignment horizontal="left" vertical="center" wrapText="1"/>
    </xf>
    <xf numFmtId="0" fontId="33" fillId="19" borderId="28" xfId="0" applyFont="1" applyFill="1" applyBorder="1" applyAlignment="1">
      <alignment horizontal="left" vertical="center" wrapText="1"/>
    </xf>
    <xf numFmtId="0" fontId="33" fillId="19" borderId="76" xfId="0" applyFont="1" applyFill="1" applyBorder="1" applyAlignment="1">
      <alignment horizontal="left" vertical="center" wrapText="1"/>
    </xf>
    <xf numFmtId="0" fontId="34" fillId="19" borderId="1" xfId="22" applyFont="1" applyFill="1" applyBorder="1" applyAlignment="1" quotePrefix="1">
      <alignment horizontal="left" vertical="center"/>
    </xf>
    <xf numFmtId="14" fontId="33" fillId="19" borderId="1" xfId="0" applyNumberFormat="1" applyFont="1" applyFill="1" applyBorder="1" applyAlignment="1" quotePrefix="1">
      <alignment horizontal="left" vertical="center"/>
    </xf>
    <xf numFmtId="0" fontId="33" fillId="0" borderId="1" xfId="0" applyFont="1" applyBorder="1" applyAlignment="1">
      <alignment horizontal="left" vertical="center" wrapText="1"/>
    </xf>
    <xf numFmtId="0" fontId="33" fillId="0" borderId="59" xfId="0" applyFont="1" applyBorder="1" applyAlignment="1">
      <alignment horizontal="left" vertical="center" wrapText="1"/>
    </xf>
    <xf numFmtId="0" fontId="34" fillId="0" borderId="1" xfId="22" applyFont="1" applyBorder="1" applyAlignment="1">
      <alignment horizontal="left" vertical="center"/>
    </xf>
    <xf numFmtId="14" fontId="33" fillId="0" borderId="1" xfId="0" applyNumberFormat="1" applyFont="1" applyBorder="1" applyAlignment="1" quotePrefix="1">
      <alignment horizontal="left" vertical="center"/>
    </xf>
    <xf numFmtId="0" fontId="33" fillId="19" borderId="1" xfId="0" applyFont="1" applyFill="1" applyBorder="1" applyAlignment="1">
      <alignment horizontal="left" vertical="center" wrapText="1"/>
    </xf>
    <xf numFmtId="0" fontId="33" fillId="19" borderId="59" xfId="0" applyFont="1" applyFill="1" applyBorder="1" applyAlignment="1">
      <alignment horizontal="left" vertical="center" wrapText="1"/>
    </xf>
    <xf numFmtId="0" fontId="34" fillId="19" borderId="1" xfId="22" applyFont="1" applyFill="1" applyBorder="1" applyAlignment="1">
      <alignment horizontal="left" vertical="center"/>
    </xf>
    <xf numFmtId="0" fontId="33" fillId="19" borderId="6" xfId="0" applyFont="1" applyFill="1" applyBorder="1" applyAlignment="1">
      <alignment horizontal="left" vertical="center" wrapText="1"/>
    </xf>
    <xf numFmtId="0" fontId="33" fillId="19" borderId="60" xfId="0" applyFont="1" applyFill="1" applyBorder="1" applyAlignment="1">
      <alignment horizontal="left" vertical="center" wrapText="1"/>
    </xf>
    <xf numFmtId="0" fontId="33" fillId="0" borderId="1" xfId="0" applyFont="1" applyBorder="1" applyAlignment="1">
      <alignment horizontal="left" wrapText="1"/>
    </xf>
    <xf numFmtId="0" fontId="33" fillId="0" borderId="6" xfId="0" applyFont="1" applyBorder="1" applyAlignment="1">
      <alignment horizontal="left" vertical="top" wrapText="1"/>
    </xf>
    <xf numFmtId="0" fontId="33" fillId="0" borderId="60" xfId="0" applyFont="1" applyBorder="1" applyAlignment="1">
      <alignment horizontal="left" vertical="top" wrapText="1"/>
    </xf>
    <xf numFmtId="0" fontId="39" fillId="12" borderId="1" xfId="0" applyFont="1" applyFill="1" applyBorder="1" applyAlignment="1">
      <alignment horizontal="center" vertical="center"/>
    </xf>
    <xf numFmtId="0" fontId="33" fillId="0" borderId="1" xfId="0" applyFont="1" applyBorder="1" applyAlignment="1">
      <alignment wrapText="1"/>
    </xf>
    <xf numFmtId="0" fontId="33" fillId="19" borderId="6" xfId="0" applyFont="1" applyFill="1" applyBorder="1" applyAlignment="1">
      <alignment horizontal="left" vertical="center"/>
    </xf>
    <xf numFmtId="0" fontId="33" fillId="19" borderId="60" xfId="0" applyFont="1" applyFill="1" applyBorder="1" applyAlignment="1">
      <alignment horizontal="left" vertical="center"/>
    </xf>
    <xf numFmtId="0" fontId="33" fillId="19" borderId="58" xfId="0" applyFont="1" applyFill="1" applyBorder="1" applyAlignment="1">
      <alignment horizontal="left" vertical="center"/>
    </xf>
    <xf numFmtId="0" fontId="33" fillId="19" borderId="57" xfId="0" applyFont="1" applyFill="1" applyBorder="1" applyAlignment="1">
      <alignment horizontal="left" vertical="center"/>
    </xf>
    <xf numFmtId="0" fontId="73" fillId="12" borderId="4" xfId="0" applyFont="1" applyFill="1" applyBorder="1" applyAlignment="1">
      <alignment horizontal="center" vertical="center"/>
    </xf>
    <xf numFmtId="0" fontId="73" fillId="12" borderId="28" xfId="0" applyFont="1" applyFill="1" applyBorder="1" applyAlignment="1">
      <alignment horizontal="center" vertical="center"/>
    </xf>
    <xf numFmtId="0" fontId="73" fillId="12" borderId="2" xfId="0" applyFont="1" applyFill="1" applyBorder="1" applyAlignment="1">
      <alignment horizontal="center" vertical="center"/>
    </xf>
    <xf numFmtId="0" fontId="73" fillId="12" borderId="15" xfId="0" applyFont="1" applyFill="1" applyBorder="1" applyAlignment="1">
      <alignment horizontal="center" vertical="center"/>
    </xf>
    <xf numFmtId="0" fontId="0" fillId="12" borderId="10" xfId="0" applyFill="1" applyBorder="1" applyAlignment="1">
      <alignment horizontal="center" vertical="center"/>
    </xf>
    <xf numFmtId="0" fontId="77" fillId="26" borderId="0" xfId="0" applyFont="1" applyFill="1" applyAlignment="1">
      <alignment horizontal="left" vertical="center"/>
    </xf>
    <xf numFmtId="0" fontId="33" fillId="19" borderId="4" xfId="0" applyFont="1" applyFill="1" applyBorder="1" applyAlignment="1">
      <alignment horizontal="left" vertical="center"/>
    </xf>
    <xf numFmtId="0" fontId="33" fillId="19" borderId="28" xfId="0" applyFont="1" applyFill="1" applyBorder="1" applyAlignment="1">
      <alignment horizontal="left" vertical="center"/>
    </xf>
    <xf numFmtId="0" fontId="33" fillId="19" borderId="76" xfId="0" applyFont="1" applyFill="1" applyBorder="1" applyAlignment="1">
      <alignment horizontal="left" vertical="center"/>
    </xf>
    <xf numFmtId="0" fontId="32" fillId="12" borderId="15" xfId="0" applyFont="1" applyFill="1" applyBorder="1" applyAlignment="1">
      <alignment horizontal="center" vertical="center" wrapText="1"/>
    </xf>
    <xf numFmtId="0" fontId="32" fillId="12" borderId="10" xfId="0" applyFont="1" applyFill="1" applyBorder="1" applyAlignment="1">
      <alignment horizontal="center" vertical="center" wrapText="1"/>
    </xf>
    <xf numFmtId="0" fontId="73" fillId="12" borderId="1" xfId="0" applyFont="1" applyFill="1" applyBorder="1" applyAlignment="1">
      <alignment horizontal="center"/>
    </xf>
    <xf numFmtId="0" fontId="33" fillId="0" borderId="4" xfId="0" applyFont="1" applyBorder="1" applyAlignment="1">
      <alignment horizontal="left" vertical="center"/>
    </xf>
    <xf numFmtId="0" fontId="33" fillId="0" borderId="28" xfId="0" applyFont="1" applyBorder="1" applyAlignment="1">
      <alignment horizontal="left" vertical="center"/>
    </xf>
    <xf numFmtId="0" fontId="33" fillId="0" borderId="76" xfId="0" applyFont="1" applyBorder="1" applyAlignment="1">
      <alignment horizontal="left" vertical="center"/>
    </xf>
    <xf numFmtId="0" fontId="33" fillId="0" borderId="92" xfId="0" applyFont="1" applyBorder="1" applyAlignment="1">
      <alignment horizontal="left" vertical="center"/>
    </xf>
    <xf numFmtId="0" fontId="33" fillId="0" borderId="93" xfId="0" applyFont="1" applyBorder="1" applyAlignment="1">
      <alignment horizontal="left" vertical="center"/>
    </xf>
    <xf numFmtId="0" fontId="33" fillId="0" borderId="94" xfId="0" applyFont="1" applyBorder="1" applyAlignment="1">
      <alignment horizontal="left" vertical="center"/>
    </xf>
    <xf numFmtId="0" fontId="35" fillId="0" borderId="1" xfId="0" applyFont="1" applyBorder="1" applyAlignment="1">
      <alignment horizontal="left" vertical="top"/>
    </xf>
    <xf numFmtId="0" fontId="33" fillId="0" borderId="4" xfId="0" applyFont="1" applyBorder="1" applyAlignment="1">
      <alignment horizontal="left" vertical="top" wrapText="1"/>
    </xf>
    <xf numFmtId="0" fontId="33" fillId="0" borderId="28" xfId="0" applyFont="1" applyBorder="1" applyAlignment="1">
      <alignment horizontal="left" vertical="top" wrapText="1"/>
    </xf>
    <xf numFmtId="0" fontId="33" fillId="0" borderId="2" xfId="0" applyFont="1" applyBorder="1" applyAlignment="1">
      <alignment horizontal="left" vertical="top" wrapText="1"/>
    </xf>
    <xf numFmtId="0" fontId="32" fillId="12" borderId="4" xfId="0" applyFont="1" applyFill="1" applyBorder="1" applyAlignment="1">
      <alignment horizontal="center" vertical="center" wrapText="1"/>
    </xf>
    <xf numFmtId="0" fontId="32" fillId="12" borderId="28" xfId="0" applyFont="1" applyFill="1" applyBorder="1" applyAlignment="1">
      <alignment horizontal="center" vertical="center" wrapText="1"/>
    </xf>
    <xf numFmtId="0" fontId="39" fillId="12" borderId="4" xfId="0" applyFont="1" applyFill="1" applyBorder="1" applyAlignment="1">
      <alignment horizontal="left" wrapText="1"/>
    </xf>
    <xf numFmtId="0" fontId="39" fillId="12" borderId="28" xfId="0" applyFont="1" applyFill="1" applyBorder="1" applyAlignment="1">
      <alignment horizontal="left" wrapText="1"/>
    </xf>
    <xf numFmtId="0" fontId="39" fillId="12" borderId="2" xfId="0" applyFont="1" applyFill="1" applyBorder="1" applyAlignment="1">
      <alignment horizontal="left" wrapText="1"/>
    </xf>
    <xf numFmtId="0" fontId="37" fillId="19" borderId="6" xfId="0" applyFont="1" applyFill="1" applyBorder="1" applyAlignment="1">
      <alignment horizontal="left" vertical="top" wrapText="1"/>
    </xf>
    <xf numFmtId="0" fontId="37" fillId="19" borderId="60" xfId="0" applyFont="1" applyFill="1" applyBorder="1" applyAlignment="1">
      <alignment horizontal="left" vertical="top" wrapText="1"/>
    </xf>
    <xf numFmtId="0" fontId="35" fillId="0" borderId="1" xfId="0" applyFont="1" applyBorder="1" applyAlignment="1">
      <alignment horizontal="left" vertical="center"/>
    </xf>
    <xf numFmtId="0" fontId="32" fillId="12" borderId="1" xfId="0" applyFont="1" applyFill="1" applyBorder="1" applyAlignment="1">
      <alignment horizontal="center" vertical="center" wrapText="1"/>
    </xf>
    <xf numFmtId="0" fontId="37" fillId="0" borderId="1" xfId="0" applyFont="1" applyBorder="1" applyAlignment="1">
      <alignment horizontal="left" vertical="center"/>
    </xf>
    <xf numFmtId="0" fontId="37" fillId="0" borderId="59" xfId="0" applyFont="1" applyBorder="1" applyAlignment="1">
      <alignment horizontal="left" vertical="center"/>
    </xf>
    <xf numFmtId="0" fontId="37" fillId="19" borderId="1" xfId="0" applyFont="1" applyFill="1" applyBorder="1" applyAlignment="1">
      <alignment horizontal="left" vertical="top" wrapText="1"/>
    </xf>
    <xf numFmtId="0" fontId="37" fillId="19" borderId="59" xfId="0" applyFont="1" applyFill="1" applyBorder="1" applyAlignment="1">
      <alignment horizontal="left" vertical="top" wrapText="1"/>
    </xf>
    <xf numFmtId="14" fontId="33" fillId="19" borderId="59" xfId="0" applyNumberFormat="1" applyFont="1" applyFill="1" applyBorder="1" applyAlignment="1">
      <alignment horizontal="left" vertical="center"/>
    </xf>
    <xf numFmtId="0" fontId="39" fillId="12" borderId="15" xfId="0" applyFont="1" applyFill="1" applyBorder="1" applyAlignment="1">
      <alignment horizontal="center" vertical="center"/>
    </xf>
    <xf numFmtId="0" fontId="39" fillId="12" borderId="10" xfId="0" applyFont="1" applyFill="1" applyBorder="1" applyAlignment="1">
      <alignment horizontal="center" vertical="center"/>
    </xf>
    <xf numFmtId="0" fontId="35" fillId="2" borderId="1" xfId="0" applyFont="1" applyFill="1" applyBorder="1" applyAlignment="1">
      <alignment horizontal="left"/>
    </xf>
    <xf numFmtId="9" fontId="35" fillId="19" borderId="1" xfId="21" applyFont="1" applyFill="1" applyBorder="1" applyAlignment="1">
      <alignment horizontal="center" vertical="center"/>
    </xf>
    <xf numFmtId="0" fontId="34" fillId="19" borderId="1" xfId="22" applyFont="1" applyFill="1" applyBorder="1" applyAlignment="1">
      <alignment horizontal="left" vertical="center" wrapText="1"/>
    </xf>
    <xf numFmtId="0" fontId="34" fillId="19" borderId="59" xfId="22" applyFont="1" applyFill="1" applyBorder="1" applyAlignment="1">
      <alignment horizontal="left" vertical="center" wrapText="1"/>
    </xf>
    <xf numFmtId="0" fontId="37" fillId="19" borderId="1" xfId="0" applyFont="1" applyFill="1" applyBorder="1" applyAlignment="1">
      <alignment horizontal="left" vertical="center"/>
    </xf>
    <xf numFmtId="0" fontId="37" fillId="19" borderId="59" xfId="0" applyFont="1" applyFill="1" applyBorder="1" applyAlignment="1">
      <alignment horizontal="left" vertical="center"/>
    </xf>
    <xf numFmtId="0" fontId="39" fillId="12" borderId="1" xfId="0" applyFont="1" applyFill="1" applyBorder="1" applyAlignment="1">
      <alignment horizontal="center"/>
    </xf>
    <xf numFmtId="0" fontId="37" fillId="19" borderId="1" xfId="0" applyFont="1" applyFill="1" applyBorder="1" applyAlignment="1">
      <alignment horizontal="left" vertical="top"/>
    </xf>
    <xf numFmtId="0" fontId="37" fillId="19" borderId="59" xfId="0" applyFont="1" applyFill="1" applyBorder="1" applyAlignment="1">
      <alignment horizontal="left" vertical="top"/>
    </xf>
    <xf numFmtId="0" fontId="37" fillId="19" borderId="58" xfId="0" applyFont="1" applyFill="1" applyBorder="1" applyAlignment="1">
      <alignment horizontal="left" vertical="top"/>
    </xf>
    <xf numFmtId="0" fontId="37" fillId="19" borderId="57" xfId="0" applyFont="1" applyFill="1" applyBorder="1" applyAlignment="1">
      <alignment horizontal="left" vertical="top"/>
    </xf>
    <xf numFmtId="14" fontId="33" fillId="0" borderId="1" xfId="0" applyNumberFormat="1" applyFont="1" applyBorder="1" applyAlignment="1">
      <alignment horizontal="left" vertical="center"/>
    </xf>
    <xf numFmtId="14" fontId="33" fillId="0" borderId="59" xfId="0" applyNumberFormat="1" applyFont="1" applyBorder="1" applyAlignment="1">
      <alignment horizontal="left" vertical="center"/>
    </xf>
    <xf numFmtId="0" fontId="34" fillId="19" borderId="1" xfId="22" applyFont="1" applyFill="1" applyBorder="1" applyAlignment="1">
      <alignment horizontal="left" vertical="top"/>
    </xf>
    <xf numFmtId="0" fontId="33" fillId="19" borderId="7" xfId="0" applyFont="1" applyFill="1" applyBorder="1" applyAlignment="1">
      <alignment horizontal="left" vertical="center" wrapText="1"/>
    </xf>
    <xf numFmtId="0" fontId="33" fillId="19" borderId="54" xfId="0" applyFont="1" applyFill="1" applyBorder="1" applyAlignment="1">
      <alignment horizontal="left" vertical="center" wrapText="1"/>
    </xf>
    <xf numFmtId="0" fontId="33" fillId="19" borderId="91" xfId="0" applyFont="1" applyFill="1" applyBorder="1" applyAlignment="1">
      <alignment horizontal="left" vertical="center" wrapText="1"/>
    </xf>
    <xf numFmtId="0" fontId="32" fillId="12" borderId="1" xfId="0" applyFont="1" applyFill="1" applyBorder="1" applyAlignment="1">
      <alignment horizontal="center" wrapText="1"/>
    </xf>
    <xf numFmtId="165" fontId="35" fillId="0" borderId="1" xfId="20" applyNumberFormat="1" applyFont="1" applyFill="1" applyBorder="1" applyAlignment="1" applyProtection="1">
      <alignment horizontal="center"/>
      <protection/>
    </xf>
    <xf numFmtId="0" fontId="34" fillId="0" borderId="59" xfId="22" applyFont="1" applyBorder="1" applyAlignment="1">
      <alignment horizontal="left" vertical="center"/>
    </xf>
    <xf numFmtId="0" fontId="33" fillId="0" borderId="6" xfId="0" applyFont="1" applyBorder="1" applyAlignment="1">
      <alignment horizontal="left" vertical="center" wrapText="1"/>
    </xf>
    <xf numFmtId="0" fontId="33" fillId="0" borderId="60" xfId="0" applyFont="1" applyBorder="1" applyAlignment="1">
      <alignment horizontal="left" vertical="center" wrapText="1"/>
    </xf>
    <xf numFmtId="0" fontId="33" fillId="19" borderId="4" xfId="0" applyFont="1" applyFill="1" applyBorder="1" applyAlignment="1">
      <alignment horizontal="left" vertical="top" wrapText="1"/>
    </xf>
    <xf numFmtId="0" fontId="33" fillId="19" borderId="28" xfId="0" applyFont="1" applyFill="1" applyBorder="1" applyAlignment="1">
      <alignment horizontal="left" vertical="top" wrapText="1"/>
    </xf>
    <xf numFmtId="0" fontId="33" fillId="19" borderId="76" xfId="0" applyFont="1" applyFill="1" applyBorder="1" applyAlignment="1">
      <alignment horizontal="left" vertical="top" wrapText="1"/>
    </xf>
    <xf numFmtId="0" fontId="35" fillId="19" borderId="1" xfId="0" applyFont="1" applyFill="1" applyBorder="1" applyAlignment="1">
      <alignment horizontal="left" wrapText="1"/>
    </xf>
    <xf numFmtId="0" fontId="33" fillId="19" borderId="58" xfId="0" applyFont="1" applyFill="1" applyBorder="1" applyAlignment="1">
      <alignment horizontal="left" vertical="center" wrapText="1"/>
    </xf>
    <xf numFmtId="0" fontId="33" fillId="19" borderId="57" xfId="0" applyFont="1" applyFill="1" applyBorder="1" applyAlignment="1">
      <alignment horizontal="left" vertical="center" wrapText="1"/>
    </xf>
    <xf numFmtId="0" fontId="33" fillId="19" borderId="1" xfId="0" applyFont="1" applyFill="1" applyBorder="1" applyAlignment="1" quotePrefix="1">
      <alignment horizontal="left" vertical="center" wrapText="1"/>
    </xf>
    <xf numFmtId="14" fontId="33" fillId="19" borderId="4" xfId="0" applyNumberFormat="1" applyFont="1" applyFill="1" applyBorder="1" applyAlignment="1">
      <alignment horizontal="left" vertical="center"/>
    </xf>
    <xf numFmtId="14" fontId="33" fillId="19" borderId="28" xfId="0" applyNumberFormat="1" applyFont="1" applyFill="1" applyBorder="1" applyAlignment="1">
      <alignment horizontal="left" vertical="center"/>
    </xf>
    <xf numFmtId="14" fontId="33" fillId="19" borderId="76" xfId="0" applyNumberFormat="1" applyFont="1" applyFill="1" applyBorder="1" applyAlignment="1">
      <alignment horizontal="left" vertical="center"/>
    </xf>
    <xf numFmtId="0" fontId="34" fillId="19" borderId="4" xfId="22" applyFont="1" applyFill="1" applyBorder="1" applyAlignment="1">
      <alignment horizontal="left" vertical="center" wrapText="1"/>
    </xf>
    <xf numFmtId="0" fontId="34" fillId="19" borderId="28" xfId="22" applyFont="1" applyFill="1" applyBorder="1" applyAlignment="1">
      <alignment horizontal="left" vertical="center" wrapText="1"/>
    </xf>
    <xf numFmtId="0" fontId="34" fillId="19" borderId="76" xfId="22" applyFont="1" applyFill="1" applyBorder="1" applyAlignment="1">
      <alignment horizontal="left" vertical="center" wrapText="1"/>
    </xf>
    <xf numFmtId="0" fontId="33" fillId="0" borderId="6" xfId="0" applyFont="1" applyBorder="1" applyAlignment="1">
      <alignment horizontal="left" vertical="center"/>
    </xf>
    <xf numFmtId="0" fontId="33" fillId="0" borderId="60" xfId="0" applyFont="1" applyBorder="1" applyAlignment="1">
      <alignment horizontal="left" vertical="center"/>
    </xf>
    <xf numFmtId="14" fontId="33" fillId="0" borderId="4" xfId="0" applyNumberFormat="1" applyFont="1" applyBorder="1" applyAlignment="1">
      <alignment horizontal="left" vertical="center" wrapText="1"/>
    </xf>
    <xf numFmtId="14" fontId="33" fillId="0" borderId="28" xfId="0" applyNumberFormat="1" applyFont="1" applyBorder="1" applyAlignment="1">
      <alignment horizontal="left" vertical="center" wrapText="1"/>
    </xf>
    <xf numFmtId="14" fontId="33" fillId="0" borderId="76" xfId="0" applyNumberFormat="1" applyFont="1" applyBorder="1" applyAlignment="1">
      <alignment horizontal="left" vertical="center" wrapText="1"/>
    </xf>
    <xf numFmtId="0" fontId="33" fillId="0" borderId="58" xfId="0" applyFont="1" applyBorder="1" applyAlignment="1">
      <alignment horizontal="left" vertical="center" wrapText="1"/>
    </xf>
    <xf numFmtId="0" fontId="33" fillId="0" borderId="57" xfId="0" applyFont="1" applyBorder="1" applyAlignment="1">
      <alignment horizontal="left" vertical="center" wrapText="1"/>
    </xf>
    <xf numFmtId="0" fontId="33" fillId="0" borderId="4" xfId="0" applyFont="1" applyBorder="1" applyAlignment="1">
      <alignment horizontal="left" vertical="center" wrapText="1"/>
    </xf>
    <xf numFmtId="0" fontId="33" fillId="0" borderId="28" xfId="0" applyFont="1" applyBorder="1" applyAlignment="1">
      <alignment horizontal="left" vertical="center" wrapText="1"/>
    </xf>
    <xf numFmtId="0" fontId="33" fillId="0" borderId="76" xfId="0" applyFont="1" applyBorder="1" applyAlignment="1">
      <alignment horizontal="left" vertical="center" wrapText="1"/>
    </xf>
    <xf numFmtId="0" fontId="115" fillId="0" borderId="4" xfId="22" applyFont="1" applyBorder="1" applyAlignment="1">
      <alignment horizontal="left" vertical="center" wrapText="1"/>
    </xf>
    <xf numFmtId="0" fontId="72" fillId="0" borderId="28" xfId="0" applyFont="1" applyBorder="1" applyAlignment="1">
      <alignment horizontal="left" vertical="center" wrapText="1"/>
    </xf>
    <xf numFmtId="0" fontId="72" fillId="0" borderId="76" xfId="0" applyFont="1" applyBorder="1" applyAlignment="1">
      <alignment horizontal="left" vertical="center" wrapText="1"/>
    </xf>
    <xf numFmtId="0" fontId="35" fillId="0" borderId="15" xfId="0" applyFont="1" applyBorder="1" applyAlignment="1">
      <alignment horizontal="left" vertical="center" wrapText="1"/>
    </xf>
    <xf numFmtId="0" fontId="35" fillId="0" borderId="12" xfId="0" applyFont="1" applyBorder="1" applyAlignment="1">
      <alignment horizontal="left" vertical="center" wrapText="1"/>
    </xf>
    <xf numFmtId="0" fontId="35" fillId="0" borderId="10" xfId="0" applyFont="1" applyBorder="1" applyAlignment="1">
      <alignment horizontal="left" vertical="center" wrapText="1"/>
    </xf>
    <xf numFmtId="0" fontId="35" fillId="19" borderId="1" xfId="0" applyFont="1" applyFill="1" applyBorder="1" applyAlignment="1">
      <alignment horizontal="left" vertical="center" wrapText="1"/>
    </xf>
    <xf numFmtId="0" fontId="32" fillId="12" borderId="95" xfId="0" applyFont="1" applyFill="1" applyBorder="1" applyAlignment="1">
      <alignment horizontal="center" vertical="center" wrapText="1"/>
    </xf>
    <xf numFmtId="0" fontId="32" fillId="12" borderId="14" xfId="0" applyFont="1" applyFill="1" applyBorder="1" applyAlignment="1">
      <alignment horizontal="center" vertical="center" wrapText="1"/>
    </xf>
    <xf numFmtId="0" fontId="32" fillId="12" borderId="13" xfId="0" applyFont="1" applyFill="1" applyBorder="1" applyAlignment="1">
      <alignment horizontal="center" vertical="center" wrapText="1"/>
    </xf>
    <xf numFmtId="0" fontId="32" fillId="12" borderId="49" xfId="0" applyFont="1" applyFill="1" applyBorder="1" applyAlignment="1">
      <alignment horizontal="center" vertical="center" wrapText="1"/>
    </xf>
    <xf numFmtId="0" fontId="32" fillId="12" borderId="9" xfId="0" applyFont="1" applyFill="1" applyBorder="1" applyAlignment="1">
      <alignment horizontal="center" vertical="center" wrapText="1"/>
    </xf>
    <xf numFmtId="0" fontId="32" fillId="12" borderId="8" xfId="0" applyFont="1" applyFill="1" applyBorder="1" applyAlignment="1">
      <alignment horizontal="center" vertical="center" wrapText="1"/>
    </xf>
    <xf numFmtId="0" fontId="35" fillId="0" borderId="4" xfId="0" applyFont="1" applyBorder="1" applyAlignment="1">
      <alignment horizontal="left" vertical="top" wrapText="1"/>
    </xf>
    <xf numFmtId="0" fontId="35" fillId="0" borderId="28" xfId="0" applyFont="1" applyBorder="1" applyAlignment="1">
      <alignment horizontal="left" vertical="top" wrapText="1"/>
    </xf>
    <xf numFmtId="0" fontId="35" fillId="0" borderId="2" xfId="0" applyFont="1" applyBorder="1" applyAlignment="1">
      <alignment horizontal="left" vertical="top" wrapText="1"/>
    </xf>
    <xf numFmtId="0" fontId="37" fillId="19" borderId="10" xfId="0" applyFont="1" applyFill="1" applyBorder="1" applyAlignment="1">
      <alignment horizontal="left" vertical="center"/>
    </xf>
    <xf numFmtId="0" fontId="37" fillId="19" borderId="63" xfId="0" applyFont="1" applyFill="1" applyBorder="1" applyAlignment="1">
      <alignment horizontal="left" vertical="center"/>
    </xf>
    <xf numFmtId="0" fontId="33" fillId="0" borderId="14" xfId="0" applyFont="1" applyBorder="1" applyAlignment="1">
      <alignment horizontal="left"/>
    </xf>
    <xf numFmtId="0" fontId="33" fillId="0" borderId="0" xfId="0" applyFont="1" applyAlignment="1">
      <alignment horizontal="left"/>
    </xf>
    <xf numFmtId="0" fontId="39" fillId="0" borderId="9" xfId="0" applyFont="1" applyBorder="1" applyAlignment="1">
      <alignment horizontal="left"/>
    </xf>
    <xf numFmtId="43" fontId="35" fillId="17" borderId="15" xfId="20" applyFont="1" applyFill="1" applyBorder="1" applyAlignment="1">
      <alignment horizontal="center" vertical="top" wrapText="1"/>
    </xf>
    <xf numFmtId="43" fontId="35" fillId="17" borderId="12" xfId="20" applyFont="1" applyFill="1" applyBorder="1" applyAlignment="1">
      <alignment horizontal="center" vertical="top" wrapText="1"/>
    </xf>
    <xf numFmtId="43" fontId="35" fillId="17" borderId="10" xfId="20" applyFont="1" applyFill="1" applyBorder="1" applyAlignment="1">
      <alignment horizontal="center" vertical="top" wrapText="1"/>
    </xf>
    <xf numFmtId="0" fontId="32" fillId="0" borderId="9" xfId="0" applyFont="1" applyBorder="1" applyAlignment="1">
      <alignment horizontal="left" vertical="top"/>
    </xf>
    <xf numFmtId="43" fontId="35" fillId="16" borderId="15" xfId="20" applyFont="1" applyFill="1" applyBorder="1" applyAlignment="1">
      <alignment horizontal="center" vertical="top" wrapText="1"/>
    </xf>
    <xf numFmtId="43" fontId="35" fillId="16" borderId="12" xfId="20" applyFont="1" applyFill="1" applyBorder="1" applyAlignment="1">
      <alignment horizontal="center" vertical="top" wrapText="1"/>
    </xf>
    <xf numFmtId="43" fontId="35" fillId="16" borderId="10" xfId="20" applyFont="1" applyFill="1" applyBorder="1" applyAlignment="1">
      <alignment horizontal="center" vertical="top" wrapText="1"/>
    </xf>
    <xf numFmtId="43" fontId="35" fillId="15" borderId="15" xfId="20" applyFont="1" applyFill="1" applyBorder="1" applyAlignment="1">
      <alignment horizontal="center" vertical="top" wrapText="1"/>
    </xf>
    <xf numFmtId="43" fontId="35" fillId="15" borderId="12" xfId="20" applyFont="1" applyFill="1" applyBorder="1" applyAlignment="1">
      <alignment horizontal="center" vertical="top" wrapText="1"/>
    </xf>
    <xf numFmtId="43" fontId="35" fillId="15" borderId="10" xfId="20" applyFont="1" applyFill="1" applyBorder="1" applyAlignment="1">
      <alignment horizontal="center" vertical="top" wrapText="1"/>
    </xf>
    <xf numFmtId="0" fontId="32" fillId="12" borderId="2" xfId="0" applyFont="1" applyFill="1" applyBorder="1" applyAlignment="1">
      <alignment horizontal="center" vertical="center" wrapText="1"/>
    </xf>
    <xf numFmtId="0" fontId="35" fillId="0" borderId="1" xfId="0" applyFont="1" applyBorder="1" applyAlignment="1">
      <alignment horizontal="left" vertical="center" wrapText="1"/>
    </xf>
    <xf numFmtId="43" fontId="33" fillId="0" borderId="15" xfId="20" applyFont="1" applyBorder="1" applyAlignment="1">
      <alignment horizontal="right" vertical="center"/>
    </xf>
    <xf numFmtId="43" fontId="33" fillId="0" borderId="10" xfId="20" applyFont="1" applyBorder="1" applyAlignment="1">
      <alignment horizontal="right" vertical="center"/>
    </xf>
    <xf numFmtId="43" fontId="39" fillId="12" borderId="1" xfId="20" applyFont="1" applyFill="1" applyBorder="1" applyAlignment="1">
      <alignment horizontal="center" vertical="center"/>
    </xf>
    <xf numFmtId="43" fontId="39" fillId="12" borderId="4" xfId="20" applyFont="1" applyFill="1" applyBorder="1" applyAlignment="1">
      <alignment horizontal="center" vertical="center"/>
    </xf>
    <xf numFmtId="43" fontId="39" fillId="12" borderId="2" xfId="20" applyFont="1" applyFill="1" applyBorder="1" applyAlignment="1">
      <alignment horizontal="center" vertical="center"/>
    </xf>
    <xf numFmtId="0" fontId="32" fillId="13" borderId="15" xfId="0" applyFont="1" applyFill="1" applyBorder="1" applyAlignment="1">
      <alignment horizontal="center" vertical="center" wrapText="1"/>
    </xf>
    <xf numFmtId="0" fontId="32" fillId="13" borderId="10" xfId="0" applyFont="1" applyFill="1" applyBorder="1" applyAlignment="1">
      <alignment horizontal="center" vertical="center" wrapText="1"/>
    </xf>
    <xf numFmtId="0" fontId="32" fillId="13" borderId="1" xfId="0" applyFont="1" applyFill="1" applyBorder="1" applyAlignment="1">
      <alignment horizontal="center" vertical="center" wrapText="1"/>
    </xf>
    <xf numFmtId="0" fontId="33" fillId="0" borderId="1" xfId="0" applyFont="1" applyBorder="1" applyAlignment="1">
      <alignment horizontal="center"/>
    </xf>
    <xf numFmtId="0" fontId="3" fillId="0" borderId="1" xfId="0" applyFont="1" applyBorder="1" applyAlignment="1">
      <alignment horizontal="center"/>
    </xf>
    <xf numFmtId="0" fontId="32" fillId="12" borderId="4" xfId="0" applyFont="1" applyFill="1" applyBorder="1" applyAlignment="1">
      <alignment horizontal="center" vertical="center" wrapText="1"/>
    </xf>
    <xf numFmtId="0" fontId="37" fillId="2" borderId="1" xfId="0" applyFont="1" applyFill="1" applyBorder="1" applyAlignment="1">
      <alignment horizontal="left"/>
    </xf>
    <xf numFmtId="0" fontId="92" fillId="19" borderId="14" xfId="0" applyFont="1" applyFill="1" applyBorder="1" applyAlignment="1">
      <alignment horizontal="left" wrapText="1"/>
    </xf>
    <xf numFmtId="0" fontId="33" fillId="19" borderId="9" xfId="0" applyFont="1" applyFill="1" applyBorder="1" applyAlignment="1">
      <alignment horizontal="left" vertical="top" wrapText="1"/>
    </xf>
    <xf numFmtId="43" fontId="32" fillId="12" borderId="1" xfId="20" applyFont="1" applyFill="1" applyBorder="1" applyAlignment="1">
      <alignment horizontal="left" vertical="top" wrapText="1"/>
    </xf>
    <xf numFmtId="43" fontId="33" fillId="0" borderId="1" xfId="20" applyFont="1" applyBorder="1" applyAlignment="1">
      <alignment horizontal="left" vertical="top" wrapText="1"/>
    </xf>
    <xf numFmtId="0" fontId="32" fillId="12" borderId="1" xfId="0" applyFont="1" applyFill="1" applyBorder="1" applyAlignment="1">
      <alignment horizontal="center" vertical="top" wrapText="1"/>
    </xf>
    <xf numFmtId="43" fontId="32" fillId="12" borderId="1" xfId="20" applyFont="1" applyFill="1" applyBorder="1" applyAlignment="1">
      <alignment horizontal="center" vertical="top" wrapText="1"/>
    </xf>
    <xf numFmtId="0" fontId="42" fillId="0" borderId="4" xfId="0" applyFont="1" applyBorder="1" applyAlignment="1">
      <alignment horizontal="left" vertical="center" wrapText="1"/>
    </xf>
    <xf numFmtId="0" fontId="42" fillId="0" borderId="2" xfId="0" applyFont="1" applyBorder="1" applyAlignment="1">
      <alignment horizontal="left" vertical="center" wrapText="1"/>
    </xf>
    <xf numFmtId="0" fontId="33" fillId="12" borderId="95" xfId="0" applyFont="1" applyFill="1" applyBorder="1" applyAlignment="1">
      <alignment horizontal="center"/>
    </xf>
    <xf numFmtId="0" fontId="33" fillId="12" borderId="14" xfId="0" applyFont="1" applyFill="1" applyBorder="1" applyAlignment="1">
      <alignment horizontal="center"/>
    </xf>
    <xf numFmtId="0" fontId="33" fillId="12" borderId="13" xfId="0" applyFont="1" applyFill="1" applyBorder="1" applyAlignment="1">
      <alignment horizontal="center"/>
    </xf>
    <xf numFmtId="0" fontId="33" fillId="12" borderId="96" xfId="0" applyFont="1" applyFill="1" applyBorder="1" applyAlignment="1">
      <alignment horizontal="center"/>
    </xf>
    <xf numFmtId="0" fontId="33" fillId="12" borderId="0" xfId="0" applyFont="1" applyFill="1" applyAlignment="1">
      <alignment horizontal="center"/>
    </xf>
    <xf numFmtId="0" fontId="33" fillId="12" borderId="11" xfId="0" applyFont="1" applyFill="1" applyBorder="1" applyAlignment="1">
      <alignment horizontal="center"/>
    </xf>
    <xf numFmtId="0" fontId="33" fillId="12" borderId="49" xfId="0" applyFont="1" applyFill="1" applyBorder="1" applyAlignment="1">
      <alignment horizontal="center"/>
    </xf>
    <xf numFmtId="0" fontId="33" fillId="12" borderId="9" xfId="0" applyFont="1" applyFill="1" applyBorder="1" applyAlignment="1">
      <alignment horizontal="center"/>
    </xf>
    <xf numFmtId="0" fontId="33" fillId="12" borderId="8" xfId="0" applyFont="1" applyFill="1" applyBorder="1" applyAlignment="1">
      <alignment horizontal="center"/>
    </xf>
    <xf numFmtId="4" fontId="35" fillId="0" borderId="4" xfId="0" applyNumberFormat="1" applyFont="1" applyBorder="1" applyAlignment="1">
      <alignment horizontal="left" vertical="center" wrapText="1"/>
    </xf>
    <xf numFmtId="4" fontId="35" fillId="0" borderId="28" xfId="0" applyNumberFormat="1" applyFont="1" applyBorder="1" applyAlignment="1">
      <alignment horizontal="left" vertical="center" wrapText="1"/>
    </xf>
    <xf numFmtId="4" fontId="35" fillId="0" borderId="2" xfId="0" applyNumberFormat="1" applyFont="1" applyBorder="1" applyAlignment="1">
      <alignment horizontal="left" vertical="center" wrapText="1"/>
    </xf>
    <xf numFmtId="4" fontId="35" fillId="0" borderId="1" xfId="0" applyNumberFormat="1" applyFont="1" applyBorder="1" applyAlignment="1">
      <alignment horizontal="left" vertical="center" wrapText="1"/>
    </xf>
    <xf numFmtId="43" fontId="42" fillId="35" borderId="4" xfId="20" applyFont="1" applyFill="1" applyBorder="1" applyAlignment="1">
      <alignment horizontal="center" vertical="center" wrapText="1"/>
    </xf>
    <xf numFmtId="43" fontId="42" fillId="35" borderId="28" xfId="20" applyFont="1" applyFill="1" applyBorder="1" applyAlignment="1">
      <alignment horizontal="center" vertical="center" wrapText="1"/>
    </xf>
    <xf numFmtId="43" fontId="42" fillId="35" borderId="2" xfId="20" applyFont="1" applyFill="1" applyBorder="1" applyAlignment="1">
      <alignment horizontal="center" vertical="center" wrapText="1"/>
    </xf>
    <xf numFmtId="43" fontId="35" fillId="35" borderId="4" xfId="20" applyFont="1" applyFill="1" applyBorder="1" applyAlignment="1">
      <alignment horizontal="center" vertical="center" wrapText="1"/>
    </xf>
    <xf numFmtId="43" fontId="35" fillId="35" borderId="28" xfId="20" applyFont="1" applyFill="1" applyBorder="1" applyAlignment="1">
      <alignment horizontal="center" vertical="center" wrapText="1"/>
    </xf>
    <xf numFmtId="43" fontId="35" fillId="35" borderId="2" xfId="2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left" vertical="center" wrapText="1"/>
    </xf>
    <xf numFmtId="0" fontId="35" fillId="29" borderId="1" xfId="0" applyFont="1" applyFill="1" applyBorder="1" applyAlignment="1">
      <alignment horizontal="left" vertical="center" wrapText="1"/>
    </xf>
    <xf numFmtId="0" fontId="33" fillId="0" borderId="1" xfId="0" applyFont="1" applyBorder="1" applyAlignment="1">
      <alignment horizontal="left" vertical="top" wrapText="1"/>
    </xf>
    <xf numFmtId="0" fontId="72" fillId="0" borderId="1" xfId="0" applyFont="1" applyBorder="1" applyAlignment="1">
      <alignment horizontal="left" vertical="top" wrapText="1"/>
    </xf>
    <xf numFmtId="0" fontId="72" fillId="0" borderId="1" xfId="0" applyFont="1" applyBorder="1" applyAlignment="1">
      <alignment horizontal="left" vertical="top"/>
    </xf>
    <xf numFmtId="0" fontId="39" fillId="12" borderId="1" xfId="0" applyFont="1" applyFill="1" applyBorder="1" applyAlignment="1">
      <alignment horizontal="center" wrapText="1"/>
    </xf>
    <xf numFmtId="0" fontId="35" fillId="0" borderId="4" xfId="0" applyFont="1" applyBorder="1" applyAlignment="1">
      <alignment horizontal="left" vertical="center" wrapText="1"/>
    </xf>
    <xf numFmtId="0" fontId="35" fillId="0" borderId="2" xfId="0" applyFont="1" applyBorder="1" applyAlignment="1">
      <alignment horizontal="left" vertical="center" wrapText="1"/>
    </xf>
    <xf numFmtId="4" fontId="32" fillId="20" borderId="1" xfId="0" applyNumberFormat="1" applyFont="1" applyFill="1" applyBorder="1" applyAlignment="1">
      <alignment horizontal="center" vertical="center" wrapText="1"/>
    </xf>
    <xf numFmtId="0" fontId="39" fillId="12" borderId="4" xfId="0" applyFont="1" applyFill="1" applyBorder="1" applyAlignment="1">
      <alignment horizontal="center" vertical="center" wrapText="1"/>
    </xf>
    <xf numFmtId="0" fontId="39" fillId="12" borderId="2" xfId="0" applyFont="1" applyFill="1" applyBorder="1" applyAlignment="1">
      <alignment horizontal="center" vertical="center" wrapText="1"/>
    </xf>
    <xf numFmtId="0" fontId="35" fillId="0" borderId="1" xfId="0" applyFont="1" applyBorder="1" applyAlignment="1">
      <alignment horizontal="left" vertical="top" wrapText="1"/>
    </xf>
    <xf numFmtId="0" fontId="43" fillId="0" borderId="1" xfId="0" applyFont="1" applyBorder="1" applyAlignment="1">
      <alignment horizontal="left" wrapText="1"/>
    </xf>
    <xf numFmtId="0" fontId="33" fillId="0" borderId="15" xfId="0" applyFont="1" applyBorder="1" applyAlignment="1">
      <alignment horizontal="left" vertical="center" wrapText="1"/>
    </xf>
    <xf numFmtId="0" fontId="33" fillId="0" borderId="12" xfId="0" applyFont="1" applyBorder="1" applyAlignment="1">
      <alignment horizontal="left" vertical="center" wrapText="1"/>
    </xf>
    <xf numFmtId="0" fontId="33" fillId="0" borderId="10" xfId="0" applyFont="1" applyBorder="1" applyAlignment="1">
      <alignment horizontal="left" vertical="center" wrapText="1"/>
    </xf>
    <xf numFmtId="0" fontId="35" fillId="0" borderId="96" xfId="0" applyFont="1" applyBorder="1" applyAlignment="1">
      <alignment horizontal="left" vertical="center" wrapText="1"/>
    </xf>
    <xf numFmtId="0" fontId="35" fillId="0" borderId="11" xfId="0" applyFont="1" applyBorder="1" applyAlignment="1">
      <alignment horizontal="left" vertical="center" wrapText="1"/>
    </xf>
    <xf numFmtId="0" fontId="35" fillId="0" borderId="49" xfId="0" applyFont="1" applyBorder="1" applyAlignment="1">
      <alignment horizontal="left" vertical="center" wrapText="1"/>
    </xf>
    <xf numFmtId="0" fontId="35" fillId="0" borderId="8" xfId="0" applyFont="1" applyBorder="1" applyAlignment="1">
      <alignment horizontal="left" vertical="center" wrapText="1"/>
    </xf>
    <xf numFmtId="0" fontId="35" fillId="29" borderId="1" xfId="0" applyFont="1" applyFill="1" applyBorder="1" applyAlignment="1">
      <alignment vertical="center" wrapText="1"/>
    </xf>
    <xf numFmtId="0" fontId="35" fillId="0" borderId="95" xfId="0" applyFont="1" applyBorder="1" applyAlignment="1">
      <alignment horizontal="left" vertical="center" wrapText="1"/>
    </xf>
    <xf numFmtId="0" fontId="35" fillId="0" borderId="13" xfId="0" applyFont="1" applyBorder="1" applyAlignment="1">
      <alignment horizontal="left" vertical="center" wrapText="1"/>
    </xf>
    <xf numFmtId="0" fontId="35" fillId="0" borderId="95" xfId="0" applyFont="1" applyBorder="1" applyAlignment="1">
      <alignment horizontal="left" vertical="top" wrapText="1"/>
    </xf>
    <xf numFmtId="0" fontId="35" fillId="0" borderId="13" xfId="0" applyFont="1" applyBorder="1" applyAlignment="1">
      <alignment horizontal="left" vertical="top" wrapText="1"/>
    </xf>
    <xf numFmtId="0" fontId="35" fillId="0" borderId="49" xfId="0" applyFont="1" applyBorder="1" applyAlignment="1">
      <alignment horizontal="left" vertical="top" wrapText="1"/>
    </xf>
    <xf numFmtId="0" fontId="35" fillId="0" borderId="8" xfId="0" applyFont="1" applyBorder="1" applyAlignment="1">
      <alignment horizontal="left" vertical="top" wrapText="1"/>
    </xf>
    <xf numFmtId="0" fontId="42" fillId="0" borderId="1" xfId="0" applyFont="1" applyBorder="1" applyAlignment="1">
      <alignment horizontal="left" vertical="top" wrapText="1"/>
    </xf>
    <xf numFmtId="0" fontId="33" fillId="12" borderId="1" xfId="0" applyFont="1" applyFill="1" applyBorder="1" applyAlignment="1">
      <alignment horizontal="center"/>
    </xf>
    <xf numFmtId="0" fontId="69" fillId="0" borderId="1" xfId="0" applyFont="1" applyBorder="1" applyAlignment="1">
      <alignment horizontal="left" vertical="top" wrapText="1"/>
    </xf>
    <xf numFmtId="0" fontId="42" fillId="0" borderId="1" xfId="0" applyFont="1" applyBorder="1" applyAlignment="1">
      <alignment vertical="top" wrapText="1"/>
    </xf>
    <xf numFmtId="0" fontId="35" fillId="0" borderId="15" xfId="0" applyFont="1" applyBorder="1" applyAlignment="1">
      <alignment vertical="center" wrapText="1"/>
    </xf>
    <xf numFmtId="0" fontId="35" fillId="0" borderId="12" xfId="0" applyFont="1" applyBorder="1" applyAlignment="1">
      <alignment vertical="center" wrapText="1"/>
    </xf>
    <xf numFmtId="0" fontId="35" fillId="0" borderId="10" xfId="0" applyFont="1" applyBorder="1" applyAlignment="1">
      <alignment vertical="center" wrapText="1"/>
    </xf>
    <xf numFmtId="0" fontId="32" fillId="12" borderId="1" xfId="0" applyFont="1" applyFill="1" applyBorder="1" applyAlignment="1">
      <alignment horizontal="left" vertical="top" wrapText="1"/>
    </xf>
    <xf numFmtId="0" fontId="33" fillId="0" borderId="15" xfId="0" applyFont="1" applyBorder="1" applyAlignment="1">
      <alignment vertical="center" wrapText="1"/>
    </xf>
    <xf numFmtId="0" fontId="33" fillId="0" borderId="12" xfId="0" applyFont="1" applyBorder="1" applyAlignment="1">
      <alignment vertical="center" wrapText="1"/>
    </xf>
    <xf numFmtId="0" fontId="33" fillId="0" borderId="10" xfId="0" applyFont="1" applyBorder="1" applyAlignment="1">
      <alignment vertical="center" wrapText="1"/>
    </xf>
    <xf numFmtId="0" fontId="35" fillId="0" borderId="1" xfId="0" applyFont="1" applyBorder="1" applyAlignment="1">
      <alignment vertical="center" wrapText="1"/>
    </xf>
    <xf numFmtId="0" fontId="66" fillId="2" borderId="1" xfId="0" applyFont="1" applyFill="1" applyBorder="1" applyAlignment="1">
      <alignment horizontal="left" vertical="top" wrapText="1"/>
    </xf>
    <xf numFmtId="170" fontId="34" fillId="0" borderId="4" xfId="22" applyNumberFormat="1" applyFont="1" applyFill="1" applyBorder="1" applyAlignment="1">
      <alignment vertical="center" wrapText="1"/>
    </xf>
    <xf numFmtId="170" fontId="34" fillId="0" borderId="28" xfId="22" applyNumberFormat="1" applyFont="1" applyFill="1" applyBorder="1" applyAlignment="1">
      <alignment vertical="center" wrapText="1"/>
    </xf>
    <xf numFmtId="170" fontId="34" fillId="0" borderId="2" xfId="22" applyNumberFormat="1" applyFont="1" applyFill="1" applyBorder="1" applyAlignment="1">
      <alignment vertical="center" wrapText="1"/>
    </xf>
    <xf numFmtId="170" fontId="35" fillId="0" borderId="4" xfId="0" applyNumberFormat="1" applyFont="1" applyBorder="1" applyAlignment="1">
      <alignment vertical="center" wrapText="1"/>
    </xf>
    <xf numFmtId="170" fontId="35" fillId="0" borderId="28" xfId="0" applyNumberFormat="1" applyFont="1" applyBorder="1" applyAlignment="1">
      <alignment vertical="center" wrapText="1"/>
    </xf>
    <xf numFmtId="170" fontId="35" fillId="0" borderId="2" xfId="0" applyNumberFormat="1" applyFont="1" applyBorder="1" applyAlignment="1">
      <alignment vertical="center" wrapText="1"/>
    </xf>
    <xf numFmtId="170" fontId="35" fillId="0" borderId="4" xfId="22" applyNumberFormat="1" applyFont="1" applyFill="1" applyBorder="1" applyAlignment="1">
      <alignment vertical="center" wrapText="1"/>
    </xf>
    <xf numFmtId="170" fontId="35" fillId="0" borderId="28" xfId="22" applyNumberFormat="1" applyFont="1" applyFill="1" applyBorder="1" applyAlignment="1">
      <alignment vertical="center" wrapText="1"/>
    </xf>
    <xf numFmtId="170" fontId="35" fillId="0" borderId="2" xfId="22" applyNumberFormat="1" applyFont="1" applyFill="1" applyBorder="1" applyAlignment="1">
      <alignment vertical="center" wrapText="1"/>
    </xf>
    <xf numFmtId="43" fontId="35" fillId="0" borderId="15" xfId="20" applyFont="1" applyFill="1" applyBorder="1" applyAlignment="1" applyProtection="1">
      <alignment horizontal="left" vertical="center" wrapText="1"/>
      <protection/>
    </xf>
    <xf numFmtId="43" fontId="35" fillId="0" borderId="12" xfId="20" applyFont="1" applyFill="1" applyBorder="1" applyAlignment="1" applyProtection="1">
      <alignment horizontal="left" vertical="center" wrapText="1"/>
      <protection/>
    </xf>
    <xf numFmtId="43" fontId="35" fillId="0" borderId="10" xfId="20" applyFont="1" applyFill="1" applyBorder="1" applyAlignment="1" applyProtection="1">
      <alignment horizontal="left" vertical="center" wrapText="1"/>
      <protection/>
    </xf>
    <xf numFmtId="0" fontId="35" fillId="2" borderId="4" xfId="0" applyFont="1" applyFill="1" applyBorder="1" applyAlignment="1">
      <alignment horizontal="left"/>
    </xf>
    <xf numFmtId="0" fontId="35" fillId="2" borderId="2" xfId="0" applyFont="1" applyFill="1" applyBorder="1" applyAlignment="1">
      <alignment horizontal="left"/>
    </xf>
    <xf numFmtId="0" fontId="35" fillId="2" borderId="15" xfId="0" applyFont="1" applyFill="1" applyBorder="1" applyAlignment="1">
      <alignment horizontal="center" vertical="center"/>
    </xf>
    <xf numFmtId="0" fontId="35" fillId="2" borderId="12" xfId="0" applyFont="1" applyFill="1" applyBorder="1" applyAlignment="1">
      <alignment horizontal="center" vertical="center"/>
    </xf>
    <xf numFmtId="0" fontId="35" fillId="2" borderId="10" xfId="0" applyFont="1" applyFill="1" applyBorder="1" applyAlignment="1">
      <alignment horizontal="center" vertical="center"/>
    </xf>
    <xf numFmtId="0" fontId="32" fillId="18" borderId="4" xfId="0" applyFont="1" applyFill="1" applyBorder="1" applyAlignment="1">
      <alignment horizontal="center"/>
    </xf>
    <xf numFmtId="0" fontId="32" fillId="18" borderId="2" xfId="0" applyFont="1" applyFill="1" applyBorder="1" applyAlignment="1">
      <alignment horizontal="center"/>
    </xf>
    <xf numFmtId="0" fontId="35" fillId="2" borderId="4" xfId="0" applyFont="1" applyFill="1" applyBorder="1" applyAlignment="1">
      <alignment wrapText="1"/>
    </xf>
    <xf numFmtId="0" fontId="35" fillId="2" borderId="2" xfId="0" applyFont="1" applyFill="1" applyBorder="1" applyAlignment="1">
      <alignment wrapText="1"/>
    </xf>
    <xf numFmtId="0" fontId="35" fillId="2" borderId="4" xfId="0" applyFont="1" applyFill="1" applyBorder="1"/>
    <xf numFmtId="0" fontId="35" fillId="2" borderId="2" xfId="0" applyFont="1" applyFill="1" applyBorder="1"/>
    <xf numFmtId="0" fontId="32" fillId="18" borderId="1" xfId="0" applyFont="1" applyFill="1" applyBorder="1" applyAlignment="1">
      <alignment horizontal="center"/>
    </xf>
    <xf numFmtId="0" fontId="32" fillId="18" borderId="95" xfId="0" applyFont="1" applyFill="1" applyBorder="1" applyAlignment="1">
      <alignment horizontal="center" vertical="center" wrapText="1"/>
    </xf>
    <xf numFmtId="0" fontId="32" fillId="18" borderId="13" xfId="0" applyFont="1" applyFill="1" applyBorder="1" applyAlignment="1">
      <alignment horizontal="center" vertical="center" wrapText="1"/>
    </xf>
    <xf numFmtId="0" fontId="32" fillId="18" borderId="49" xfId="0" applyFont="1" applyFill="1" applyBorder="1" applyAlignment="1">
      <alignment horizontal="center" vertical="center" wrapText="1"/>
    </xf>
    <xf numFmtId="0" fontId="32" fillId="18" borderId="8" xfId="0" applyFont="1" applyFill="1" applyBorder="1" applyAlignment="1">
      <alignment horizontal="center" vertical="center" wrapText="1"/>
    </xf>
    <xf numFmtId="0" fontId="32" fillId="18" borderId="4" xfId="0" applyFont="1" applyFill="1" applyBorder="1" applyAlignment="1">
      <alignment horizontal="center" vertical="center"/>
    </xf>
    <xf numFmtId="0" fontId="32" fillId="18" borderId="2" xfId="0" applyFont="1" applyFill="1" applyBorder="1" applyAlignment="1">
      <alignment horizontal="center" vertical="center"/>
    </xf>
    <xf numFmtId="0" fontId="74" fillId="12" borderId="37" xfId="0" applyFont="1" applyFill="1" applyBorder="1" applyAlignment="1">
      <alignment horizontal="center" vertical="center" wrapText="1"/>
    </xf>
    <xf numFmtId="0" fontId="74" fillId="12" borderId="22" xfId="0" applyFont="1" applyFill="1" applyBorder="1" applyAlignment="1">
      <alignment horizontal="center" vertical="center" wrapText="1"/>
    </xf>
    <xf numFmtId="0" fontId="32" fillId="0" borderId="41" xfId="0" applyFont="1" applyBorder="1" applyAlignment="1">
      <alignment horizontal="left" wrapText="1"/>
    </xf>
    <xf numFmtId="0" fontId="32" fillId="0" borderId="45" xfId="0" applyFont="1" applyBorder="1" applyAlignment="1">
      <alignment horizontal="left" wrapText="1"/>
    </xf>
    <xf numFmtId="0" fontId="32" fillId="0" borderId="21" xfId="0" applyFont="1" applyBorder="1" applyAlignment="1">
      <alignment horizontal="left" wrapText="1"/>
    </xf>
    <xf numFmtId="0" fontId="35" fillId="0" borderId="41" xfId="0" applyFont="1" applyBorder="1" applyAlignment="1">
      <alignment horizontal="left" vertical="top" wrapText="1"/>
    </xf>
    <xf numFmtId="0" fontId="35" fillId="0" borderId="21" xfId="0" applyFont="1" applyBorder="1" applyAlignment="1">
      <alignment horizontal="left" vertical="top" wrapText="1"/>
    </xf>
    <xf numFmtId="0" fontId="32" fillId="20" borderId="44" xfId="0" applyFont="1" applyFill="1" applyBorder="1" applyAlignment="1">
      <alignment horizontal="right"/>
    </xf>
    <xf numFmtId="0" fontId="32" fillId="20" borderId="34" xfId="0" applyFont="1" applyFill="1" applyBorder="1" applyAlignment="1">
      <alignment horizontal="right"/>
    </xf>
    <xf numFmtId="4" fontId="35" fillId="20" borderId="37" xfId="0" applyNumberFormat="1" applyFont="1" applyFill="1" applyBorder="1" applyAlignment="1">
      <alignment horizontal="center"/>
    </xf>
    <xf numFmtId="4" fontId="35" fillId="20" borderId="22" xfId="0" applyNumberFormat="1" applyFont="1" applyFill="1" applyBorder="1" applyAlignment="1">
      <alignment horizontal="center"/>
    </xf>
    <xf numFmtId="4" fontId="35" fillId="20" borderId="97" xfId="0" applyNumberFormat="1" applyFont="1" applyFill="1" applyBorder="1" applyAlignment="1">
      <alignment horizontal="center" wrapText="1"/>
    </xf>
    <xf numFmtId="4" fontId="35" fillId="20" borderId="16" xfId="0" applyNumberFormat="1" applyFont="1" applyFill="1" applyBorder="1" applyAlignment="1">
      <alignment horizontal="center" wrapText="1"/>
    </xf>
    <xf numFmtId="0" fontId="32" fillId="20" borderId="41" xfId="0" applyFont="1" applyFill="1" applyBorder="1" applyAlignment="1">
      <alignment horizontal="center" wrapText="1"/>
    </xf>
    <xf numFmtId="0" fontId="32" fillId="20" borderId="21" xfId="0" applyFont="1" applyFill="1" applyBorder="1" applyAlignment="1">
      <alignment horizontal="center" wrapText="1"/>
    </xf>
    <xf numFmtId="0" fontId="32" fillId="0" borderId="43" xfId="0" applyFont="1" applyBorder="1" applyAlignment="1">
      <alignment horizontal="center" wrapText="1"/>
    </xf>
    <xf numFmtId="0" fontId="32" fillId="0" borderId="97" xfId="0" applyFont="1" applyBorder="1" applyAlignment="1">
      <alignment horizontal="center" wrapText="1"/>
    </xf>
    <xf numFmtId="0" fontId="42" fillId="0" borderId="41" xfId="0" applyFont="1" applyBorder="1" applyAlignment="1">
      <alignment horizontal="left" vertical="top" wrapText="1"/>
    </xf>
    <xf numFmtId="0" fontId="42" fillId="0" borderId="21" xfId="0" applyFont="1" applyBorder="1" applyAlignment="1">
      <alignment horizontal="left" vertical="top" wrapText="1"/>
    </xf>
    <xf numFmtId="4" fontId="35" fillId="12" borderId="37" xfId="0" applyNumberFormat="1" applyFont="1" applyFill="1" applyBorder="1" applyAlignment="1">
      <alignment horizontal="center" wrapText="1"/>
    </xf>
    <xf numFmtId="4" fontId="35" fillId="12" borderId="22" xfId="0" applyNumberFormat="1" applyFont="1" applyFill="1" applyBorder="1" applyAlignment="1">
      <alignment horizontal="center" wrapText="1"/>
    </xf>
    <xf numFmtId="0" fontId="41" fillId="0" borderId="46" xfId="0" applyFont="1" applyBorder="1" applyAlignment="1">
      <alignment wrapText="1"/>
    </xf>
    <xf numFmtId="0" fontId="41" fillId="0" borderId="0" xfId="0" applyFont="1" applyAlignment="1">
      <alignment wrapText="1"/>
    </xf>
    <xf numFmtId="0" fontId="41" fillId="0" borderId="19" xfId="0" applyFont="1" applyBorder="1" applyAlignment="1">
      <alignment wrapText="1"/>
    </xf>
    <xf numFmtId="0" fontId="41" fillId="0" borderId="42" xfId="0" applyFont="1" applyBorder="1" applyAlignment="1">
      <alignment wrapText="1"/>
    </xf>
    <xf numFmtId="0" fontId="41" fillId="0" borderId="34" xfId="0" applyFont="1" applyBorder="1" applyAlignment="1">
      <alignment wrapText="1"/>
    </xf>
    <xf numFmtId="0" fontId="41" fillId="0" borderId="16" xfId="0" applyFont="1" applyBorder="1" applyAlignment="1">
      <alignment wrapText="1"/>
    </xf>
    <xf numFmtId="0" fontId="32" fillId="0" borderId="37"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22" xfId="0" applyFont="1" applyBorder="1" applyAlignment="1">
      <alignment horizontal="center" vertical="center" wrapText="1"/>
    </xf>
    <xf numFmtId="0" fontId="41" fillId="0" borderId="41" xfId="0" applyFont="1" applyBorder="1" applyAlignment="1">
      <alignment horizontal="left" wrapText="1"/>
    </xf>
    <xf numFmtId="0" fontId="41" fillId="0" borderId="45" xfId="0" applyFont="1" applyBorder="1" applyAlignment="1">
      <alignment horizontal="left" wrapText="1"/>
    </xf>
    <xf numFmtId="0" fontId="41" fillId="0" borderId="21" xfId="0" applyFont="1" applyBorder="1" applyAlignment="1">
      <alignment horizontal="left" wrapText="1"/>
    </xf>
    <xf numFmtId="43" fontId="35" fillId="0" borderId="47" xfId="20" applyFont="1" applyBorder="1" applyAlignment="1">
      <alignment horizontal="center" vertical="center" wrapText="1"/>
    </xf>
    <xf numFmtId="43" fontId="35" fillId="0" borderId="22" xfId="20" applyFont="1" applyBorder="1" applyAlignment="1">
      <alignment horizontal="center" vertical="center" wrapText="1"/>
    </xf>
    <xf numFmtId="43" fontId="32" fillId="20" borderId="41" xfId="20" applyFont="1" applyFill="1" applyBorder="1" applyAlignment="1">
      <alignment horizontal="center"/>
    </xf>
    <xf numFmtId="43" fontId="32" fillId="20" borderId="21" xfId="20" applyFont="1" applyFill="1" applyBorder="1" applyAlignment="1">
      <alignment horizontal="center"/>
    </xf>
    <xf numFmtId="0" fontId="32" fillId="20" borderId="41" xfId="0" applyFont="1" applyFill="1" applyBorder="1" applyAlignment="1">
      <alignment horizontal="center"/>
    </xf>
    <xf numFmtId="0" fontId="32" fillId="20" borderId="98" xfId="0" applyFont="1" applyFill="1" applyBorder="1" applyAlignment="1">
      <alignment horizontal="center"/>
    </xf>
    <xf numFmtId="0" fontId="32" fillId="20" borderId="43" xfId="0" applyFont="1" applyFill="1" applyBorder="1" applyAlignment="1">
      <alignment horizontal="left" wrapText="1" indent="1"/>
    </xf>
    <xf numFmtId="0" fontId="32" fillId="20" borderId="97" xfId="0" applyFont="1" applyFill="1" applyBorder="1" applyAlignment="1">
      <alignment horizontal="left" wrapText="1" indent="1"/>
    </xf>
    <xf numFmtId="0" fontId="32" fillId="20" borderId="43" xfId="0" applyFont="1" applyFill="1" applyBorder="1" applyAlignment="1">
      <alignment horizontal="center" wrapText="1"/>
    </xf>
    <xf numFmtId="0" fontId="32" fillId="20" borderId="44" xfId="0" applyFont="1" applyFill="1" applyBorder="1" applyAlignment="1">
      <alignment horizontal="center" wrapText="1"/>
    </xf>
    <xf numFmtId="0" fontId="32" fillId="20" borderId="99" xfId="0" applyFont="1" applyFill="1" applyBorder="1" applyAlignment="1">
      <alignment horizontal="center" wrapText="1"/>
    </xf>
    <xf numFmtId="0" fontId="32" fillId="20" borderId="100" xfId="0" applyFont="1" applyFill="1" applyBorder="1" applyAlignment="1">
      <alignment horizontal="center" wrapText="1"/>
    </xf>
    <xf numFmtId="43" fontId="35" fillId="0" borderId="101" xfId="20" applyFont="1" applyBorder="1" applyAlignment="1">
      <alignment horizontal="center" vertical="center" wrapText="1"/>
    </xf>
    <xf numFmtId="0" fontId="41" fillId="0" borderId="43" xfId="0" applyFont="1" applyBorder="1" applyAlignment="1">
      <alignment wrapText="1"/>
    </xf>
    <xf numFmtId="0" fontId="41" fillId="0" borderId="44" xfId="0" applyFont="1" applyBorder="1" applyAlignment="1">
      <alignment wrapText="1"/>
    </xf>
    <xf numFmtId="0" fontId="41" fillId="0" borderId="97" xfId="0" applyFont="1" applyBorder="1" applyAlignment="1">
      <alignment wrapText="1"/>
    </xf>
    <xf numFmtId="43" fontId="32" fillId="20" borderId="98" xfId="20" applyFont="1" applyFill="1" applyBorder="1" applyAlignment="1">
      <alignment horizontal="center"/>
    </xf>
    <xf numFmtId="0" fontId="74" fillId="12" borderId="47" xfId="0" applyFont="1" applyFill="1" applyBorder="1" applyAlignment="1">
      <alignment horizontal="center" vertical="center" wrapText="1"/>
    </xf>
    <xf numFmtId="0" fontId="32" fillId="20" borderId="41" xfId="0" applyFont="1" applyFill="1" applyBorder="1" applyAlignment="1">
      <alignment horizontal="left" wrapText="1"/>
    </xf>
    <xf numFmtId="0" fontId="32" fillId="20" borderId="21" xfId="0" applyFont="1" applyFill="1" applyBorder="1" applyAlignment="1">
      <alignment horizontal="left" wrapText="1"/>
    </xf>
    <xf numFmtId="0" fontId="32" fillId="0" borderId="43" xfId="0" applyFont="1" applyBorder="1" applyAlignment="1">
      <alignment horizontal="center" vertical="center" wrapText="1"/>
    </xf>
    <xf numFmtId="0" fontId="32" fillId="0" borderId="97"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41" xfId="0" applyFont="1" applyBorder="1" applyAlignment="1">
      <alignment wrapText="1"/>
    </xf>
    <xf numFmtId="0" fontId="32" fillId="0" borderId="45" xfId="0" applyFont="1" applyBorder="1" applyAlignment="1">
      <alignment wrapText="1"/>
    </xf>
    <xf numFmtId="0" fontId="32" fillId="0" borderId="21" xfId="0" applyFont="1" applyBorder="1" applyAlignment="1">
      <alignment wrapText="1"/>
    </xf>
    <xf numFmtId="169" fontId="32" fillId="20" borderId="41" xfId="0" applyNumberFormat="1" applyFont="1" applyFill="1" applyBorder="1" applyAlignment="1">
      <alignment horizontal="left" wrapText="1"/>
    </xf>
    <xf numFmtId="169" fontId="32" fillId="20" borderId="21" xfId="0" applyNumberFormat="1" applyFont="1" applyFill="1" applyBorder="1" applyAlignment="1">
      <alignment horizontal="left" wrapText="1"/>
    </xf>
    <xf numFmtId="0" fontId="32" fillId="0" borderId="102" xfId="0" applyFont="1" applyBorder="1" applyAlignment="1">
      <alignment horizontal="left" vertical="center" wrapText="1"/>
    </xf>
    <xf numFmtId="0" fontId="32" fillId="0" borderId="52" xfId="0" applyFont="1" applyBorder="1" applyAlignment="1">
      <alignment horizontal="left" vertical="center" wrapText="1"/>
    </xf>
    <xf numFmtId="0" fontId="32" fillId="0" borderId="103" xfId="0" applyFont="1" applyBorder="1" applyAlignment="1">
      <alignment horizontal="left" vertical="center" wrapText="1"/>
    </xf>
    <xf numFmtId="0" fontId="33" fillId="0" borderId="81" xfId="0" applyFont="1" applyBorder="1" applyAlignment="1">
      <alignment horizontal="left" vertical="center" wrapText="1"/>
    </xf>
    <xf numFmtId="0" fontId="33" fillId="0" borderId="24" xfId="0" applyFont="1" applyBorder="1" applyAlignment="1">
      <alignment horizontal="left" vertical="center" wrapText="1"/>
    </xf>
    <xf numFmtId="0" fontId="33" fillId="0" borderId="25" xfId="0" applyFont="1" applyBorder="1" applyAlignment="1">
      <alignment horizontal="left" vertical="center" wrapText="1"/>
    </xf>
    <xf numFmtId="169" fontId="32" fillId="21" borderId="51" xfId="0" applyNumberFormat="1" applyFont="1" applyFill="1" applyBorder="1" applyAlignment="1">
      <alignment horizontal="left" vertical="center" wrapText="1"/>
    </xf>
    <xf numFmtId="169" fontId="32" fillId="21" borderId="53" xfId="0" applyNumberFormat="1" applyFont="1" applyFill="1" applyBorder="1" applyAlignment="1">
      <alignment horizontal="left" vertical="center" wrapText="1"/>
    </xf>
    <xf numFmtId="4" fontId="32" fillId="0" borderId="43" xfId="0" applyNumberFormat="1" applyFont="1" applyBorder="1" applyAlignment="1">
      <alignment horizontal="center" vertical="center" wrapText="1"/>
    </xf>
    <xf numFmtId="4" fontId="32" fillId="0" borderId="97" xfId="0" applyNumberFormat="1" applyFont="1" applyBorder="1" applyAlignment="1">
      <alignment horizontal="center" vertical="center" wrapText="1"/>
    </xf>
    <xf numFmtId="4" fontId="32" fillId="0" borderId="46" xfId="0" applyNumberFormat="1" applyFont="1" applyBorder="1" applyAlignment="1">
      <alignment horizontal="center" vertical="center" wrapText="1"/>
    </xf>
    <xf numFmtId="4" fontId="32" fillId="0" borderId="19" xfId="0" applyNumberFormat="1" applyFont="1" applyBorder="1" applyAlignment="1">
      <alignment horizontal="center" vertical="center" wrapText="1"/>
    </xf>
    <xf numFmtId="4" fontId="32" fillId="0" borderId="42" xfId="0" applyNumberFormat="1" applyFont="1" applyBorder="1" applyAlignment="1">
      <alignment horizontal="center" vertical="center" wrapText="1"/>
    </xf>
    <xf numFmtId="4" fontId="32" fillId="0" borderId="16" xfId="0" applyNumberFormat="1" applyFont="1" applyBorder="1" applyAlignment="1">
      <alignment horizontal="center" vertical="center" wrapText="1"/>
    </xf>
    <xf numFmtId="0" fontId="32" fillId="12" borderId="37" xfId="0" applyFont="1" applyFill="1" applyBorder="1" applyAlignment="1">
      <alignment horizontal="center" vertical="center" wrapText="1"/>
    </xf>
    <xf numFmtId="0" fontId="32" fillId="12" borderId="22" xfId="0" applyFont="1" applyFill="1" applyBorder="1" applyAlignment="1">
      <alignment horizontal="center" vertical="center" wrapText="1"/>
    </xf>
    <xf numFmtId="0" fontId="35" fillId="20" borderId="41" xfId="0" applyFont="1" applyFill="1" applyBorder="1" applyAlignment="1">
      <alignment horizontal="right" wrapText="1" indent="1"/>
    </xf>
    <xf numFmtId="0" fontId="35" fillId="20" borderId="21" xfId="0" applyFont="1" applyFill="1" applyBorder="1" applyAlignment="1">
      <alignment horizontal="right" wrapText="1" indent="1"/>
    </xf>
    <xf numFmtId="0" fontId="35" fillId="20" borderId="98" xfId="0" applyFont="1" applyFill="1" applyBorder="1" applyAlignment="1">
      <alignment horizontal="right" wrapText="1" indent="1"/>
    </xf>
    <xf numFmtId="0" fontId="32" fillId="12" borderId="47" xfId="0" applyFont="1" applyFill="1" applyBorder="1" applyAlignment="1">
      <alignment horizontal="center" vertical="center" wrapText="1"/>
    </xf>
    <xf numFmtId="0" fontId="32" fillId="12" borderId="20" xfId="0" applyFont="1" applyFill="1" applyBorder="1" applyAlignment="1">
      <alignment horizontal="center" vertical="center" wrapText="1"/>
    </xf>
    <xf numFmtId="0" fontId="32" fillId="0" borderId="41"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04" xfId="0" applyFont="1" applyBorder="1" applyAlignment="1">
      <alignment horizontal="center" wrapText="1"/>
    </xf>
    <xf numFmtId="0" fontId="32" fillId="0" borderId="105" xfId="0" applyFont="1" applyBorder="1" applyAlignment="1">
      <alignment horizontal="center" wrapText="1"/>
    </xf>
    <xf numFmtId="0" fontId="32" fillId="20" borderId="41" xfId="0" applyFont="1" applyFill="1" applyBorder="1" applyAlignment="1">
      <alignment horizontal="left" wrapText="1" indent="1"/>
    </xf>
    <xf numFmtId="0" fontId="32" fillId="20" borderId="21" xfId="0" applyFont="1" applyFill="1" applyBorder="1" applyAlignment="1">
      <alignment horizontal="left" wrapText="1" indent="1"/>
    </xf>
    <xf numFmtId="0" fontId="32" fillId="20" borderId="45" xfId="0" applyFont="1" applyFill="1" applyBorder="1" applyAlignment="1">
      <alignment horizontal="center" wrapText="1"/>
    </xf>
    <xf numFmtId="0" fontId="35" fillId="0" borderId="101" xfId="0" applyFont="1" applyBorder="1" applyAlignment="1">
      <alignment horizontal="center" vertical="center" wrapText="1"/>
    </xf>
    <xf numFmtId="0" fontId="35" fillId="0" borderId="47" xfId="0" applyFont="1" applyBorder="1" applyAlignment="1">
      <alignment horizontal="center" vertical="center" wrapText="1"/>
    </xf>
    <xf numFmtId="0" fontId="35" fillId="19" borderId="101" xfId="0" applyFont="1" applyFill="1" applyBorder="1" applyAlignment="1">
      <alignment horizontal="center" vertical="center" wrapText="1"/>
    </xf>
    <xf numFmtId="0" fontId="35" fillId="19" borderId="47" xfId="0" applyFont="1" applyFill="1" applyBorder="1" applyAlignment="1">
      <alignment horizontal="center" vertical="center" wrapText="1"/>
    </xf>
    <xf numFmtId="0" fontId="35" fillId="19" borderId="106" xfId="0" applyFont="1" applyFill="1" applyBorder="1" applyAlignment="1">
      <alignment horizontal="center" vertical="center" wrapText="1"/>
    </xf>
    <xf numFmtId="43" fontId="35" fillId="19" borderId="101" xfId="20" applyFont="1" applyFill="1" applyBorder="1" applyAlignment="1">
      <alignment horizontal="center" vertical="center" wrapText="1"/>
    </xf>
    <xf numFmtId="43" fontId="35" fillId="19" borderId="47" xfId="20" applyFont="1" applyFill="1" applyBorder="1" applyAlignment="1">
      <alignment horizontal="center" vertical="center" wrapText="1"/>
    </xf>
    <xf numFmtId="43" fontId="35" fillId="19" borderId="106" xfId="20" applyFont="1" applyFill="1" applyBorder="1" applyAlignment="1">
      <alignment horizontal="center" vertical="center" wrapText="1"/>
    </xf>
    <xf numFmtId="0" fontId="32" fillId="20" borderId="43" xfId="0" applyFont="1" applyFill="1" applyBorder="1" applyAlignment="1">
      <alignment horizontal="center" vertical="center"/>
    </xf>
    <xf numFmtId="0" fontId="32" fillId="20" borderId="44" xfId="0" applyFont="1" applyFill="1" applyBorder="1" applyAlignment="1">
      <alignment horizontal="center" vertical="center"/>
    </xf>
    <xf numFmtId="0" fontId="32" fillId="20" borderId="97" xfId="0" applyFont="1" applyFill="1" applyBorder="1" applyAlignment="1">
      <alignment horizontal="center" vertical="center"/>
    </xf>
    <xf numFmtId="0" fontId="32" fillId="20" borderId="46" xfId="0" applyFont="1" applyFill="1" applyBorder="1" applyAlignment="1">
      <alignment horizontal="center" vertical="center"/>
    </xf>
    <xf numFmtId="0" fontId="32" fillId="20" borderId="0" xfId="0" applyFont="1" applyFill="1" applyAlignment="1">
      <alignment horizontal="center" vertical="center"/>
    </xf>
    <xf numFmtId="0" fontId="32" fillId="20" borderId="19" xfId="0" applyFont="1" applyFill="1" applyBorder="1" applyAlignment="1">
      <alignment horizontal="center" vertical="center"/>
    </xf>
    <xf numFmtId="0" fontId="32" fillId="20" borderId="42" xfId="0" applyFont="1" applyFill="1" applyBorder="1" applyAlignment="1">
      <alignment horizontal="center" vertical="center"/>
    </xf>
    <xf numFmtId="0" fontId="32" fillId="20" borderId="34" xfId="0" applyFont="1" applyFill="1" applyBorder="1" applyAlignment="1">
      <alignment horizontal="center" vertical="center"/>
    </xf>
    <xf numFmtId="0" fontId="32" fillId="20" borderId="16" xfId="0" applyFont="1" applyFill="1" applyBorder="1" applyAlignment="1">
      <alignment horizontal="center" vertical="center"/>
    </xf>
    <xf numFmtId="0" fontId="35" fillId="20" borderId="107" xfId="0" applyFont="1" applyFill="1" applyBorder="1" applyAlignment="1">
      <alignment horizontal="left" indent="1"/>
    </xf>
    <xf numFmtId="0" fontId="35" fillId="20" borderId="47" xfId="0" applyFont="1" applyFill="1" applyBorder="1" applyAlignment="1">
      <alignment horizontal="left" indent="1"/>
    </xf>
    <xf numFmtId="0" fontId="35" fillId="20" borderId="22" xfId="0" applyFont="1" applyFill="1" applyBorder="1" applyAlignment="1">
      <alignment horizontal="left" indent="1"/>
    </xf>
    <xf numFmtId="0" fontId="35" fillId="0" borderId="22" xfId="0" applyFont="1" applyBorder="1" applyAlignment="1">
      <alignment horizontal="center" vertical="center" wrapText="1"/>
    </xf>
    <xf numFmtId="0" fontId="35" fillId="19" borderId="22" xfId="0" applyFont="1" applyFill="1" applyBorder="1" applyAlignment="1">
      <alignment horizontal="center" vertical="center" wrapText="1"/>
    </xf>
    <xf numFmtId="0" fontId="32" fillId="20" borderId="41" xfId="0" applyFont="1" applyFill="1" applyBorder="1" applyAlignment="1">
      <alignment horizontal="right" wrapText="1" indent="1"/>
    </xf>
    <xf numFmtId="0" fontId="32" fillId="20" borderId="21" xfId="0" applyFont="1" applyFill="1" applyBorder="1" applyAlignment="1">
      <alignment horizontal="right" wrapText="1" indent="1"/>
    </xf>
    <xf numFmtId="0" fontId="41" fillId="0" borderId="108" xfId="0" applyFont="1" applyBorder="1" applyAlignment="1">
      <alignment wrapText="1"/>
    </xf>
    <xf numFmtId="0" fontId="41" fillId="0" borderId="109" xfId="0" applyFont="1" applyBorder="1" applyAlignment="1">
      <alignment wrapText="1"/>
    </xf>
    <xf numFmtId="0" fontId="41" fillId="0" borderId="110" xfId="0" applyFont="1" applyBorder="1" applyAlignment="1">
      <alignment wrapText="1"/>
    </xf>
    <xf numFmtId="0" fontId="41" fillId="0" borderId="111" xfId="0" applyFont="1" applyBorder="1" applyAlignment="1">
      <alignment wrapText="1"/>
    </xf>
    <xf numFmtId="0" fontId="32" fillId="0" borderId="41" xfId="0" applyFont="1" applyBorder="1" applyAlignment="1">
      <alignment horizontal="center" vertical="top" wrapText="1"/>
    </xf>
    <xf numFmtId="0" fontId="32" fillId="0" borderId="21" xfId="0" applyFont="1" applyBorder="1" applyAlignment="1">
      <alignment horizontal="center" vertical="top" wrapText="1"/>
    </xf>
    <xf numFmtId="0" fontId="35" fillId="20" borderId="41" xfId="0" applyFont="1" applyFill="1" applyBorder="1" applyAlignment="1">
      <alignment horizontal="left" wrapText="1" indent="1"/>
    </xf>
    <xf numFmtId="0" fontId="35" fillId="20" borderId="21" xfId="0" applyFont="1" applyFill="1" applyBorder="1" applyAlignment="1">
      <alignment horizontal="left" wrapText="1" indent="1"/>
    </xf>
    <xf numFmtId="0" fontId="35" fillId="20" borderId="98" xfId="0" applyFont="1" applyFill="1" applyBorder="1" applyAlignment="1">
      <alignment horizontal="left" wrapText="1" indent="1"/>
    </xf>
    <xf numFmtId="0" fontId="35" fillId="0" borderId="106" xfId="0" applyFont="1" applyBorder="1" applyAlignment="1">
      <alignment horizontal="center" vertical="center" wrapText="1"/>
    </xf>
    <xf numFmtId="43" fontId="35" fillId="0" borderId="101" xfId="20" applyFont="1" applyFill="1" applyBorder="1" applyAlignment="1">
      <alignment horizontal="center" vertical="center" wrapText="1"/>
    </xf>
    <xf numFmtId="43" fontId="35" fillId="0" borderId="47" xfId="20" applyFont="1" applyFill="1" applyBorder="1" applyAlignment="1">
      <alignment horizontal="center" vertical="center" wrapText="1"/>
    </xf>
    <xf numFmtId="43" fontId="35" fillId="0" borderId="106" xfId="20" applyFont="1" applyFill="1" applyBorder="1" applyAlignment="1">
      <alignment horizontal="center" vertical="center" wrapText="1"/>
    </xf>
    <xf numFmtId="0" fontId="32" fillId="0" borderId="41" xfId="0" applyFont="1" applyBorder="1" applyAlignment="1">
      <alignment horizontal="right" wrapText="1"/>
    </xf>
    <xf numFmtId="0" fontId="32" fillId="0" borderId="21" xfId="0" applyFont="1" applyBorder="1" applyAlignment="1">
      <alignment horizontal="right" wrapText="1"/>
    </xf>
    <xf numFmtId="0" fontId="32" fillId="20" borderId="98" xfId="0" applyFont="1" applyFill="1" applyBorder="1" applyAlignment="1">
      <alignment horizontal="center" wrapText="1"/>
    </xf>
    <xf numFmtId="0" fontId="35" fillId="0" borderId="43" xfId="0" applyFont="1" applyBorder="1" applyAlignment="1">
      <alignment horizontal="center" vertical="center" wrapText="1"/>
    </xf>
    <xf numFmtId="0" fontId="35" fillId="0" borderId="97" xfId="0" applyFont="1" applyBorder="1" applyAlignment="1">
      <alignment horizontal="center" vertical="center" wrapText="1"/>
    </xf>
    <xf numFmtId="43" fontId="35" fillId="0" borderId="107" xfId="20" applyFont="1" applyFill="1" applyBorder="1" applyAlignment="1">
      <alignment horizontal="center" vertical="center"/>
    </xf>
    <xf numFmtId="43" fontId="35" fillId="0" borderId="47" xfId="20" applyFont="1" applyFill="1" applyBorder="1" applyAlignment="1">
      <alignment horizontal="center" vertical="center"/>
    </xf>
    <xf numFmtId="43" fontId="35" fillId="0" borderId="22" xfId="20" applyFont="1" applyFill="1" applyBorder="1" applyAlignment="1">
      <alignment horizontal="center" vertical="center"/>
    </xf>
    <xf numFmtId="43" fontId="35" fillId="0" borderId="106" xfId="20" applyFont="1" applyBorder="1" applyAlignment="1">
      <alignment horizontal="center" vertical="center" wrapText="1"/>
    </xf>
    <xf numFmtId="0" fontId="32" fillId="20" borderId="112" xfId="0" applyFont="1" applyFill="1" applyBorder="1" applyAlignment="1">
      <alignment horizontal="center" vertical="center" wrapText="1"/>
    </xf>
    <xf numFmtId="0" fontId="32" fillId="20" borderId="113" xfId="0" applyFont="1" applyFill="1" applyBorder="1" applyAlignment="1">
      <alignment horizontal="center" vertical="center" wrapText="1"/>
    </xf>
    <xf numFmtId="0" fontId="32" fillId="20" borderId="114" xfId="0" applyFont="1" applyFill="1" applyBorder="1" applyAlignment="1">
      <alignment horizontal="center" vertical="center" wrapText="1"/>
    </xf>
    <xf numFmtId="0" fontId="32" fillId="20" borderId="46" xfId="0" applyFont="1" applyFill="1" applyBorder="1" applyAlignment="1">
      <alignment horizontal="center" vertical="center" wrapText="1"/>
    </xf>
    <xf numFmtId="0" fontId="32" fillId="20" borderId="0" xfId="0" applyFont="1" applyFill="1" applyAlignment="1">
      <alignment horizontal="center" vertical="center" wrapText="1"/>
    </xf>
    <xf numFmtId="0" fontId="32" fillId="20" borderId="19" xfId="0" applyFont="1" applyFill="1" applyBorder="1" applyAlignment="1">
      <alignment horizontal="center" vertical="center" wrapText="1"/>
    </xf>
    <xf numFmtId="0" fontId="32" fillId="20" borderId="42" xfId="0" applyFont="1" applyFill="1" applyBorder="1" applyAlignment="1">
      <alignment horizontal="center" vertical="center" wrapText="1"/>
    </xf>
    <xf numFmtId="0" fontId="32" fillId="20" borderId="34" xfId="0" applyFont="1" applyFill="1" applyBorder="1" applyAlignment="1">
      <alignment horizontal="center" vertical="center" wrapText="1"/>
    </xf>
    <xf numFmtId="0" fontId="32" fillId="20" borderId="16" xfId="0" applyFont="1" applyFill="1" applyBorder="1" applyAlignment="1">
      <alignment horizontal="center" vertical="center" wrapText="1"/>
    </xf>
    <xf numFmtId="0" fontId="35" fillId="0" borderId="37" xfId="0" applyFont="1" applyBorder="1" applyAlignment="1">
      <alignment horizontal="center" vertical="center" wrapText="1"/>
    </xf>
    <xf numFmtId="0" fontId="35" fillId="20" borderId="37" xfId="0" applyFont="1" applyFill="1" applyBorder="1" applyAlignment="1">
      <alignment horizontal="left" indent="1"/>
    </xf>
    <xf numFmtId="0" fontId="41" fillId="0" borderId="99" xfId="0" applyFont="1" applyBorder="1" applyAlignment="1">
      <alignment wrapText="1"/>
    </xf>
    <xf numFmtId="0" fontId="35" fillId="12" borderId="37" xfId="0" applyFont="1" applyFill="1" applyBorder="1" applyAlignment="1">
      <alignment horizontal="center" vertical="center" wrapText="1"/>
    </xf>
    <xf numFmtId="0" fontId="35" fillId="12" borderId="47" xfId="0" applyFont="1" applyFill="1" applyBorder="1" applyAlignment="1">
      <alignment horizontal="center" vertical="center" wrapText="1"/>
    </xf>
    <xf numFmtId="0" fontId="35" fillId="12" borderId="20" xfId="0" applyFont="1" applyFill="1" applyBorder="1" applyAlignment="1">
      <alignment horizontal="center" vertical="center" wrapText="1"/>
    </xf>
    <xf numFmtId="0" fontId="35" fillId="0" borderId="42"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41" xfId="0" applyFont="1" applyBorder="1" applyAlignment="1">
      <alignment horizontal="center" vertical="top" wrapText="1"/>
    </xf>
    <xf numFmtId="0" fontId="35" fillId="0" borderId="21" xfId="0" applyFont="1" applyBorder="1" applyAlignment="1">
      <alignment horizontal="center" vertical="top" wrapText="1"/>
    </xf>
    <xf numFmtId="0" fontId="35" fillId="0" borderId="20" xfId="0" applyFont="1" applyBorder="1" applyAlignment="1">
      <alignment horizontal="center" vertical="center" wrapText="1"/>
    </xf>
    <xf numFmtId="2" fontId="74" fillId="20" borderId="81" xfId="20" applyNumberFormat="1" applyFont="1" applyFill="1" applyBorder="1" applyAlignment="1">
      <alignment horizontal="center" vertical="center" wrapText="1"/>
    </xf>
    <xf numFmtId="2" fontId="74" fillId="20" borderId="24" xfId="20" applyNumberFormat="1" applyFont="1" applyFill="1" applyBorder="1" applyAlignment="1">
      <alignment horizontal="center" vertical="center" wrapText="1"/>
    </xf>
    <xf numFmtId="2" fontId="74" fillId="20" borderId="25" xfId="20" applyNumberFormat="1" applyFont="1" applyFill="1" applyBorder="1" applyAlignment="1">
      <alignment horizontal="center" vertical="center" wrapText="1"/>
    </xf>
    <xf numFmtId="0" fontId="32" fillId="0" borderId="98" xfId="0" applyFont="1" applyBorder="1" applyAlignment="1">
      <alignment wrapText="1"/>
    </xf>
    <xf numFmtId="43" fontId="32" fillId="20" borderId="37" xfId="20" applyFont="1" applyFill="1" applyBorder="1" applyAlignment="1">
      <alignment horizontal="center" vertical="center" wrapText="1"/>
    </xf>
    <xf numFmtId="43" fontId="32" fillId="20" borderId="47" xfId="20" applyFont="1" applyFill="1" applyBorder="1" applyAlignment="1">
      <alignment horizontal="center" vertical="center" wrapText="1"/>
    </xf>
    <xf numFmtId="43" fontId="32" fillId="20" borderId="20" xfId="20" applyFont="1" applyFill="1" applyBorder="1" applyAlignment="1">
      <alignment horizontal="center" vertical="center" wrapText="1"/>
    </xf>
    <xf numFmtId="0" fontId="39" fillId="0" borderId="22" xfId="0" applyFont="1" applyBorder="1" applyAlignment="1">
      <alignment horizontal="center" vertical="center" wrapText="1"/>
    </xf>
    <xf numFmtId="43" fontId="32" fillId="20" borderId="22" xfId="20" applyFont="1" applyFill="1" applyBorder="1" applyAlignment="1">
      <alignment horizontal="center" vertical="center" wrapText="1"/>
    </xf>
    <xf numFmtId="0" fontId="35" fillId="0" borderId="99"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108" xfId="0" applyFont="1" applyBorder="1" applyAlignment="1">
      <alignment horizontal="center" vertical="center" wrapText="1"/>
    </xf>
    <xf numFmtId="0" fontId="35" fillId="0" borderId="115" xfId="0" applyFont="1" applyBorder="1" applyAlignment="1">
      <alignment horizontal="center" vertical="center" wrapText="1"/>
    </xf>
    <xf numFmtId="0" fontId="35" fillId="0" borderId="116" xfId="0" applyFont="1" applyBorder="1" applyAlignment="1">
      <alignment horizontal="center" vertical="center" wrapText="1"/>
    </xf>
    <xf numFmtId="0" fontId="35" fillId="0" borderId="117" xfId="0" applyFont="1" applyBorder="1" applyAlignment="1">
      <alignment horizontal="center" vertical="top" wrapText="1"/>
    </xf>
    <xf numFmtId="0" fontId="35" fillId="0" borderId="98" xfId="0" applyFont="1" applyBorder="1" applyAlignment="1">
      <alignment horizontal="center" vertical="top" wrapText="1"/>
    </xf>
    <xf numFmtId="0" fontId="35" fillId="0" borderId="100" xfId="0" applyFont="1" applyBorder="1" applyAlignment="1">
      <alignment horizontal="center" vertical="center" wrapText="1"/>
    </xf>
    <xf numFmtId="0" fontId="33" fillId="0" borderId="44" xfId="0" applyFont="1" applyBorder="1" applyAlignment="1">
      <alignment horizontal="center" vertical="center" wrapText="1"/>
    </xf>
    <xf numFmtId="0" fontId="35" fillId="0" borderId="117" xfId="0" applyFont="1" applyBorder="1" applyAlignment="1">
      <alignment horizontal="center" vertical="center" wrapText="1"/>
    </xf>
    <xf numFmtId="0" fontId="35" fillId="0" borderId="98" xfId="0" applyFont="1" applyBorder="1" applyAlignment="1">
      <alignment horizontal="center" vertical="center" wrapText="1"/>
    </xf>
    <xf numFmtId="0" fontId="32" fillId="0" borderId="118" xfId="0" applyFont="1" applyBorder="1" applyAlignment="1">
      <alignment horizontal="center" wrapText="1"/>
    </xf>
    <xf numFmtId="0" fontId="32" fillId="0" borderId="119" xfId="0" applyFont="1" applyBorder="1" applyAlignment="1">
      <alignment horizontal="center" wrapText="1"/>
    </xf>
    <xf numFmtId="0" fontId="35" fillId="20" borderId="101" xfId="0" applyFont="1" applyFill="1" applyBorder="1" applyAlignment="1">
      <alignment vertical="center" wrapText="1"/>
    </xf>
    <xf numFmtId="0" fontId="35" fillId="20" borderId="47" xfId="0" applyFont="1" applyFill="1" applyBorder="1" applyAlignment="1">
      <alignment vertical="center" wrapText="1"/>
    </xf>
    <xf numFmtId="0" fontId="35" fillId="20" borderId="106" xfId="0" applyFont="1" applyFill="1" applyBorder="1" applyAlignment="1">
      <alignment vertical="center" wrapText="1"/>
    </xf>
    <xf numFmtId="0" fontId="35" fillId="20" borderId="101" xfId="0" applyFont="1" applyFill="1" applyBorder="1" applyAlignment="1">
      <alignment horizontal="center" vertical="center" wrapText="1"/>
    </xf>
    <xf numFmtId="0" fontId="35" fillId="20" borderId="47" xfId="0" applyFont="1" applyFill="1" applyBorder="1" applyAlignment="1">
      <alignment horizontal="center" vertical="center" wrapText="1"/>
    </xf>
    <xf numFmtId="0" fontId="35" fillId="20" borderId="22" xfId="0" applyFont="1" applyFill="1" applyBorder="1" applyAlignment="1">
      <alignment horizontal="center" vertical="center" wrapText="1"/>
    </xf>
    <xf numFmtId="0" fontId="35" fillId="20" borderId="107" xfId="0" applyFont="1" applyFill="1" applyBorder="1" applyAlignment="1">
      <alignment vertical="center" wrapText="1"/>
    </xf>
    <xf numFmtId="0" fontId="35" fillId="20" borderId="37" xfId="0" applyFont="1" applyFill="1" applyBorder="1" applyAlignment="1">
      <alignment horizontal="center" vertical="center" wrapText="1"/>
    </xf>
    <xf numFmtId="0" fontId="32" fillId="20" borderId="42" xfId="0" applyFont="1" applyFill="1" applyBorder="1" applyAlignment="1">
      <alignment horizontal="center"/>
    </xf>
    <xf numFmtId="0" fontId="32" fillId="20" borderId="120" xfId="0" applyFont="1" applyFill="1" applyBorder="1" applyAlignment="1">
      <alignment horizontal="center"/>
    </xf>
    <xf numFmtId="0" fontId="39" fillId="0" borderId="44" xfId="0" applyFont="1" applyBorder="1" applyAlignment="1">
      <alignment horizontal="left" wrapText="1"/>
    </xf>
    <xf numFmtId="0" fontId="39" fillId="0" borderId="44" xfId="0" applyFont="1" applyBorder="1" applyAlignment="1">
      <alignment horizontal="left"/>
    </xf>
    <xf numFmtId="0" fontId="32" fillId="20" borderId="21" xfId="0" applyFont="1" applyFill="1" applyBorder="1" applyAlignment="1">
      <alignment horizontal="center"/>
    </xf>
    <xf numFmtId="0" fontId="76" fillId="0" borderId="43" xfId="0" applyFont="1" applyBorder="1" applyAlignment="1">
      <alignment wrapText="1"/>
    </xf>
    <xf numFmtId="0" fontId="76" fillId="0" borderId="44" xfId="0" applyFont="1" applyBorder="1" applyAlignment="1">
      <alignment wrapText="1"/>
    </xf>
    <xf numFmtId="0" fontId="76" fillId="0" borderId="97" xfId="0" applyFont="1" applyBorder="1" applyAlignment="1">
      <alignment wrapText="1"/>
    </xf>
    <xf numFmtId="0" fontId="76" fillId="0" borderId="42" xfId="0" applyFont="1" applyBorder="1" applyAlignment="1">
      <alignment wrapText="1"/>
    </xf>
    <xf numFmtId="0" fontId="76" fillId="0" borderId="34" xfId="0" applyFont="1" applyBorder="1" applyAlignment="1">
      <alignment wrapText="1"/>
    </xf>
    <xf numFmtId="0" fontId="76" fillId="0" borderId="16" xfId="0" applyFont="1" applyBorder="1" applyAlignment="1">
      <alignment wrapText="1"/>
    </xf>
    <xf numFmtId="0" fontId="35" fillId="0" borderId="37" xfId="0" applyFont="1" applyBorder="1" applyAlignment="1">
      <alignment horizontal="center" wrapText="1"/>
    </xf>
    <xf numFmtId="0" fontId="35" fillId="0" borderId="22" xfId="0" applyFont="1" applyBorder="1" applyAlignment="1">
      <alignment horizontal="center" wrapText="1"/>
    </xf>
    <xf numFmtId="0" fontId="33" fillId="0" borderId="22" xfId="0" applyFont="1" applyBorder="1" applyAlignment="1">
      <alignment horizontal="center" vertical="center" wrapText="1"/>
    </xf>
    <xf numFmtId="0" fontId="32" fillId="20" borderId="37" xfId="0" applyFont="1" applyFill="1" applyBorder="1" applyAlignment="1">
      <alignment horizontal="center" vertical="center" wrapText="1"/>
    </xf>
    <xf numFmtId="0" fontId="32" fillId="20" borderId="47" xfId="0" applyFont="1" applyFill="1" applyBorder="1" applyAlignment="1">
      <alignment horizontal="center" vertical="center" wrapText="1"/>
    </xf>
    <xf numFmtId="0" fontId="32" fillId="20" borderId="22" xfId="0" applyFont="1" applyFill="1" applyBorder="1" applyAlignment="1">
      <alignment horizontal="center" vertical="center" wrapText="1"/>
    </xf>
    <xf numFmtId="0" fontId="68" fillId="0" borderId="37"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101" xfId="0" applyFont="1" applyBorder="1" applyAlignment="1">
      <alignment horizontal="center" vertical="center" wrapText="1"/>
    </xf>
    <xf numFmtId="0" fontId="68" fillId="0" borderId="47" xfId="0" applyFont="1" applyBorder="1" applyAlignment="1">
      <alignment horizontal="center" vertical="center" wrapText="1"/>
    </xf>
    <xf numFmtId="0" fontId="96" fillId="20" borderId="41" xfId="0" applyFont="1" applyFill="1" applyBorder="1" applyAlignment="1">
      <alignment horizontal="center"/>
    </xf>
    <xf numFmtId="0" fontId="96" fillId="20" borderId="98" xfId="0" applyFont="1" applyFill="1" applyBorder="1" applyAlignment="1">
      <alignment horizontal="center"/>
    </xf>
    <xf numFmtId="0" fontId="96" fillId="0" borderId="41" xfId="0" applyFont="1" applyBorder="1" applyAlignment="1">
      <alignment horizontal="left" wrapText="1"/>
    </xf>
    <xf numFmtId="0" fontId="96" fillId="0" borderId="21" xfId="0" applyFont="1" applyBorder="1" applyAlignment="1">
      <alignment horizontal="left" wrapText="1"/>
    </xf>
    <xf numFmtId="0" fontId="96" fillId="0" borderId="41" xfId="0" applyFont="1" applyBorder="1" applyAlignment="1">
      <alignment wrapText="1"/>
    </xf>
    <xf numFmtId="0" fontId="96" fillId="0" borderId="45" xfId="0" applyFont="1" applyBorder="1" applyAlignment="1">
      <alignment wrapText="1"/>
    </xf>
    <xf numFmtId="0" fontId="96" fillId="0" borderId="21" xfId="0" applyFont="1" applyBorder="1" applyAlignment="1">
      <alignment wrapText="1"/>
    </xf>
    <xf numFmtId="0" fontId="96" fillId="20" borderId="41" xfId="0" applyFont="1" applyFill="1" applyBorder="1" applyAlignment="1">
      <alignment horizontal="right" wrapText="1" indent="1"/>
    </xf>
    <xf numFmtId="0" fontId="96" fillId="20" borderId="21" xfId="0" applyFont="1" applyFill="1" applyBorder="1" applyAlignment="1">
      <alignment horizontal="right" wrapText="1" indent="1"/>
    </xf>
    <xf numFmtId="0" fontId="96" fillId="20" borderId="41" xfId="0" applyFont="1" applyFill="1" applyBorder="1" applyAlignment="1">
      <alignment horizontal="center" wrapText="1"/>
    </xf>
    <xf numFmtId="0" fontId="96" fillId="20" borderId="21" xfId="0" applyFont="1" applyFill="1" applyBorder="1" applyAlignment="1">
      <alignment horizontal="center" wrapText="1"/>
    </xf>
    <xf numFmtId="0" fontId="96" fillId="0" borderId="45" xfId="0" applyFont="1" applyBorder="1" applyAlignment="1">
      <alignment horizontal="left" wrapText="1"/>
    </xf>
    <xf numFmtId="0" fontId="96" fillId="32" borderId="37" xfId="0" applyFont="1" applyFill="1" applyBorder="1" applyAlignment="1">
      <alignment horizontal="center" vertical="center" wrapText="1"/>
    </xf>
    <xf numFmtId="0" fontId="96" fillId="32" borderId="22" xfId="0" applyFont="1" applyFill="1" applyBorder="1" applyAlignment="1">
      <alignment horizontal="center" vertical="center" wrapText="1"/>
    </xf>
    <xf numFmtId="0" fontId="71" fillId="0" borderId="43" xfId="0" applyFont="1" applyBorder="1" applyAlignment="1">
      <alignment wrapText="1"/>
    </xf>
    <xf numFmtId="0" fontId="71" fillId="0" borderId="44" xfId="0" applyFont="1" applyBorder="1" applyAlignment="1">
      <alignment wrapText="1"/>
    </xf>
    <xf numFmtId="0" fontId="71" fillId="0" borderId="97" xfId="0" applyFont="1" applyBorder="1" applyAlignment="1">
      <alignment wrapText="1"/>
    </xf>
    <xf numFmtId="0" fontId="71" fillId="0" borderId="46" xfId="0" applyFont="1" applyBorder="1" applyAlignment="1">
      <alignment wrapText="1"/>
    </xf>
    <xf numFmtId="0" fontId="71" fillId="0" borderId="0" xfId="0" applyFont="1" applyAlignment="1">
      <alignment wrapText="1"/>
    </xf>
    <xf numFmtId="0" fontId="71" fillId="0" borderId="19" xfId="0" applyFont="1" applyBorder="1" applyAlignment="1">
      <alignment wrapText="1"/>
    </xf>
    <xf numFmtId="0" fontId="96" fillId="32" borderId="47" xfId="0" applyFont="1" applyFill="1" applyBorder="1" applyAlignment="1">
      <alignment horizontal="center" vertical="center" wrapText="1"/>
    </xf>
    <xf numFmtId="0" fontId="71" fillId="0" borderId="42" xfId="0" applyFont="1" applyBorder="1" applyAlignment="1">
      <alignment wrapText="1"/>
    </xf>
    <xf numFmtId="0" fontId="71" fillId="0" borderId="34" xfId="0" applyFont="1" applyBorder="1" applyAlignment="1">
      <alignment wrapText="1"/>
    </xf>
    <xf numFmtId="0" fontId="71" fillId="0" borderId="16" xfId="0" applyFont="1" applyBorder="1" applyAlignment="1">
      <alignment wrapText="1"/>
    </xf>
    <xf numFmtId="0" fontId="96" fillId="20" borderId="45" xfId="0" applyFont="1" applyFill="1" applyBorder="1" applyAlignment="1">
      <alignment horizontal="center" wrapText="1"/>
    </xf>
    <xf numFmtId="0" fontId="96" fillId="20" borderId="98" xfId="0" applyFont="1" applyFill="1" applyBorder="1" applyAlignment="1">
      <alignment horizontal="center" wrapText="1"/>
    </xf>
    <xf numFmtId="0" fontId="96" fillId="0" borderId="98" xfId="0" applyFont="1" applyBorder="1" applyAlignment="1">
      <alignment wrapText="1"/>
    </xf>
    <xf numFmtId="0" fontId="71" fillId="0" borderId="41" xfId="0" applyFont="1" applyBorder="1"/>
    <xf numFmtId="0" fontId="71" fillId="0" borderId="45" xfId="0" applyFont="1" applyBorder="1"/>
    <xf numFmtId="0" fontId="71" fillId="0" borderId="21" xfId="0" applyFont="1" applyBorder="1"/>
    <xf numFmtId="0" fontId="96" fillId="20" borderId="117" xfId="0" applyFont="1" applyFill="1" applyBorder="1" applyAlignment="1">
      <alignment horizontal="center" wrapText="1"/>
    </xf>
    <xf numFmtId="0" fontId="68" fillId="0" borderId="37" xfId="0" applyFont="1" applyBorder="1" applyAlignment="1">
      <alignment horizontal="left" vertical="top" wrapText="1"/>
    </xf>
    <xf numFmtId="0" fontId="68" fillId="0" borderId="22" xfId="0" applyFont="1" applyBorder="1" applyAlignment="1">
      <alignment horizontal="left" vertical="top" wrapText="1"/>
    </xf>
    <xf numFmtId="0" fontId="68" fillId="0" borderId="20" xfId="0" applyFont="1" applyBorder="1" applyAlignment="1">
      <alignment horizontal="center" vertical="center" wrapText="1"/>
    </xf>
    <xf numFmtId="0" fontId="68" fillId="0" borderId="101" xfId="0" applyFont="1" applyBorder="1" applyAlignment="1">
      <alignment horizontal="left" vertical="center" wrapText="1"/>
    </xf>
    <xf numFmtId="0" fontId="68" fillId="0" borderId="47" xfId="0" applyFont="1" applyBorder="1" applyAlignment="1">
      <alignment horizontal="left" vertical="center" wrapText="1"/>
    </xf>
    <xf numFmtId="0" fontId="68" fillId="0" borderId="22" xfId="0" applyFont="1" applyBorder="1" applyAlignment="1">
      <alignment horizontal="left" vertical="center" wrapText="1"/>
    </xf>
    <xf numFmtId="0" fontId="68" fillId="0" borderId="37" xfId="0" applyFont="1" applyBorder="1" applyAlignment="1">
      <alignment horizontal="left" vertical="center" wrapText="1"/>
    </xf>
    <xf numFmtId="0" fontId="71" fillId="0" borderId="41" xfId="0" applyFont="1" applyBorder="1" applyAlignment="1">
      <alignment wrapText="1"/>
    </xf>
    <xf numFmtId="0" fontId="71" fillId="0" borderId="45" xfId="0" applyFont="1" applyBorder="1" applyAlignment="1">
      <alignment wrapText="1"/>
    </xf>
    <xf numFmtId="0" fontId="71" fillId="0" borderId="98" xfId="0" applyFont="1" applyBorder="1" applyAlignment="1">
      <alignment wrapText="1"/>
    </xf>
    <xf numFmtId="0" fontId="68" fillId="0" borderId="101" xfId="0" applyFont="1" applyBorder="1" applyAlignment="1">
      <alignment horizontal="left" vertical="top" wrapText="1"/>
    </xf>
    <xf numFmtId="0" fontId="68" fillId="0" borderId="47" xfId="0" applyFont="1" applyBorder="1" applyAlignment="1">
      <alignment horizontal="left" vertical="top" wrapText="1"/>
    </xf>
    <xf numFmtId="0" fontId="8" fillId="11" borderId="0" xfId="0" applyFont="1" applyFill="1" applyAlignment="1">
      <alignment horizontal="center"/>
    </xf>
    <xf numFmtId="0" fontId="8" fillId="25" borderId="121" xfId="0" applyFont="1" applyFill="1" applyBorder="1" applyAlignment="1">
      <alignment horizontal="center" vertical="center" wrapText="1"/>
    </xf>
    <xf numFmtId="0" fontId="8" fillId="25" borderId="79" xfId="0" applyFont="1" applyFill="1" applyBorder="1" applyAlignment="1">
      <alignment horizontal="center" vertical="center" wrapText="1"/>
    </xf>
    <xf numFmtId="0" fontId="8" fillId="25" borderId="80" xfId="0" applyFont="1" applyFill="1" applyBorder="1" applyAlignment="1">
      <alignment horizontal="center" vertical="center" wrapText="1"/>
    </xf>
    <xf numFmtId="0" fontId="8" fillId="11" borderId="0" xfId="0" applyFont="1" applyFill="1" applyAlignment="1">
      <alignment horizontal="left"/>
    </xf>
    <xf numFmtId="0" fontId="38" fillId="25" borderId="43" xfId="24" applyFont="1" applyFill="1" applyBorder="1" applyAlignment="1">
      <alignment horizontal="center" vertical="center" wrapText="1"/>
      <protection/>
    </xf>
    <xf numFmtId="0" fontId="38" fillId="25" borderId="46" xfId="24" applyFont="1" applyFill="1" applyBorder="1" applyAlignment="1">
      <alignment horizontal="center" vertical="center" wrapText="1"/>
      <protection/>
    </xf>
    <xf numFmtId="0" fontId="38" fillId="25" borderId="22" xfId="24" applyFont="1" applyFill="1" applyBorder="1" applyAlignment="1">
      <alignment horizontal="center" vertical="center" wrapText="1"/>
      <protection/>
    </xf>
    <xf numFmtId="0" fontId="38" fillId="25" borderId="37" xfId="0" applyFont="1" applyFill="1" applyBorder="1" applyAlignment="1">
      <alignment horizontal="center" vertical="center" wrapText="1"/>
    </xf>
    <xf numFmtId="0" fontId="38" fillId="25" borderId="47" xfId="0" applyFont="1" applyFill="1" applyBorder="1" applyAlignment="1">
      <alignment horizontal="center" vertical="center" wrapText="1"/>
    </xf>
    <xf numFmtId="0" fontId="38" fillId="25" borderId="22" xfId="0" applyFont="1" applyFill="1" applyBorder="1" applyAlignment="1">
      <alignment horizontal="center" vertical="center" wrapText="1"/>
    </xf>
    <xf numFmtId="0" fontId="38" fillId="25" borderId="44" xfId="24" applyFont="1" applyFill="1" applyBorder="1" applyAlignment="1">
      <alignment horizontal="center" vertical="center" wrapText="1"/>
      <protection/>
    </xf>
    <xf numFmtId="0" fontId="38" fillId="25" borderId="97" xfId="24" applyFont="1" applyFill="1" applyBorder="1" applyAlignment="1">
      <alignment horizontal="center" vertical="center" wrapText="1"/>
      <protection/>
    </xf>
    <xf numFmtId="0" fontId="117" fillId="44" borderId="1" xfId="0" applyFont="1" applyFill="1" applyBorder="1" applyAlignment="1">
      <alignment horizontal="center" vertical="center" wrapText="1"/>
    </xf>
    <xf numFmtId="0" fontId="117" fillId="44" borderId="4" xfId="0" applyFont="1" applyFill="1" applyBorder="1" applyAlignment="1">
      <alignment horizontal="center" vertical="center" wrapText="1"/>
    </xf>
    <xf numFmtId="0" fontId="117" fillId="44" borderId="3" xfId="0" applyFont="1" applyFill="1" applyBorder="1" applyAlignment="1">
      <alignment horizontal="center" vertical="center" wrapText="1"/>
    </xf>
    <xf numFmtId="0" fontId="117" fillId="44" borderId="59" xfId="0" applyFont="1" applyFill="1" applyBorder="1" applyAlignment="1">
      <alignment horizontal="center" vertical="center" wrapText="1"/>
    </xf>
    <xf numFmtId="0" fontId="117" fillId="45" borderId="1" xfId="0" applyFont="1" applyFill="1" applyBorder="1" applyAlignment="1">
      <alignment vertical="center" wrapText="1"/>
    </xf>
    <xf numFmtId="0" fontId="117" fillId="45" borderId="4" xfId="0" applyFont="1" applyFill="1" applyBorder="1" applyAlignment="1">
      <alignment vertical="center" wrapText="1"/>
    </xf>
    <xf numFmtId="0" fontId="96" fillId="0" borderId="0" xfId="0" applyFont="1" applyAlignment="1">
      <alignment horizontal="left" vertical="center" wrapText="1"/>
    </xf>
    <xf numFmtId="0" fontId="117" fillId="44" borderId="38" xfId="0" applyFont="1" applyFill="1" applyBorder="1" applyAlignment="1">
      <alignment horizontal="center" vertical="center" wrapText="1"/>
    </xf>
    <xf numFmtId="0" fontId="117" fillId="44" borderId="58" xfId="0" applyFont="1" applyFill="1" applyBorder="1" applyAlignment="1">
      <alignment horizontal="center" vertical="center" wrapText="1"/>
    </xf>
    <xf numFmtId="0" fontId="117" fillId="44" borderId="57" xfId="0" applyFont="1" applyFill="1" applyBorder="1" applyAlignment="1">
      <alignment horizontal="center" vertical="center" wrapText="1"/>
    </xf>
    <xf numFmtId="0" fontId="117" fillId="44" borderId="39" xfId="0" applyFont="1" applyFill="1" applyBorder="1" applyAlignment="1">
      <alignment horizontal="center" vertical="center" wrapText="1"/>
    </xf>
    <xf numFmtId="0" fontId="117" fillId="44" borderId="28" xfId="0" applyFont="1" applyFill="1" applyBorder="1" applyAlignment="1">
      <alignment horizontal="center" vertical="center" wrapText="1"/>
    </xf>
    <xf numFmtId="0" fontId="117" fillId="44" borderId="76" xfId="0" applyFont="1" applyFill="1" applyBorder="1" applyAlignment="1">
      <alignment horizontal="center" vertical="center" wrapText="1"/>
    </xf>
    <xf numFmtId="0" fontId="39" fillId="0" borderId="1" xfId="0" applyFont="1" applyBorder="1" applyAlignment="1">
      <alignment vertical="center" wrapText="1"/>
    </xf>
    <xf numFmtId="0" fontId="39" fillId="0" borderId="4" xfId="0" applyFont="1" applyBorder="1" applyAlignment="1">
      <alignment vertical="center" wrapText="1"/>
    </xf>
    <xf numFmtId="0" fontId="103" fillId="25" borderId="15" xfId="0" applyFont="1" applyFill="1" applyBorder="1" applyAlignment="1">
      <alignment horizontal="center" vertical="center" wrapText="1"/>
    </xf>
    <xf numFmtId="0" fontId="103" fillId="25" borderId="12" xfId="0" applyFont="1" applyFill="1" applyBorder="1" applyAlignment="1">
      <alignment horizontal="center" vertical="center" wrapText="1"/>
    </xf>
    <xf numFmtId="0" fontId="103" fillId="25" borderId="62" xfId="0" applyFont="1" applyFill="1" applyBorder="1" applyAlignment="1">
      <alignment horizontal="center" vertical="center" wrapText="1"/>
    </xf>
    <xf numFmtId="0" fontId="10" fillId="2" borderId="4" xfId="0" applyFont="1" applyFill="1" applyBorder="1" applyAlignment="1">
      <alignment horizontal="left" vertical="center"/>
    </xf>
    <xf numFmtId="0" fontId="10" fillId="2" borderId="28" xfId="0" applyFont="1" applyFill="1" applyBorder="1" applyAlignment="1">
      <alignment horizontal="left" vertical="center"/>
    </xf>
    <xf numFmtId="0" fontId="10" fillId="2" borderId="76" xfId="0" applyFont="1" applyFill="1" applyBorder="1" applyAlignment="1">
      <alignment horizontal="left" vertical="center"/>
    </xf>
    <xf numFmtId="0" fontId="10" fillId="0" borderId="4" xfId="0" applyFont="1" applyBorder="1" applyAlignment="1">
      <alignment horizontal="left" vertical="center"/>
    </xf>
    <xf numFmtId="0" fontId="10" fillId="0" borderId="28" xfId="0" applyFont="1" applyBorder="1" applyAlignment="1">
      <alignment horizontal="left" vertical="center"/>
    </xf>
    <xf numFmtId="0" fontId="10" fillId="0" borderId="76" xfId="0" applyFont="1" applyBorder="1" applyAlignment="1">
      <alignment horizontal="left" vertical="center"/>
    </xf>
    <xf numFmtId="0" fontId="8" fillId="25" borderId="122" xfId="0" applyFont="1" applyFill="1" applyBorder="1" applyAlignment="1">
      <alignment horizontal="center" vertical="center" wrapText="1"/>
    </xf>
    <xf numFmtId="0" fontId="8" fillId="25" borderId="14" xfId="0" applyFont="1" applyFill="1" applyBorder="1" applyAlignment="1">
      <alignment horizontal="center" vertical="center" wrapText="1"/>
    </xf>
    <xf numFmtId="0" fontId="8" fillId="25" borderId="13" xfId="0" applyFont="1" applyFill="1" applyBorder="1" applyAlignment="1">
      <alignment horizontal="center" vertical="center" wrapText="1"/>
    </xf>
    <xf numFmtId="0" fontId="8" fillId="25" borderId="46" xfId="0" applyFont="1" applyFill="1" applyBorder="1" applyAlignment="1">
      <alignment horizontal="center" vertical="center" wrapText="1"/>
    </xf>
    <xf numFmtId="0" fontId="8" fillId="25" borderId="0" xfId="0" applyFont="1" applyFill="1" applyAlignment="1">
      <alignment horizontal="center" vertical="center" wrapText="1"/>
    </xf>
    <xf numFmtId="0" fontId="8" fillId="25" borderId="11" xfId="0" applyFont="1" applyFill="1" applyBorder="1" applyAlignment="1">
      <alignment horizontal="center" vertical="center" wrapText="1"/>
    </xf>
    <xf numFmtId="0" fontId="8" fillId="25" borderId="42" xfId="0" applyFont="1" applyFill="1" applyBorder="1" applyAlignment="1">
      <alignment horizontal="center" vertical="center" wrapText="1"/>
    </xf>
    <xf numFmtId="0" fontId="8" fillId="25" borderId="34" xfId="0" applyFont="1" applyFill="1" applyBorder="1" applyAlignment="1">
      <alignment horizontal="center" vertical="center" wrapText="1"/>
    </xf>
    <xf numFmtId="0" fontId="8" fillId="25" borderId="123" xfId="0" applyFont="1" applyFill="1" applyBorder="1" applyAlignment="1">
      <alignment horizontal="center" vertical="center" wrapText="1"/>
    </xf>
    <xf numFmtId="0" fontId="8" fillId="25" borderId="15" xfId="0" applyFont="1" applyFill="1" applyBorder="1" applyAlignment="1">
      <alignment horizontal="center" vertical="center" wrapText="1"/>
    </xf>
    <xf numFmtId="0" fontId="8" fillId="25" borderId="12" xfId="0" applyFont="1" applyFill="1" applyBorder="1" applyAlignment="1">
      <alignment horizontal="center" vertical="center" wrapText="1"/>
    </xf>
    <xf numFmtId="0" fontId="8" fillId="25" borderId="62" xfId="0" applyFont="1" applyFill="1" applyBorder="1" applyAlignment="1">
      <alignment horizontal="center" vertical="center" wrapText="1"/>
    </xf>
    <xf numFmtId="0" fontId="103" fillId="25" borderId="122" xfId="0" applyFont="1" applyFill="1" applyBorder="1" applyAlignment="1">
      <alignment horizontal="center" vertical="center" wrapText="1"/>
    </xf>
    <xf numFmtId="0" fontId="103" fillId="25" borderId="14" xfId="0" applyFont="1" applyFill="1" applyBorder="1" applyAlignment="1">
      <alignment horizontal="center" vertical="center" wrapText="1"/>
    </xf>
    <xf numFmtId="0" fontId="103" fillId="25" borderId="13" xfId="0" applyFont="1" applyFill="1" applyBorder="1" applyAlignment="1">
      <alignment horizontal="center" vertical="center" wrapText="1"/>
    </xf>
    <xf numFmtId="0" fontId="103" fillId="25" borderId="46" xfId="0" applyFont="1" applyFill="1" applyBorder="1" applyAlignment="1">
      <alignment horizontal="center" vertical="center" wrapText="1"/>
    </xf>
    <xf numFmtId="0" fontId="103" fillId="25" borderId="0" xfId="0" applyFont="1" applyFill="1" applyAlignment="1">
      <alignment horizontal="center" vertical="center" wrapText="1"/>
    </xf>
    <xf numFmtId="0" fontId="103" fillId="25" borderId="11" xfId="0" applyFont="1" applyFill="1" applyBorder="1" applyAlignment="1">
      <alignment horizontal="center" vertical="center" wrapText="1"/>
    </xf>
    <xf numFmtId="0" fontId="103" fillId="25" borderId="42" xfId="0" applyFont="1" applyFill="1" applyBorder="1" applyAlignment="1">
      <alignment horizontal="center" vertical="center" wrapText="1"/>
    </xf>
    <xf numFmtId="0" fontId="103" fillId="25" borderId="34" xfId="0" applyFont="1" applyFill="1" applyBorder="1" applyAlignment="1">
      <alignment horizontal="center" vertical="center" wrapText="1"/>
    </xf>
    <xf numFmtId="0" fontId="103" fillId="25" borderId="123" xfId="0" applyFont="1" applyFill="1" applyBorder="1" applyAlignment="1">
      <alignment horizontal="center" vertical="center" wrapText="1"/>
    </xf>
    <xf numFmtId="0" fontId="8" fillId="48" borderId="0" xfId="0" applyFont="1" applyFill="1" applyAlignment="1">
      <alignment horizontal="center" vertical="center"/>
    </xf>
    <xf numFmtId="0" fontId="6" fillId="2" borderId="38" xfId="0" applyFont="1" applyFill="1" applyBorder="1" applyAlignment="1">
      <alignment horizontal="center"/>
    </xf>
    <xf numFmtId="0" fontId="6" fillId="2" borderId="58" xfId="0" applyFont="1" applyFill="1" applyBorder="1" applyAlignment="1">
      <alignment horizontal="center"/>
    </xf>
    <xf numFmtId="0" fontId="6" fillId="0" borderId="38" xfId="0" applyFont="1" applyBorder="1" applyAlignment="1">
      <alignment horizontal="center" vertical="center"/>
    </xf>
    <xf numFmtId="0" fontId="6" fillId="0" borderId="58" xfId="0" applyFont="1" applyBorder="1" applyAlignment="1">
      <alignment horizontal="center" vertical="center"/>
    </xf>
    <xf numFmtId="0" fontId="103" fillId="25" borderId="10" xfId="0" applyFont="1" applyFill="1" applyBorder="1" applyAlignment="1">
      <alignment horizontal="center" vertical="center" wrapText="1"/>
    </xf>
    <xf numFmtId="0" fontId="104" fillId="25" borderId="92" xfId="0" applyFont="1" applyFill="1" applyBorder="1" applyAlignment="1">
      <alignment horizontal="left"/>
    </xf>
    <xf numFmtId="0" fontId="104" fillId="25" borderId="93" xfId="0" applyFont="1" applyFill="1" applyBorder="1" applyAlignment="1">
      <alignment horizontal="left"/>
    </xf>
    <xf numFmtId="0" fontId="104" fillId="25" borderId="94" xfId="0" applyFont="1" applyFill="1" applyBorder="1" applyAlignment="1">
      <alignment horizontal="left"/>
    </xf>
    <xf numFmtId="0" fontId="102" fillId="42" borderId="121" xfId="0" applyFont="1" applyFill="1" applyBorder="1" applyAlignment="1">
      <alignment horizontal="center" vertical="center"/>
    </xf>
    <xf numFmtId="0" fontId="102" fillId="42" borderId="48" xfId="0" applyFont="1" applyFill="1" applyBorder="1" applyAlignment="1">
      <alignment horizontal="center" vertical="center"/>
    </xf>
    <xf numFmtId="0" fontId="106" fillId="42" borderId="92" xfId="0" applyFont="1" applyFill="1" applyBorder="1" applyAlignment="1">
      <alignment horizontal="center" vertical="center"/>
    </xf>
    <xf numFmtId="0" fontId="106" fillId="42" borderId="94" xfId="0" applyFont="1" applyFill="1" applyBorder="1" applyAlignment="1">
      <alignment horizontal="center" vertical="center"/>
    </xf>
    <xf numFmtId="0" fontId="106" fillId="49" borderId="124" xfId="0" applyFont="1" applyFill="1" applyBorder="1" applyAlignment="1">
      <alignment horizontal="center" vertical="center"/>
    </xf>
    <xf numFmtId="0" fontId="106" fillId="49" borderId="93" xfId="0" applyFont="1" applyFill="1" applyBorder="1" applyAlignment="1">
      <alignment horizontal="center" vertical="center"/>
    </xf>
    <xf numFmtId="0" fontId="106" fillId="49" borderId="94" xfId="0" applyFont="1" applyFill="1" applyBorder="1" applyAlignment="1">
      <alignment horizontal="center" vertical="center"/>
    </xf>
    <xf numFmtId="0" fontId="106" fillId="42" borderId="3" xfId="0" applyFont="1" applyFill="1" applyBorder="1" applyAlignment="1">
      <alignment horizontal="center" vertical="center"/>
    </xf>
    <xf numFmtId="0" fontId="106" fillId="42" borderId="1" xfId="0" applyFont="1" applyFill="1" applyBorder="1" applyAlignment="1">
      <alignment horizontal="center" vertical="center"/>
    </xf>
    <xf numFmtId="0" fontId="68" fillId="27" borderId="1" xfId="0" applyFont="1" applyFill="1" applyBorder="1" applyAlignment="1">
      <alignment horizontal="center" vertical="center"/>
    </xf>
    <xf numFmtId="4" fontId="96" fillId="27" borderId="15" xfId="21" applyNumberFormat="1" applyFont="1" applyFill="1" applyBorder="1" applyAlignment="1">
      <alignment horizontal="center" vertical="center"/>
    </xf>
    <xf numFmtId="4" fontId="96" fillId="27" borderId="10" xfId="21" applyNumberFormat="1" applyFont="1" applyFill="1" applyBorder="1" applyAlignment="1">
      <alignment horizontal="center" vertical="center"/>
    </xf>
    <xf numFmtId="0" fontId="68" fillId="27" borderId="84" xfId="0" applyFont="1" applyFill="1" applyBorder="1" applyAlignment="1">
      <alignment horizontal="center" vertical="center" wrapText="1"/>
    </xf>
    <xf numFmtId="0" fontId="68" fillId="27" borderId="63" xfId="0" applyFont="1" applyFill="1" applyBorder="1" applyAlignment="1">
      <alignment horizontal="center" vertical="center" wrapText="1"/>
    </xf>
    <xf numFmtId="4" fontId="68" fillId="37" borderId="15" xfId="21" applyNumberFormat="1" applyFont="1" applyFill="1" applyBorder="1" applyAlignment="1">
      <alignment horizontal="right" vertical="center"/>
    </xf>
    <xf numFmtId="4" fontId="68" fillId="37" borderId="10" xfId="21" applyNumberFormat="1" applyFont="1" applyFill="1" applyBorder="1" applyAlignment="1">
      <alignment horizontal="right" vertical="center"/>
    </xf>
    <xf numFmtId="2" fontId="68" fillId="27" borderId="1" xfId="0" applyNumberFormat="1" applyFont="1" applyFill="1" applyBorder="1" applyAlignment="1">
      <alignment horizontal="center" vertical="center"/>
    </xf>
    <xf numFmtId="0" fontId="68" fillId="27" borderId="122" xfId="0" applyFont="1" applyFill="1" applyBorder="1" applyAlignment="1">
      <alignment horizontal="left" vertical="center"/>
    </xf>
    <xf numFmtId="0" fontId="68" fillId="27" borderId="14" xfId="0" applyFont="1" applyFill="1" applyBorder="1" applyAlignment="1">
      <alignment horizontal="left" vertical="center"/>
    </xf>
    <xf numFmtId="0" fontId="68" fillId="27" borderId="125" xfId="0" applyFont="1" applyFill="1" applyBorder="1" applyAlignment="1">
      <alignment horizontal="left" vertical="center"/>
    </xf>
    <xf numFmtId="0" fontId="68" fillId="27" borderId="9" xfId="0" applyFont="1" applyFill="1" applyBorder="1" applyAlignment="1">
      <alignment horizontal="left" vertical="center"/>
    </xf>
    <xf numFmtId="0" fontId="68" fillId="27" borderId="3" xfId="0" applyFont="1" applyFill="1" applyBorder="1" applyAlignment="1">
      <alignment vertical="center"/>
    </xf>
    <xf numFmtId="0" fontId="68" fillId="27" borderId="1" xfId="0" applyFont="1" applyFill="1" applyBorder="1" applyAlignment="1">
      <alignment vertical="center"/>
    </xf>
    <xf numFmtId="0" fontId="68" fillId="27" borderId="23" xfId="0" applyFont="1" applyFill="1" applyBorder="1" applyAlignment="1">
      <alignment vertical="center"/>
    </xf>
    <xf numFmtId="0" fontId="68" fillId="27" borderId="6" xfId="0" applyFont="1" applyFill="1" applyBorder="1" applyAlignment="1">
      <alignment vertical="center"/>
    </xf>
    <xf numFmtId="0" fontId="68" fillId="0" borderId="3" xfId="0" applyFont="1" applyBorder="1" applyAlignment="1">
      <alignment horizontal="left" vertical="center"/>
    </xf>
    <xf numFmtId="0" fontId="68" fillId="0" borderId="1" xfId="0" applyFont="1" applyBorder="1" applyAlignment="1">
      <alignment horizontal="left" vertical="center"/>
    </xf>
    <xf numFmtId="0" fontId="68" fillId="27" borderId="3" xfId="0" applyFont="1" applyFill="1" applyBorder="1" applyAlignment="1">
      <alignment horizontal="left" vertical="center" indent="4"/>
    </xf>
    <xf numFmtId="0" fontId="68" fillId="27" borderId="1" xfId="0" applyFont="1" applyFill="1" applyBorder="1" applyAlignment="1">
      <alignment horizontal="center" vertical="center" wrapText="1"/>
    </xf>
    <xf numFmtId="0" fontId="68" fillId="27" borderId="6" xfId="0" applyFont="1" applyFill="1" applyBorder="1" applyAlignment="1">
      <alignment horizontal="center" vertical="center"/>
    </xf>
    <xf numFmtId="4" fontId="96" fillId="27" borderId="62" xfId="21" applyNumberFormat="1" applyFont="1" applyFill="1" applyBorder="1" applyAlignment="1">
      <alignment horizontal="center" vertical="center"/>
    </xf>
    <xf numFmtId="0" fontId="68" fillId="27" borderId="77" xfId="0" applyFont="1" applyFill="1" applyBorder="1" applyAlignment="1">
      <alignment horizontal="center" vertical="center" wrapText="1"/>
    </xf>
    <xf numFmtId="0" fontId="68" fillId="27" borderId="38" xfId="0" applyFont="1" applyFill="1" applyBorder="1" applyAlignment="1">
      <alignment horizontal="left" vertical="center" wrapText="1" indent="1"/>
    </xf>
    <xf numFmtId="0" fontId="68" fillId="27" borderId="3" xfId="0" applyFont="1" applyFill="1" applyBorder="1" applyAlignment="1">
      <alignment horizontal="left" vertical="center" indent="1"/>
    </xf>
    <xf numFmtId="43" fontId="0" fillId="27" borderId="58" xfId="0" applyNumberFormat="1" applyFill="1" applyBorder="1" applyAlignment="1">
      <alignment horizontal="center" vertical="center"/>
    </xf>
    <xf numFmtId="0" fontId="0" fillId="27" borderId="1" xfId="0" applyFill="1" applyBorder="1" applyAlignment="1">
      <alignment horizontal="center" vertical="center"/>
    </xf>
    <xf numFmtId="0" fontId="0" fillId="27" borderId="58" xfId="0" applyFill="1" applyBorder="1" applyAlignment="1">
      <alignment horizontal="center" vertical="center"/>
    </xf>
    <xf numFmtId="4" fontId="68" fillId="27" borderId="58" xfId="21" applyNumberFormat="1" applyFont="1" applyFill="1" applyBorder="1" applyAlignment="1">
      <alignment horizontal="center" vertical="center"/>
    </xf>
    <xf numFmtId="4" fontId="68" fillId="27" borderId="1" xfId="21" applyNumberFormat="1" applyFont="1" applyFill="1" applyBorder="1" applyAlignment="1">
      <alignment horizontal="center" vertical="center"/>
    </xf>
    <xf numFmtId="0" fontId="68" fillId="27" borderId="85" xfId="0" applyFont="1" applyFill="1" applyBorder="1" applyAlignment="1">
      <alignment horizontal="center" vertical="center" wrapText="1"/>
    </xf>
    <xf numFmtId="0" fontId="68" fillId="27" borderId="59" xfId="0" applyFont="1" applyFill="1" applyBorder="1" applyAlignment="1">
      <alignment horizontal="center" vertical="center" wrapText="1"/>
    </xf>
    <xf numFmtId="0" fontId="68" fillId="27" borderId="3" xfId="0" applyFont="1" applyFill="1" applyBorder="1" applyAlignment="1">
      <alignment horizontal="left" vertical="center" wrapText="1" indent="1"/>
    </xf>
    <xf numFmtId="0" fontId="106" fillId="49" borderId="124" xfId="0" applyFont="1" applyFill="1" applyBorder="1" applyAlignment="1">
      <alignment horizontal="center"/>
    </xf>
    <xf numFmtId="0" fontId="106" fillId="49" borderId="93" xfId="0" applyFont="1" applyFill="1" applyBorder="1" applyAlignment="1">
      <alignment horizontal="center"/>
    </xf>
    <xf numFmtId="0" fontId="106" fillId="49" borderId="94" xfId="0" applyFont="1" applyFill="1" applyBorder="1" applyAlignment="1">
      <alignment horizontal="center"/>
    </xf>
    <xf numFmtId="0" fontId="68" fillId="27" borderId="23" xfId="0" applyFont="1" applyFill="1" applyBorder="1" applyAlignment="1">
      <alignment horizontal="left" vertical="center" indent="1"/>
    </xf>
    <xf numFmtId="0" fontId="0" fillId="27" borderId="6" xfId="0" applyFill="1" applyBorder="1" applyAlignment="1">
      <alignment horizontal="center" vertical="center"/>
    </xf>
    <xf numFmtId="4" fontId="0" fillId="27" borderId="1" xfId="21" applyNumberFormat="1" applyFont="1" applyFill="1" applyBorder="1" applyAlignment="1">
      <alignment horizontal="center" vertical="center"/>
    </xf>
    <xf numFmtId="4" fontId="0" fillId="27" borderId="6" xfId="21" applyNumberFormat="1" applyFont="1" applyFill="1" applyBorder="1" applyAlignment="1">
      <alignment horizontal="center" vertical="center"/>
    </xf>
    <xf numFmtId="0" fontId="68" fillId="27" borderId="60" xfId="0" applyFont="1" applyFill="1" applyBorder="1" applyAlignment="1">
      <alignment horizontal="center" vertical="center" wrapText="1"/>
    </xf>
    <xf numFmtId="0" fontId="68" fillId="27" borderId="57" xfId="0" applyFont="1" applyFill="1" applyBorder="1" applyAlignment="1">
      <alignment horizontal="center" vertical="center" wrapText="1"/>
    </xf>
    <xf numFmtId="0" fontId="109" fillId="41" borderId="0" xfId="0" applyFont="1" applyFill="1" applyAlignment="1">
      <alignment horizontal="center"/>
    </xf>
    <xf numFmtId="0" fontId="68" fillId="27" borderId="84" xfId="0" applyFont="1" applyFill="1" applyBorder="1" applyAlignment="1">
      <alignment horizontal="left" vertical="center" wrapText="1"/>
    </xf>
    <xf numFmtId="0" fontId="68" fillId="27" borderId="85" xfId="0" applyFont="1" applyFill="1" applyBorder="1" applyAlignment="1">
      <alignment horizontal="left" vertical="center" wrapText="1"/>
    </xf>
    <xf numFmtId="0" fontId="68" fillId="27" borderId="63" xfId="0" applyFont="1" applyFill="1" applyBorder="1" applyAlignment="1">
      <alignment horizontal="left" vertical="center" wrapText="1"/>
    </xf>
    <xf numFmtId="0" fontId="68" fillId="27" borderId="77" xfId="0" applyFont="1" applyFill="1" applyBorder="1" applyAlignment="1">
      <alignment horizontal="left" vertical="center" wrapText="1"/>
    </xf>
    <xf numFmtId="4" fontId="68" fillId="27" borderId="1" xfId="0" applyNumberFormat="1" applyFont="1" applyFill="1" applyBorder="1" applyAlignment="1">
      <alignment horizontal="center" vertical="center"/>
    </xf>
    <xf numFmtId="4" fontId="68" fillId="27" borderId="15" xfId="0" applyNumberFormat="1" applyFont="1" applyFill="1" applyBorder="1" applyAlignment="1">
      <alignment horizontal="center" vertical="center"/>
    </xf>
    <xf numFmtId="0" fontId="68" fillId="27" borderId="10" xfId="0" applyFont="1" applyFill="1" applyBorder="1" applyAlignment="1">
      <alignment horizontal="center" vertical="center"/>
    </xf>
    <xf numFmtId="170" fontId="68" fillId="27" borderId="15" xfId="0" applyNumberFormat="1" applyFont="1" applyFill="1" applyBorder="1" applyAlignment="1">
      <alignment horizontal="center" vertical="center"/>
    </xf>
    <xf numFmtId="170" fontId="68" fillId="27" borderId="10" xfId="0" applyNumberFormat="1" applyFont="1" applyFill="1" applyBorder="1" applyAlignment="1">
      <alignment horizontal="center" vertical="center"/>
    </xf>
    <xf numFmtId="4" fontId="0" fillId="27" borderId="15" xfId="0" applyNumberFormat="1" applyFill="1" applyBorder="1" applyAlignment="1">
      <alignment horizontal="center" vertical="center"/>
    </xf>
    <xf numFmtId="4" fontId="0" fillId="27" borderId="10" xfId="0" applyNumberFormat="1" applyFill="1" applyBorder="1" applyAlignment="1">
      <alignment horizontal="center" vertical="center"/>
    </xf>
    <xf numFmtId="0" fontId="68" fillId="27" borderId="62" xfId="0" applyFont="1" applyFill="1" applyBorder="1" applyAlignment="1">
      <alignment horizontal="center" vertical="center"/>
    </xf>
    <xf numFmtId="170" fontId="68" fillId="27" borderId="62" xfId="0" applyNumberFormat="1" applyFont="1" applyFill="1" applyBorder="1" applyAlignment="1">
      <alignment horizontal="center" vertical="center"/>
    </xf>
    <xf numFmtId="4" fontId="0" fillId="27" borderId="62" xfId="0" applyNumberFormat="1" applyFill="1" applyBorder="1" applyAlignment="1">
      <alignment horizontal="center" vertical="center"/>
    </xf>
    <xf numFmtId="2" fontId="68" fillId="27" borderId="15" xfId="0" applyNumberFormat="1" applyFont="1" applyFill="1" applyBorder="1" applyAlignment="1">
      <alignment horizontal="center" vertical="center" wrapText="1"/>
    </xf>
    <xf numFmtId="0" fontId="68" fillId="27" borderId="10" xfId="0" applyFont="1" applyFill="1" applyBorder="1" applyAlignment="1">
      <alignment horizontal="center" vertical="center" wrapText="1"/>
    </xf>
    <xf numFmtId="0" fontId="106" fillId="42" borderId="15" xfId="0" applyFont="1" applyFill="1" applyBorder="1" applyAlignment="1">
      <alignment horizontal="center" vertical="center"/>
    </xf>
    <xf numFmtId="0" fontId="106" fillId="42" borderId="10" xfId="0" applyFont="1" applyFill="1" applyBorder="1" applyAlignment="1">
      <alignment horizontal="center" vertical="center"/>
    </xf>
    <xf numFmtId="0" fontId="106" fillId="42" borderId="84" xfId="0" applyFont="1" applyFill="1" applyBorder="1" applyAlignment="1">
      <alignment horizontal="center" vertical="center"/>
    </xf>
    <xf numFmtId="0" fontId="106" fillId="42" borderId="63" xfId="0" applyFont="1" applyFill="1" applyBorder="1" applyAlignment="1">
      <alignment horizontal="center" vertical="center"/>
    </xf>
    <xf numFmtId="0" fontId="106" fillId="49" borderId="38" xfId="0" applyFont="1" applyFill="1" applyBorder="1" applyAlignment="1">
      <alignment horizontal="center"/>
    </xf>
    <xf numFmtId="0" fontId="106" fillId="49" borderId="58" xfId="0" applyFont="1" applyFill="1" applyBorder="1" applyAlignment="1">
      <alignment horizontal="center"/>
    </xf>
    <xf numFmtId="0" fontId="106" fillId="49" borderId="57" xfId="0" applyFont="1" applyFill="1" applyBorder="1" applyAlignment="1">
      <alignment horizontal="center"/>
    </xf>
    <xf numFmtId="0" fontId="106" fillId="42" borderId="92" xfId="0" applyFont="1" applyFill="1" applyBorder="1" applyAlignment="1">
      <alignment horizontal="center" vertical="center" wrapText="1"/>
    </xf>
    <xf numFmtId="0" fontId="106" fillId="42" borderId="94" xfId="0" applyFont="1" applyFill="1" applyBorder="1" applyAlignment="1">
      <alignment horizontal="center" vertical="center" wrapText="1"/>
    </xf>
    <xf numFmtId="4" fontId="72" fillId="0" borderId="46" xfId="0" applyNumberFormat="1" applyFont="1" applyBorder="1" applyAlignment="1">
      <alignment horizontal="left" vertical="center" wrapText="1"/>
    </xf>
    <xf numFmtId="4" fontId="0" fillId="27" borderId="7" xfId="0" applyNumberFormat="1" applyFill="1" applyBorder="1" applyAlignment="1">
      <alignment horizontal="center" vertical="center"/>
    </xf>
    <xf numFmtId="4" fontId="0" fillId="27" borderId="5" xfId="0" applyNumberFormat="1" applyFill="1" applyBorder="1" applyAlignment="1">
      <alignment horizontal="center" vertical="center"/>
    </xf>
    <xf numFmtId="0" fontId="106" fillId="49" borderId="41" xfId="0" applyFont="1" applyFill="1" applyBorder="1" applyAlignment="1">
      <alignment horizontal="center" vertical="center"/>
    </xf>
    <xf numFmtId="0" fontId="106" fillId="49" borderId="45" xfId="0" applyFont="1" applyFill="1" applyBorder="1" applyAlignment="1">
      <alignment horizontal="center" vertical="center"/>
    </xf>
    <xf numFmtId="0" fontId="106" fillId="49" borderId="21" xfId="0" applyFont="1" applyFill="1" applyBorder="1" applyAlignment="1">
      <alignment horizontal="center" vertical="center"/>
    </xf>
    <xf numFmtId="0" fontId="106" fillId="42" borderId="121" xfId="0" applyFont="1" applyFill="1" applyBorder="1" applyAlignment="1">
      <alignment horizontal="center" vertical="center"/>
    </xf>
    <xf numFmtId="0" fontId="106" fillId="42" borderId="48" xfId="0" applyFont="1" applyFill="1" applyBorder="1" applyAlignment="1">
      <alignment horizontal="center" vertical="center"/>
    </xf>
    <xf numFmtId="0" fontId="106" fillId="49" borderId="124" xfId="0" applyFont="1" applyFill="1" applyBorder="1" applyAlignment="1">
      <alignment horizontal="center" vertical="center" wrapText="1"/>
    </xf>
    <xf numFmtId="0" fontId="106" fillId="49" borderId="93" xfId="0" applyFont="1" applyFill="1" applyBorder="1" applyAlignment="1">
      <alignment horizontal="center" vertical="center" wrapText="1"/>
    </xf>
    <xf numFmtId="0" fontId="106" fillId="49" borderId="94" xfId="0" applyFont="1" applyFill="1" applyBorder="1" applyAlignment="1">
      <alignment horizontal="center" vertical="center" wrapText="1"/>
    </xf>
    <xf numFmtId="0" fontId="106" fillId="49" borderId="1" xfId="0" applyFont="1" applyFill="1" applyBorder="1" applyAlignment="1">
      <alignment horizontal="center"/>
    </xf>
    <xf numFmtId="4" fontId="0" fillId="27" borderId="1" xfId="0" applyNumberFormat="1" applyFill="1" applyBorder="1" applyAlignment="1">
      <alignment horizontal="left" vertical="center" indent="1"/>
    </xf>
    <xf numFmtId="0" fontId="68" fillId="27" borderId="15" xfId="0" applyFont="1" applyFill="1" applyBorder="1" applyAlignment="1">
      <alignment horizontal="left" vertical="center" wrapText="1"/>
    </xf>
    <xf numFmtId="0" fontId="68" fillId="27" borderId="10"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68" fillId="37" borderId="84" xfId="0" applyFont="1" applyFill="1" applyBorder="1" applyAlignment="1">
      <alignment horizontal="center" vertical="center" wrapText="1"/>
    </xf>
    <xf numFmtId="0" fontId="68" fillId="37" borderId="85" xfId="0" applyFont="1" applyFill="1" applyBorder="1" applyAlignment="1">
      <alignment horizontal="center" vertical="center" wrapText="1"/>
    </xf>
    <xf numFmtId="0" fontId="68" fillId="37" borderId="77" xfId="0" applyFont="1" applyFill="1" applyBorder="1" applyAlignment="1">
      <alignment horizontal="center" vertical="center" wrapText="1"/>
    </xf>
    <xf numFmtId="0" fontId="106" fillId="49" borderId="38" xfId="0" applyFont="1" applyFill="1" applyBorder="1" applyAlignment="1">
      <alignment horizontal="center" vertical="center"/>
    </xf>
    <xf numFmtId="0" fontId="106" fillId="49" borderId="58" xfId="0" applyFont="1" applyFill="1" applyBorder="1" applyAlignment="1">
      <alignment horizontal="center" vertical="center"/>
    </xf>
    <xf numFmtId="0" fontId="106" fillId="49" borderId="57" xfId="0" applyFont="1" applyFill="1" applyBorder="1" applyAlignment="1">
      <alignment horizontal="center" vertical="center"/>
    </xf>
    <xf numFmtId="0" fontId="102" fillId="42" borderId="121" xfId="0" applyFont="1" applyFill="1" applyBorder="1" applyAlignment="1">
      <alignment horizontal="center" vertical="center" wrapText="1"/>
    </xf>
    <xf numFmtId="0" fontId="102" fillId="42" borderId="48" xfId="0" applyFont="1" applyFill="1" applyBorder="1" applyAlignment="1">
      <alignment horizontal="center" vertical="center" wrapText="1"/>
    </xf>
    <xf numFmtId="0" fontId="106" fillId="42" borderId="93" xfId="0" applyFont="1" applyFill="1" applyBorder="1" applyAlignment="1">
      <alignment horizontal="center" vertical="center"/>
    </xf>
    <xf numFmtId="0" fontId="106" fillId="42" borderId="93" xfId="0" applyFont="1" applyFill="1" applyBorder="1" applyAlignment="1">
      <alignment horizontal="center" vertical="center" wrapText="1"/>
    </xf>
  </cellXfs>
  <cellStyles count="17">
    <cellStyle name="Normal" xfId="0"/>
    <cellStyle name="Percent" xfId="15"/>
    <cellStyle name="Currency" xfId="16"/>
    <cellStyle name="Currency [0]" xfId="17"/>
    <cellStyle name="Comma" xfId="18"/>
    <cellStyle name="Comma [0]" xfId="19"/>
    <cellStyle name="Millares" xfId="20"/>
    <cellStyle name="Porcentaje" xfId="21"/>
    <cellStyle name="Hipervínculo" xfId="22"/>
    <cellStyle name="Normal 3" xfId="23"/>
    <cellStyle name="Normal 2" xfId="24"/>
    <cellStyle name="Millares 2" xfId="25"/>
    <cellStyle name="Porcentaje 2" xfId="26"/>
    <cellStyle name="Hipervínculo 2" xfId="27"/>
    <cellStyle name="Millares 3" xfId="28"/>
    <cellStyle name="Normal 2 2" xfId="29"/>
    <cellStyle name="Normal 10 3"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microsoft.com/office/2017/10/relationships/person" Target="persons/person.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30"/>
      <c:rotY val="180"/>
      <c:depthPercent val="100"/>
      <c:rAngAx val="0"/>
      <c:perspective val="30"/>
    </c:view3D>
    <c:plotArea>
      <c:layout>
        <c:manualLayout>
          <c:layoutTarget val="inner"/>
          <c:xMode val="edge"/>
          <c:yMode val="edge"/>
          <c:x val="0.1565"/>
          <c:y val="0.2035"/>
          <c:w val="0.67275"/>
          <c:h val="0.64275"/>
        </c:manualLayout>
      </c:layout>
      <c:pie3DChart>
        <c:varyColors val="1"/>
        <c:ser>
          <c:idx val="0"/>
          <c:order val="0"/>
          <c:tx>
            <c:v>Emisiones de GEI (GgCO2eq)</c:v>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25400">
                <a:solidFill>
                  <a:schemeClr val="bg1"/>
                </a:solidFill>
              </a:ln>
              <a:sp3d contourW="25400">
                <a:contourClr>
                  <a:schemeClr val="bg1"/>
                </a:contourClr>
              </a:sp3d>
            </c:spPr>
          </c:dPt>
          <c:dPt>
            <c:idx val="1"/>
            <c:spPr>
              <a:solidFill>
                <a:schemeClr val="accent2"/>
              </a:solidFill>
              <a:ln w="25400">
                <a:solidFill>
                  <a:schemeClr val="bg1"/>
                </a:solidFill>
              </a:ln>
              <a:sp3d contourW="25400">
                <a:contourClr>
                  <a:schemeClr val="bg1"/>
                </a:contourClr>
              </a:sp3d>
            </c:spPr>
          </c:dPt>
          <c:dPt>
            <c:idx val="2"/>
            <c:spPr>
              <a:solidFill>
                <a:schemeClr val="accent3"/>
              </a:solidFill>
              <a:ln w="25400">
                <a:solidFill>
                  <a:schemeClr val="bg1"/>
                </a:solidFill>
              </a:ln>
              <a:sp3d contourW="25400">
                <a:contourClr>
                  <a:schemeClr val="bg1"/>
                </a:contourClr>
              </a:sp3d>
            </c:spPr>
          </c:dPt>
          <c:dPt>
            <c:idx val="3"/>
            <c:spPr>
              <a:solidFill>
                <a:schemeClr val="accent4"/>
              </a:solidFill>
              <a:ln w="25400">
                <a:solidFill>
                  <a:schemeClr val="bg1"/>
                </a:solidFill>
              </a:ln>
              <a:sp3d contourW="25400">
                <a:contourClr>
                  <a:schemeClr val="bg1"/>
                </a:contourClr>
              </a:sp3d>
            </c:spPr>
          </c:dPt>
          <c:dPt>
            <c:idx val="4"/>
            <c:spPr>
              <a:solidFill>
                <a:schemeClr val="accent5"/>
              </a:solidFill>
              <a:ln w="25400">
                <a:solidFill>
                  <a:schemeClr val="bg1"/>
                </a:solidFill>
              </a:ln>
              <a:sp3d contourW="25400">
                <a:contourClr>
                  <a:schemeClr val="bg1"/>
                </a:contourClr>
              </a:sp3d>
            </c:spPr>
          </c:dPt>
          <c:dPt>
            <c:idx val="5"/>
            <c:spPr>
              <a:solidFill>
                <a:schemeClr val="accent6"/>
              </a:solidFill>
              <a:ln w="25400">
                <a:solidFill>
                  <a:schemeClr val="bg1"/>
                </a:solidFill>
              </a:ln>
              <a:sp3d contourW="25400">
                <a:contourClr>
                  <a:schemeClr val="bg1"/>
                </a:contourClr>
              </a:sp3d>
            </c:spPr>
          </c:dPt>
          <c:dPt>
            <c:idx val="6"/>
            <c:spPr>
              <a:solidFill>
                <a:schemeClr val="accent1">
                  <a:lumMod val="60000"/>
                </a:schemeClr>
              </a:solidFill>
              <a:ln w="25400">
                <a:solidFill>
                  <a:schemeClr val="bg1"/>
                </a:solidFill>
              </a:ln>
              <a:sp3d contourW="25400">
                <a:contourClr>
                  <a:schemeClr val="bg1"/>
                </a:contourClr>
              </a:sp3d>
            </c:spPr>
          </c:dPt>
          <c:dPt>
            <c:idx val="7"/>
            <c:spPr>
              <a:solidFill>
                <a:schemeClr val="accent2">
                  <a:lumMod val="60000"/>
                </a:schemeClr>
              </a:solidFill>
              <a:ln w="25400">
                <a:solidFill>
                  <a:schemeClr val="bg1"/>
                </a:solidFill>
              </a:ln>
              <a:sp3d contourW="25400">
                <a:contourClr>
                  <a:schemeClr val="bg1"/>
                </a:contourClr>
              </a:sp3d>
            </c:spPr>
          </c:dPt>
          <c:dLbls>
            <c:dLbl>
              <c:idx val="0"/>
              <c:layout>
                <c:manualLayout>
                  <c:x val="0.00075"/>
                  <c:y val="0.09525"/>
                </c:manualLayout>
              </c:layout>
              <c:tx>
                <c:rich>
                  <a:bodyPr vert="horz" rot="0" anchor="ctr"/>
                  <a:lstStyle/>
                  <a:p>
                    <a:pPr algn="ctr">
                      <a:defRPr/>
                    </a:pPr>
                    <a:fld id="{3a6d8ce5-c120-46e5-a0c3-21d48d9a3384}" type="CATEGORYNAME">
                      <a:rPr lang="en-US" cap="none" u="none" baseline="0">
                        <a:latin typeface="Calibri"/>
                        <a:ea typeface="Calibri"/>
                        <a:cs typeface="Calibri"/>
                      </a:rPr>
                      <a:t>[NOMBRE DE CATEGORÍA]</a:t>
                    </a:fld>
                    <a:r>
                      <a:rPr lang="en-US" cap="none" u="none" baseline="0">
                        <a:latin typeface="Calibri"/>
                        <a:ea typeface="Calibri"/>
                        <a:cs typeface="Calibri"/>
                      </a:rPr>
                      <a:t>
</a:t>
                    </a:r>
                    <a:fld id="{5171fdb1-9f92-45aa-8c4c-9aea93b5e4ca}" type="VALUE">
                      <a:rPr lang="en-US" cap="none" u="none" baseline="0">
                        <a:latin typeface="Calibri"/>
                        <a:ea typeface="Calibri"/>
                        <a:cs typeface="Calibri"/>
                      </a:rPr>
                      <a:t>[VALOR]</a:t>
                    </a:fld>
                    <a:r>
                      <a:rPr lang="en-US" cap="none" u="none" baseline="0">
                        <a:latin typeface="Calibri"/>
                        <a:ea typeface="Calibri"/>
                        <a:cs typeface="Calibri"/>
                      </a:rPr>
                      <a:t>GgCO</a:t>
                    </a:r>
                    <a:r>
                      <a:rPr lang="en-US" cap="none" u="none" baseline="-25000">
                        <a:latin typeface="Calibri"/>
                        <a:ea typeface="Calibri"/>
                        <a:cs typeface="Calibri"/>
                      </a:rPr>
                      <a:t>2</a:t>
                    </a:r>
                    <a:r>
                      <a:rPr lang="en-US" cap="none" u="none" baseline="0">
                        <a:latin typeface="Calibri"/>
                        <a:ea typeface="Calibri"/>
                        <a:cs typeface="Calibri"/>
                      </a:rPr>
                      <a:t>eq
</a:t>
                    </a:r>
                    <a:fld id="{a8692115-cf5e-41de-8963-1af50cc31f53}" type="PERCENTAGE">
                      <a:rPr lang="en-US" cap="none" u="none" baseline="0">
                        <a:latin typeface="Calibri"/>
                        <a:ea typeface="Calibri"/>
                        <a:cs typeface="Calibri"/>
                      </a:rPr>
                      <a:t>[PORCENTAJE]</a:t>
                    </a:fld>
                  </a:p>
                </c:rich>
              </c:tx>
              <c:showLegendKey val="0"/>
              <c:showVal val="1"/>
              <c:showBubbleSize val="0"/>
              <c:showCatName val="1"/>
              <c:showSerName val="0"/>
              <c:showPercent val="1"/>
              <c:separator>
</c:separator>
            </c:dLbl>
            <c:dLbl>
              <c:idx val="1"/>
              <c:tx>
                <c:rich>
                  <a:bodyPr vert="horz" rot="0" anchor="ctr"/>
                  <a:lstStyle/>
                  <a:p>
                    <a:pPr algn="ctr">
                      <a:defRPr/>
                    </a:pPr>
                    <a:r>
                      <a:rPr lang="en-US" cap="none" sz="800" b="0" i="0" u="none" baseline="0">
                        <a:solidFill>
                          <a:schemeClr val="tx1">
                            <a:lumMod val="75000"/>
                            <a:lumOff val="25000"/>
                          </a:schemeClr>
                        </a:solidFill>
                        <a:latin typeface="+mn-lt"/>
                        <a:ea typeface="Calibri"/>
                        <a:cs typeface="Calibri"/>
                      </a:rPr>
                      <a:t>[NOMBRE DE CATEGORÍA]</a:t>
                    </a:r>
                    <a:r>
                      <a:rPr lang="en-US" cap="none" sz="800" b="0" i="0" u="none" baseline="0">
                        <a:solidFill>
                          <a:schemeClr val="tx1">
                            <a:lumMod val="75000"/>
                            <a:lumOff val="25000"/>
                          </a:schemeClr>
                        </a:solidFill>
                        <a:latin typeface="+mn-lt"/>
                        <a:ea typeface="Calibri"/>
                        <a:cs typeface="Calibri"/>
                      </a:rPr>
                      <a:t>
</a:t>
                    </a:r>
                    <a:r>
                      <a:rPr lang="en-US" cap="none" sz="800" b="0" i="0" u="none" baseline="0">
                        <a:solidFill>
                          <a:schemeClr val="tx1">
                            <a:lumMod val="75000"/>
                            <a:lumOff val="25000"/>
                          </a:schemeClr>
                        </a:solidFill>
                        <a:latin typeface="+mn-lt"/>
                        <a:ea typeface="Calibri"/>
                        <a:cs typeface="Calibri"/>
                      </a:rPr>
                      <a:t>[VALOR]</a:t>
                    </a:r>
                    <a:r>
                      <a:rPr lang="en-US" cap="none" sz="800" b="0" i="0" u="none" baseline="0">
                        <a:solidFill>
                          <a:schemeClr val="tx1">
                            <a:lumMod val="75000"/>
                            <a:lumOff val="25000"/>
                          </a:schemeClr>
                        </a:solidFill>
                        <a:latin typeface="+mn-lt"/>
                        <a:ea typeface="Calibri"/>
                        <a:cs typeface="Calibri"/>
                      </a:rPr>
                      <a:t>GgCO</a:t>
                    </a:r>
                    <a:r>
                      <a:rPr lang="en-US" cap="none" sz="800" b="0" i="0" u="none" baseline="-25000">
                        <a:latin typeface="Calibri"/>
                        <a:ea typeface="Calibri"/>
                        <a:cs typeface="Calibri"/>
                      </a:rPr>
                      <a:t>2</a:t>
                    </a:r>
                    <a:r>
                      <a:rPr lang="en-US" cap="none" sz="800" b="0" i="0" u="none" baseline="0">
                        <a:solidFill>
                          <a:schemeClr val="tx1">
                            <a:lumMod val="75000"/>
                            <a:lumOff val="25000"/>
                          </a:schemeClr>
                        </a:solidFill>
                        <a:latin typeface="+mn-lt"/>
                        <a:ea typeface="Calibri"/>
                        <a:cs typeface="Calibri"/>
                      </a:rPr>
                      <a:t>eq
</a:t>
                    </a:r>
                    <a:r>
                      <a:rPr lang="en-US" cap="none" sz="800" b="0" i="0" u="none" baseline="0">
                        <a:solidFill>
                          <a:schemeClr val="tx1">
                            <a:lumMod val="75000"/>
                            <a:lumOff val="25000"/>
                          </a:schemeClr>
                        </a:solidFill>
                        <a:latin typeface="+mn-lt"/>
                        <a:ea typeface="Calibri"/>
                        <a:cs typeface="Calibri"/>
                      </a:rPr>
                      <a:t>[PORCENTAJE]</a:t>
                    </a:r>
                  </a:p>
                </c:rich>
              </c:tx>
              <c:numFmt formatCode="0.00%" sourceLinked="0"/>
              <c:spPr>
                <a:noFill/>
                <a:ln>
                  <a:noFill/>
                </a:ln>
              </c:spPr>
              <c:showLegendKey val="0"/>
              <c:showVal val="1"/>
              <c:showBubbleSize val="0"/>
              <c:showCatName val="1"/>
              <c:showSerName val="0"/>
              <c:showPercent val="1"/>
              <c:separator>
</c:separator>
            </c:dLbl>
            <c:dLbl>
              <c:idx val="2"/>
              <c:layout>
                <c:manualLayout>
                  <c:x val="0.0305"/>
                  <c:y val="-0.10775"/>
                </c:manualLayout>
              </c:layout>
              <c:tx>
                <c:rich>
                  <a:bodyPr vert="horz" rot="0" anchor="ctr"/>
                  <a:lstStyle/>
                  <a:p>
                    <a:pPr algn="ctr">
                      <a:defRPr/>
                    </a:pPr>
                    <a:fld id="{56cf049b-b8f3-4527-8390-3a42c85ec8f4}" type="CATEGORYNAME">
                      <a:rPr lang="en-US" cap="none" u="none" baseline="0">
                        <a:latin typeface="Calibri"/>
                        <a:ea typeface="Calibri"/>
                        <a:cs typeface="Calibri"/>
                      </a:rPr>
                      <a:t>[NOMBRE DE CATEGORÍA]</a:t>
                    </a:fld>
                    <a:r>
                      <a:rPr lang="en-US" cap="none" u="none" baseline="0">
                        <a:latin typeface="Calibri"/>
                        <a:ea typeface="Calibri"/>
                        <a:cs typeface="Calibri"/>
                      </a:rPr>
                      <a:t>
</a:t>
                    </a:r>
                    <a:fld id="{44dc9067-1498-4abf-b8ba-5f6ee6f8fa53}" type="VALUE">
                      <a:rPr lang="en-US" cap="none" u="none" baseline="0">
                        <a:latin typeface="Calibri"/>
                        <a:ea typeface="Calibri"/>
                        <a:cs typeface="Calibri"/>
                      </a:rPr>
                      <a:t>[VALOR]</a:t>
                    </a:fld>
                    <a:r>
                      <a:rPr lang="en-US" cap="none" u="none" baseline="0">
                        <a:latin typeface="Calibri"/>
                        <a:ea typeface="Calibri"/>
                        <a:cs typeface="Calibri"/>
                      </a:rPr>
                      <a:t>GgCO</a:t>
                    </a:r>
                    <a:r>
                      <a:rPr lang="en-US" cap="none" u="none" baseline="-25000">
                        <a:latin typeface="Calibri"/>
                        <a:ea typeface="Calibri"/>
                        <a:cs typeface="Calibri"/>
                      </a:rPr>
                      <a:t>2</a:t>
                    </a:r>
                    <a:r>
                      <a:rPr lang="en-US" cap="none" u="none" baseline="0">
                        <a:latin typeface="Calibri"/>
                        <a:ea typeface="Calibri"/>
                        <a:cs typeface="Calibri"/>
                      </a:rPr>
                      <a:t>eq</a:t>
                    </a:r>
                    <a:r>
                      <a:rPr lang="en-US" cap="none" u="none" baseline="0">
                        <a:latin typeface="Calibri"/>
                        <a:ea typeface="Calibri"/>
                        <a:cs typeface="Calibri"/>
                      </a:rPr>
                      <a:t>
</a:t>
                    </a:r>
                    <a:fld id="{6f148f9b-090e-45c3-ab0e-2c5896054796}" type="PERCENTAGE">
                      <a:rPr lang="en-US" cap="none" u="none" baseline="0">
                        <a:latin typeface="Calibri"/>
                        <a:ea typeface="Calibri"/>
                        <a:cs typeface="Calibri"/>
                      </a:rPr>
                      <a:t>[PORCENTAJE]</a:t>
                    </a:fld>
                  </a:p>
                </c:rich>
              </c:tx>
              <c:showLegendKey val="0"/>
              <c:showVal val="1"/>
              <c:showBubbleSize val="0"/>
              <c:showCatName val="1"/>
              <c:showSerName val="0"/>
              <c:showPercent val="1"/>
              <c:separator>
</c:separator>
            </c:dLbl>
            <c:dLbl>
              <c:idx val="3"/>
              <c:layout>
                <c:manualLayout>
                  <c:x val="0.1275"/>
                  <c:y val="0.0285"/>
                </c:manualLayout>
              </c:layout>
              <c:tx>
                <c:rich>
                  <a:bodyPr vert="horz" rot="0" anchor="ctr"/>
                  <a:lstStyle/>
                  <a:p>
                    <a:pPr algn="ctr">
                      <a:defRPr/>
                    </a:pPr>
                    <a:fld id="{474d07bb-62c9-4c77-97b4-35a2811559f3}" type="CATEGORYNAME">
                      <a:rPr lang="en-US" cap="none" u="none" baseline="0">
                        <a:latin typeface="Calibri"/>
                        <a:ea typeface="Calibri"/>
                        <a:cs typeface="Calibri"/>
                      </a:rPr>
                      <a:t>[NOMBRE DE CATEGORÍA]</a:t>
                    </a:fld>
                    <a:r>
                      <a:rPr lang="en-US" cap="none" u="none" baseline="0">
                        <a:latin typeface="Calibri"/>
                        <a:ea typeface="Calibri"/>
                        <a:cs typeface="Calibri"/>
                      </a:rPr>
                      <a:t>
</a:t>
                    </a:r>
                    <a:fld id="{9ec5722d-ad4e-4dc4-b838-7da05aeabfc5}" type="VALUE">
                      <a:rPr lang="en-US" cap="none" u="none" baseline="0">
                        <a:latin typeface="Calibri"/>
                        <a:ea typeface="Calibri"/>
                        <a:cs typeface="Calibri"/>
                      </a:rPr>
                      <a:t>[VALOR]</a:t>
                    </a:fld>
                    <a:r>
                      <a:rPr lang="en-US" cap="none" u="none" baseline="0">
                        <a:latin typeface="Calibri"/>
                        <a:ea typeface="Calibri"/>
                        <a:cs typeface="Calibri"/>
                      </a:rPr>
                      <a:t>GgCO</a:t>
                    </a:r>
                    <a:r>
                      <a:rPr lang="en-US" cap="none" u="none" baseline="-25000">
                        <a:latin typeface="Calibri"/>
                        <a:ea typeface="Calibri"/>
                        <a:cs typeface="Calibri"/>
                      </a:rPr>
                      <a:t>2</a:t>
                    </a:r>
                    <a:r>
                      <a:rPr lang="en-US" cap="none" u="none" baseline="0">
                        <a:latin typeface="Calibri"/>
                        <a:ea typeface="Calibri"/>
                        <a:cs typeface="Calibri"/>
                      </a:rPr>
                      <a:t>eq</a:t>
                    </a:r>
                    <a:r>
                      <a:rPr lang="en-US" cap="none" u="none" baseline="0">
                        <a:latin typeface="Calibri"/>
                        <a:ea typeface="Calibri"/>
                        <a:cs typeface="Calibri"/>
                      </a:rPr>
                      <a:t>
</a:t>
                    </a:r>
                    <a:fld id="{a3d27bfb-75b0-44b5-9310-397a66b0040e}" type="PERCENTAGE">
                      <a:rPr lang="en-US" cap="none" u="none" baseline="0">
                        <a:latin typeface="Calibri"/>
                        <a:ea typeface="Calibri"/>
                        <a:cs typeface="Calibri"/>
                      </a:rPr>
                      <a:t>[PORCENTAJE]</a:t>
                    </a:fld>
                  </a:p>
                </c:rich>
              </c:tx>
              <c:showLegendKey val="0"/>
              <c:showVal val="1"/>
              <c:showBubbleSize val="0"/>
              <c:showCatName val="1"/>
              <c:showSerName val="0"/>
              <c:showPercent val="1"/>
              <c:separator>
</c:separator>
            </c:dLbl>
            <c:dLbl>
              <c:idx val="4"/>
              <c:tx>
                <c:rich>
                  <a:bodyPr vert="horz" rot="0" anchor="ctr"/>
                  <a:lstStyle/>
                  <a:p>
                    <a:pPr algn="ctr">
                      <a:defRPr/>
                    </a:pPr>
                    <a:fld id="{0e4d97b7-3754-45b4-ade7-b3ed70d125ff}" type="CATEGORYNAME">
                      <a:rPr lang="en-US" cap="none" u="none" baseline="0">
                        <a:latin typeface="Calibri"/>
                        <a:ea typeface="Calibri"/>
                        <a:cs typeface="Calibri"/>
                      </a:rPr>
                      <a:t>[NOMBRE DE CATEGORÍA]</a:t>
                    </a:fld>
                    <a:r>
                      <a:rPr lang="en-US" cap="none" u="none" baseline="0">
                        <a:latin typeface="Calibri"/>
                        <a:ea typeface="Calibri"/>
                        <a:cs typeface="Calibri"/>
                      </a:rPr>
                      <a:t>
</a:t>
                    </a:r>
                    <a:fld id="{2645bc4c-830c-44bb-aa44-80c97c2d13d1}" type="VALUE">
                      <a:rPr lang="en-US" cap="none" u="none" baseline="0">
                        <a:latin typeface="Calibri"/>
                        <a:ea typeface="Calibri"/>
                        <a:cs typeface="Calibri"/>
                      </a:rPr>
                      <a:t>[VALOR]</a:t>
                    </a:fld>
                    <a:r>
                      <a:rPr lang="en-US" cap="none" u="none" baseline="0">
                        <a:latin typeface="Calibri"/>
                        <a:ea typeface="Calibri"/>
                        <a:cs typeface="Calibri"/>
                      </a:rPr>
                      <a:t>GgCO</a:t>
                    </a:r>
                    <a:r>
                      <a:rPr lang="en-US" cap="none" u="none" baseline="-25000">
                        <a:latin typeface="Calibri"/>
                        <a:ea typeface="Calibri"/>
                        <a:cs typeface="Calibri"/>
                      </a:rPr>
                      <a:t>2</a:t>
                    </a:r>
                    <a:r>
                      <a:rPr lang="en-US" cap="none" u="none" baseline="0">
                        <a:latin typeface="Calibri"/>
                        <a:ea typeface="Calibri"/>
                        <a:cs typeface="Calibri"/>
                      </a:rPr>
                      <a:t>eq</a:t>
                    </a:r>
                    <a:r>
                      <a:rPr lang="en-US" cap="none" u="none" baseline="0">
                        <a:latin typeface="Calibri"/>
                        <a:ea typeface="Calibri"/>
                        <a:cs typeface="Calibri"/>
                      </a:rPr>
                      <a:t>
</a:t>
                    </a:r>
                    <a:fld id="{e9354bc1-61a9-4f93-8732-e68854a76703}" type="PERCENTAGE">
                      <a:rPr lang="en-US" cap="none" u="none" baseline="0">
                        <a:latin typeface="Calibri"/>
                        <a:ea typeface="Calibri"/>
                        <a:cs typeface="Calibri"/>
                      </a:rPr>
                      <a:t>[PORCENTAJE]</a:t>
                    </a:fld>
                  </a:p>
                </c:rich>
              </c:tx>
              <c:showLegendKey val="0"/>
              <c:showVal val="1"/>
              <c:showBubbleSize val="0"/>
              <c:showCatName val="1"/>
              <c:showSerName val="0"/>
              <c:showPercent val="1"/>
              <c:separator>
</c:separator>
            </c:dLbl>
            <c:dLbl>
              <c:idx val="5"/>
              <c:layout>
                <c:manualLayout>
                  <c:x val="0.08575"/>
                  <c:y val="-0.11875"/>
                </c:manualLayout>
              </c:layout>
              <c:tx>
                <c:rich>
                  <a:bodyPr vert="horz" rot="0" anchor="ctr"/>
                  <a:lstStyle/>
                  <a:p>
                    <a:pPr algn="ctr">
                      <a:defRPr/>
                    </a:pPr>
                    <a:fld id="{156395f5-eb02-4bac-9c06-cc13f2071fd7}" type="CATEGORYNAME">
                      <a:rPr lang="en-US" cap="none" u="none" baseline="0">
                        <a:latin typeface="Calibri"/>
                        <a:ea typeface="Calibri"/>
                        <a:cs typeface="Calibri"/>
                      </a:rPr>
                      <a:t>[NOMBRE DE CATEGORÍA]</a:t>
                    </a:fld>
                    <a:r>
                      <a:rPr lang="en-US" cap="none" u="none" baseline="0">
                        <a:latin typeface="Calibri"/>
                        <a:ea typeface="Calibri"/>
                        <a:cs typeface="Calibri"/>
                      </a:rPr>
                      <a:t>
</a:t>
                    </a:r>
                    <a:fld id="{9476bf88-1851-411d-80f5-d6a5ab322458}" type="VALUE">
                      <a:rPr lang="en-US" cap="none" u="none" baseline="0">
                        <a:latin typeface="Calibri"/>
                        <a:ea typeface="Calibri"/>
                        <a:cs typeface="Calibri"/>
                      </a:rPr>
                      <a:t>[VALOR]</a:t>
                    </a:fld>
                    <a:r>
                      <a:rPr lang="en-US" cap="none" u="none" baseline="0">
                        <a:latin typeface="Calibri"/>
                        <a:ea typeface="Calibri"/>
                        <a:cs typeface="Calibri"/>
                      </a:rPr>
                      <a:t>GgCO</a:t>
                    </a:r>
                    <a:r>
                      <a:rPr lang="en-US" cap="none" u="none" baseline="-25000">
                        <a:latin typeface="Calibri"/>
                        <a:ea typeface="Calibri"/>
                        <a:cs typeface="Calibri"/>
                      </a:rPr>
                      <a:t>2</a:t>
                    </a:r>
                    <a:r>
                      <a:rPr lang="en-US" cap="none" u="none" baseline="0">
                        <a:latin typeface="Calibri"/>
                        <a:ea typeface="Calibri"/>
                        <a:cs typeface="Calibri"/>
                      </a:rPr>
                      <a:t>eq</a:t>
                    </a:r>
                    <a:r>
                      <a:rPr lang="en-US" cap="none" u="none" baseline="0">
                        <a:latin typeface="Calibri"/>
                        <a:ea typeface="Calibri"/>
                        <a:cs typeface="Calibri"/>
                      </a:rPr>
                      <a:t>
</a:t>
                    </a:r>
                    <a:fld id="{befe73a1-932e-45af-9b9e-ed3df083af20}" type="PERCENTAGE">
                      <a:rPr lang="en-US" cap="none" u="none" baseline="0">
                        <a:latin typeface="Calibri"/>
                        <a:ea typeface="Calibri"/>
                        <a:cs typeface="Calibri"/>
                      </a:rPr>
                      <a:t>[PORCENTAJE]</a:t>
                    </a:fld>
                  </a:p>
                </c:rich>
              </c:tx>
              <c:showLegendKey val="0"/>
              <c:showVal val="1"/>
              <c:showBubbleSize val="0"/>
              <c:showCatName val="1"/>
              <c:showSerName val="0"/>
              <c:showPercent val="1"/>
              <c:separator>
</c:separator>
            </c:dLbl>
            <c:dLbl>
              <c:idx val="6"/>
              <c:layout>
                <c:manualLayout>
                  <c:x val="-0.00925"/>
                  <c:y val="0"/>
                </c:manualLayout>
              </c:layout>
              <c:tx>
                <c:rich>
                  <a:bodyPr vert="horz" rot="0" anchor="ctr"/>
                  <a:lstStyle/>
                  <a:p>
                    <a:pPr algn="ctr">
                      <a:defRPr/>
                    </a:pPr>
                    <a:fld id="{0be9d408-cb2c-4d0a-ace7-ffe4ed08af56}" type="CATEGORYNAME">
                      <a:rPr lang="en-US" cap="none" u="none" baseline="0">
                        <a:latin typeface="Calibri"/>
                        <a:ea typeface="Calibri"/>
                        <a:cs typeface="Calibri"/>
                      </a:rPr>
                      <a:t>[NOMBRE DE CATEGORÍA]</a:t>
                    </a:fld>
                    <a:r>
                      <a:rPr lang="en-US" cap="none" u="none" baseline="0">
                        <a:latin typeface="Calibri"/>
                        <a:ea typeface="Calibri"/>
                        <a:cs typeface="Calibri"/>
                      </a:rPr>
                      <a:t>
</a:t>
                    </a:r>
                    <a:fld id="{d7b21ab1-b500-40d6-818e-2cc136b5a9a5}" type="VALUE">
                      <a:rPr lang="en-US" cap="none" u="none" baseline="0">
                        <a:latin typeface="Calibri"/>
                        <a:ea typeface="Calibri"/>
                        <a:cs typeface="Calibri"/>
                      </a:rPr>
                      <a:t>[VALOR]</a:t>
                    </a:fld>
                    <a:r>
                      <a:rPr lang="en-US" cap="none" u="none" baseline="0">
                        <a:latin typeface="Calibri"/>
                        <a:ea typeface="Calibri"/>
                        <a:cs typeface="Calibri"/>
                      </a:rPr>
                      <a:t>GgCO</a:t>
                    </a:r>
                    <a:r>
                      <a:rPr lang="en-US" cap="none" u="none" baseline="-25000">
                        <a:latin typeface="Calibri"/>
                        <a:ea typeface="Calibri"/>
                        <a:cs typeface="Calibri"/>
                      </a:rPr>
                      <a:t>2</a:t>
                    </a:r>
                    <a:r>
                      <a:rPr lang="en-US" cap="none" u="none" baseline="0">
                        <a:latin typeface="Calibri"/>
                        <a:ea typeface="Calibri"/>
                        <a:cs typeface="Calibri"/>
                      </a:rPr>
                      <a:t>eq</a:t>
                    </a:r>
                    <a:r>
                      <a:rPr lang="en-US" cap="none" u="none" baseline="0">
                        <a:latin typeface="Calibri"/>
                        <a:ea typeface="Calibri"/>
                        <a:cs typeface="Calibri"/>
                      </a:rPr>
                      <a:t>
</a:t>
                    </a:r>
                    <a:fld id="{e2a253a1-476e-491b-9a08-a9a550226ec6}" type="PERCENTAGE">
                      <a:rPr lang="en-US" cap="none" u="none" baseline="0">
                        <a:latin typeface="Calibri"/>
                        <a:ea typeface="Calibri"/>
                        <a:cs typeface="Calibri"/>
                      </a:rPr>
                      <a:t>[PORCENTAJE]</a:t>
                    </a:fld>
                  </a:p>
                </c:rich>
              </c:tx>
              <c:showLegendKey val="0"/>
              <c:showVal val="1"/>
              <c:showBubbleSize val="0"/>
              <c:showCatName val="1"/>
              <c:showSerName val="0"/>
              <c:showPercent val="1"/>
              <c:separator>
</c:separator>
            </c:dLbl>
            <c:dLbl>
              <c:idx val="7"/>
              <c:layout>
                <c:manualLayout>
                  <c:x val="-0.1415"/>
                  <c:y val="0.02325"/>
                </c:manualLayout>
              </c:layout>
              <c:tx>
                <c:rich>
                  <a:bodyPr vert="horz" rot="0" anchor="ctr"/>
                  <a:lstStyle/>
                  <a:p>
                    <a:pPr algn="ctr">
                      <a:defRPr/>
                    </a:pPr>
                    <a:fld id="{fdd9282f-af79-40a5-a852-f6a1bf6ba311}" type="CATEGORYNAME">
                      <a:rPr lang="en-US" cap="none" u="none" baseline="0">
                        <a:latin typeface="Calibri"/>
                        <a:ea typeface="Calibri"/>
                        <a:cs typeface="Calibri"/>
                      </a:rPr>
                      <a:t>[NOMBRE DE CATEGORÍA]</a:t>
                    </a:fld>
                    <a:r>
                      <a:rPr lang="en-US" cap="none" u="none" baseline="0">
                        <a:latin typeface="Calibri"/>
                        <a:ea typeface="Calibri"/>
                        <a:cs typeface="Calibri"/>
                      </a:rPr>
                      <a:t>
</a:t>
                    </a:r>
                    <a:fld id="{02e9ac3b-e2aa-41c6-a302-af39c70e4c50}" type="VALUE">
                      <a:rPr lang="en-US" cap="none" u="none" baseline="0">
                        <a:latin typeface="Calibri"/>
                        <a:ea typeface="Calibri"/>
                        <a:cs typeface="Calibri"/>
                      </a:rPr>
                      <a:t>[VALOR]</a:t>
                    </a:fld>
                    <a:r>
                      <a:rPr lang="en-US" cap="none" u="none" baseline="0">
                        <a:latin typeface="Calibri"/>
                        <a:ea typeface="Calibri"/>
                        <a:cs typeface="Calibri"/>
                      </a:rPr>
                      <a:t>GgCO</a:t>
                    </a:r>
                    <a:r>
                      <a:rPr lang="en-US" cap="none" u="none" baseline="-25000">
                        <a:latin typeface="Calibri"/>
                        <a:ea typeface="Calibri"/>
                        <a:cs typeface="Calibri"/>
                      </a:rPr>
                      <a:t>2</a:t>
                    </a:r>
                    <a:r>
                      <a:rPr lang="en-US" cap="none" u="none" baseline="0">
                        <a:latin typeface="Calibri"/>
                        <a:ea typeface="Calibri"/>
                        <a:cs typeface="Calibri"/>
                      </a:rPr>
                      <a:t>eq</a:t>
                    </a:r>
                    <a:r>
                      <a:rPr lang="en-US" cap="none" u="none" baseline="0">
                        <a:latin typeface="Calibri"/>
                        <a:ea typeface="Calibri"/>
                        <a:cs typeface="Calibri"/>
                      </a:rPr>
                      <a:t>
</a:t>
                    </a:r>
                    <a:fld id="{b47e30c9-381f-42fe-a0b8-c06ba2d254ec}" type="PERCENTAGE">
                      <a:rPr lang="en-US" cap="none" u="none" baseline="0">
                        <a:latin typeface="Calibri"/>
                        <a:ea typeface="Calibri"/>
                        <a:cs typeface="Calibri"/>
                      </a:rPr>
                      <a:t>[PORCENTAJE]</a:t>
                    </a:fld>
                  </a:p>
                </c:rich>
              </c:tx>
              <c:showLegendKey val="0"/>
              <c:showVal val="1"/>
              <c:showBubbleSize val="0"/>
              <c:showCatName val="1"/>
              <c:showSerName val="0"/>
              <c:showPercent val="1"/>
              <c:separator>
</c:separator>
            </c:dLbl>
            <c:numFmt formatCode="0.00%" sourceLinked="0"/>
            <c:spPr>
              <a:noFill/>
              <a:ln>
                <a:noFill/>
              </a:ln>
            </c:spPr>
            <c:txPr>
              <a:bodyPr vert="horz" rot="0" anchor="ctr"/>
              <a:lstStyle/>
              <a:p>
                <a:pPr algn="ctr">
                  <a:defRPr lang="en-US" cap="none" sz="800" b="0" i="0" u="none" baseline="0">
                    <a:solidFill>
                      <a:schemeClr val="tx1">
                        <a:lumMod val="75000"/>
                        <a:lumOff val="25000"/>
                      </a:schemeClr>
                    </a:solidFill>
                    <a:latin typeface="+mn-lt"/>
                    <a:ea typeface="Calibri"/>
                    <a:cs typeface="Calibri"/>
                  </a:defRPr>
                </a:pPr>
              </a:p>
            </c:txPr>
            <c:showLegendKey val="0"/>
            <c:showVal val="1"/>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('RESULTADOS RAGEI '!$G$7,'RESULTADOS RAGEI '!$G$20,'RESULTADOS RAGEI '!$G$34,'RESULTADOS RAGEI '!$G$38:$G$42)</c:f>
              <c:strCache/>
            </c:strRef>
          </c:cat>
          <c:val>
            <c:numRef>
              <c:f>('RESULTADOS RAGEI '!$N$7,'RESULTADOS RAGEI '!$N$20,'RESULTADOS RAGEI '!$N$34,'RESULTADOS RAGEI '!$N$38:$N$42)</c:f>
              <c:numCache/>
            </c:numRef>
          </c:val>
        </c:ser>
      </c:pie3DChart>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800" u="none" baseline="0">
          <a:latin typeface="Calibri"/>
          <a:ea typeface="Calibri"/>
          <a:cs typeface="Calibri"/>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'RESULTADOS RAGEI '!$G$35</c:f>
              <c:strCache>
                <c:ptCount val="1"/>
                <c:pt idx="0">
                  <c:v>Quema de biomasa en tierras de cultivo</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('RESULTADOS RAGEI '!$I$4:$J$4,'RESULTADOS RAGEI '!$N$4)</c:f>
              <c:strCache/>
            </c:strRef>
          </c:cat>
          <c:val>
            <c:numRef>
              <c:f>('RESULTADOS RAGEI '!$I$35:$J$35,'RESULTADOS RAGEI '!$N$35)</c:f>
              <c:numCache/>
            </c:numRef>
          </c:val>
          <c:shape val="box"/>
        </c:ser>
        <c:shape val="box"/>
        <c:axId val="30175864"/>
        <c:axId val="3147321"/>
      </c:bar3DChart>
      <c:catAx>
        <c:axId val="30175864"/>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147321"/>
        <c:crosses val="autoZero"/>
        <c:auto val="1"/>
        <c:lblOffset val="100"/>
        <c:noMultiLvlLbl val="0"/>
      </c:catAx>
      <c:valAx>
        <c:axId val="314732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0175864"/>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v>GgCO2eq</c:v>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anteriores'!$D$7:$L$7</c:f>
              <c:numCache/>
            </c:numRef>
          </c:val>
          <c:shape val="box"/>
        </c:ser>
        <c:shape val="box"/>
        <c:axId val="28325890"/>
        <c:axId val="53606419"/>
      </c:bar3DChart>
      <c:catAx>
        <c:axId val="28325890"/>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606419"/>
        <c:crosses val="autoZero"/>
        <c:auto val="1"/>
        <c:lblOffset val="100"/>
        <c:noMultiLvlLbl val="0"/>
      </c:catAx>
      <c:valAx>
        <c:axId val="53606419"/>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Emisioes de GEI (GgCO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manualLayout>
              <c:xMode val="edge"/>
              <c:yMode val="edge"/>
              <c:x val="0.014"/>
              <c:y val="0.242"/>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325890"/>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'Recálculos RAGEI anteriores'!$C$9</c:f>
              <c:strCache>
                <c:ptCount val="1"/>
                <c:pt idx="0">
                  <c:v>Fermentación entérica</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anteriores'!$D$9:$L$9</c:f>
              <c:numCache/>
            </c:numRef>
          </c:val>
          <c:shape val="box"/>
        </c:ser>
        <c:shape val="box"/>
        <c:axId val="12695724"/>
        <c:axId val="47152653"/>
      </c:bar3DChart>
      <c:catAx>
        <c:axId val="12695724"/>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152653"/>
        <c:crosses val="autoZero"/>
        <c:auto val="1"/>
        <c:lblOffset val="100"/>
        <c:noMultiLvlLbl val="0"/>
      </c:catAx>
      <c:valAx>
        <c:axId val="47152653"/>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(GgCO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manualLayout>
              <c:xMode val="edge"/>
              <c:yMode val="edge"/>
              <c:x val="0.014"/>
              <c:y val="0.242"/>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2695724"/>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'Recálculos RAGEI anteriores'!$C$22</c:f>
              <c:strCache>
                <c:ptCount val="1"/>
                <c:pt idx="0">
                  <c:v>Manejo de estiércol</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anteriores'!$D$22:$L$22</c:f>
              <c:numCache/>
            </c:numRef>
          </c:val>
          <c:shape val="box"/>
        </c:ser>
        <c:shape val="box"/>
        <c:axId val="21720694"/>
        <c:axId val="61268519"/>
      </c:bar3DChart>
      <c:catAx>
        <c:axId val="21720694"/>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1268519"/>
        <c:crosses val="autoZero"/>
        <c:auto val="1"/>
        <c:lblOffset val="100"/>
        <c:noMultiLvlLbl val="0"/>
      </c:catAx>
      <c:valAx>
        <c:axId val="61268519"/>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(GgCO2eq)</a:t>
                </a:r>
              </a:p>
            </c:rich>
          </c:tx>
          <c:layout>
            <c:manualLayout>
              <c:xMode val="edge"/>
              <c:yMode val="edge"/>
              <c:x val="0.014"/>
              <c:y val="0.25875"/>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1720694"/>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'Recálculos RAGEI anteriores'!$C$36</c:f>
              <c:strCache>
                <c:ptCount val="1"/>
                <c:pt idx="0">
                  <c:v>Emisiones por quema de biomasa </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anteriores'!$D$36:$L$36</c:f>
              <c:numCache/>
            </c:numRef>
          </c:val>
          <c:shape val="box"/>
        </c:ser>
        <c:shape val="box"/>
        <c:axId val="14545760"/>
        <c:axId val="63802977"/>
      </c:bar3DChart>
      <c:catAx>
        <c:axId val="14545760"/>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3802977"/>
        <c:crosses val="autoZero"/>
        <c:auto val="1"/>
        <c:lblOffset val="100"/>
        <c:noMultiLvlLbl val="0"/>
      </c:catAx>
      <c:valAx>
        <c:axId val="63802977"/>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(GgCO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manualLayout>
              <c:xMode val="edge"/>
              <c:yMode val="edge"/>
              <c:x val="0.014"/>
              <c:y val="0.242"/>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4545760"/>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'Recálculos RAGEI anteriores'!$C$40</c:f>
              <c:strCache>
                <c:ptCount val="1"/>
                <c:pt idx="0">
                  <c:v>Aplicación de urea</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anteriores'!$D$40:$L$40</c:f>
              <c:numCache/>
            </c:numRef>
          </c:val>
          <c:shape val="box"/>
        </c:ser>
        <c:shape val="box"/>
        <c:axId val="37355882"/>
        <c:axId val="658619"/>
      </c:bar3DChart>
      <c:catAx>
        <c:axId val="37355882"/>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58619"/>
        <c:crosses val="autoZero"/>
        <c:auto val="1"/>
        <c:lblOffset val="100"/>
        <c:noMultiLvlLbl val="0"/>
      </c:catAx>
      <c:valAx>
        <c:axId val="65861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(GgCO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manualLayout>
              <c:xMode val="edge"/>
              <c:yMode val="edge"/>
              <c:x val="0.014"/>
              <c:y val="0.242"/>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355882"/>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'Recálculos RAGEI anteriores'!$C$41</c:f>
              <c:strCache>
                <c:ptCount val="1"/>
                <c:pt idx="0">
                  <c:v>Emisiones directas de N2O de suelos gestionados</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anteriores'!$D$41:$L$41</c:f>
              <c:numCache/>
            </c:numRef>
          </c:val>
          <c:shape val="box"/>
        </c:ser>
        <c:shape val="box"/>
        <c:axId val="5927572"/>
        <c:axId val="53348149"/>
      </c:bar3DChart>
      <c:catAx>
        <c:axId val="5927572"/>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348149"/>
        <c:crosses val="autoZero"/>
        <c:auto val="1"/>
        <c:lblOffset val="100"/>
        <c:noMultiLvlLbl val="0"/>
      </c:catAx>
      <c:valAx>
        <c:axId val="53348149"/>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(GgCO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manualLayout>
              <c:xMode val="edge"/>
              <c:yMode val="edge"/>
              <c:x val="0.014"/>
              <c:y val="0.242"/>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27572"/>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'Recálculos RAGEI anteriores'!$C$42</c:f>
              <c:strCache>
                <c:ptCount val="1"/>
                <c:pt idx="0">
                  <c:v>Emisiones indirectas de N2O de suelos gestionados</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anteriores'!$D$42:$L$42</c:f>
              <c:numCache/>
            </c:numRef>
          </c:val>
          <c:shape val="box"/>
        </c:ser>
        <c:shape val="box"/>
        <c:axId val="10371294"/>
        <c:axId val="26232783"/>
      </c:bar3DChart>
      <c:catAx>
        <c:axId val="10371294"/>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6232783"/>
        <c:crosses val="autoZero"/>
        <c:auto val="1"/>
        <c:lblOffset val="100"/>
        <c:noMultiLvlLbl val="0"/>
      </c:catAx>
      <c:valAx>
        <c:axId val="26232783"/>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(GgCO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manualLayout>
              <c:xMode val="edge"/>
              <c:yMode val="edge"/>
              <c:x val="0.014"/>
              <c:y val="0.242"/>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371294"/>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stacked"/>
        <c:varyColors val="0"/>
        <c:ser>
          <c:idx val="0"/>
          <c:order val="0"/>
          <c:tx>
            <c:strRef>
              <c:f>'Recálculos RAGEI anteriores'!$C$43</c:f>
              <c:strCache>
                <c:ptCount val="1"/>
                <c:pt idx="0">
                  <c:v>Emisiones indirectas de N2O por manejo del estiércol</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anteriores'!$D$43:$L$43</c:f>
              <c:numCache/>
            </c:numRef>
          </c:val>
          <c:shape val="box"/>
        </c:ser>
        <c:shape val="box"/>
        <c:axId val="34768456"/>
        <c:axId val="44480649"/>
      </c:bar3DChart>
      <c:catAx>
        <c:axId val="34768456"/>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4480649"/>
        <c:crosses val="autoZero"/>
        <c:auto val="1"/>
        <c:lblOffset val="100"/>
        <c:noMultiLvlLbl val="0"/>
      </c:catAx>
      <c:valAx>
        <c:axId val="44480649"/>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(GgCO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manualLayout>
              <c:xMode val="edge"/>
              <c:yMode val="edge"/>
              <c:x val="0.014"/>
              <c:y val="0.242"/>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768456"/>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'Recálculos RAGEI anteriores'!$C$44</c:f>
              <c:strCache>
                <c:ptCount val="1"/>
                <c:pt idx="0">
                  <c:v>Cultivo de arroz</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anteriores'!$D$44:$L$44</c:f>
              <c:numCache/>
            </c:numRef>
          </c:val>
          <c:shape val="box"/>
        </c:ser>
        <c:shape val="box"/>
        <c:axId val="64781522"/>
        <c:axId val="46162787"/>
      </c:bar3DChart>
      <c:catAx>
        <c:axId val="64781522"/>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6162787"/>
        <c:crosses val="autoZero"/>
        <c:auto val="1"/>
        <c:lblOffset val="100"/>
        <c:noMultiLvlLbl val="0"/>
      </c:catAx>
      <c:valAx>
        <c:axId val="4616278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(GgCO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manualLayout>
              <c:xMode val="edge"/>
              <c:yMode val="edge"/>
              <c:x val="0.014"/>
              <c:y val="0.242"/>
            </c:manualLayout>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781522"/>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'RESULTADOS RAGEI '!$G$7</c:f>
              <c:strCache>
                <c:ptCount val="1"/>
                <c:pt idx="0">
                  <c:v>Fermentación entérica</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('RESULTADOS RAGEI '!$I$4,'RESULTADOS RAGEI '!$N$4)</c:f>
              <c:strCache/>
            </c:strRef>
          </c:cat>
          <c:val>
            <c:numRef>
              <c:f>('RESULTADOS RAGEI '!$I$7,'RESULTADOS RAGEI '!$N$7)</c:f>
              <c:numCache/>
            </c:numRef>
          </c:val>
          <c:shape val="box"/>
        </c:ser>
        <c:shape val="box"/>
        <c:axId val="19441320"/>
        <c:axId val="40754153"/>
      </c:bar3DChart>
      <c:catAx>
        <c:axId val="19441320"/>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0754153"/>
        <c:crosses val="autoZero"/>
        <c:auto val="1"/>
        <c:lblOffset val="100"/>
        <c:noMultiLvlLbl val="0"/>
      </c:catAx>
      <c:valAx>
        <c:axId val="4075415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(GgCO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441320"/>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stacked"/>
        <c:varyColors val="0"/>
        <c:ser>
          <c:idx val="2"/>
          <c:order val="0"/>
          <c:tx>
            <c:strRef>
              <c:f>'Recálculos RAGEI anteriores'!$C$9</c:f>
              <c:strCache>
                <c:ptCount val="1"/>
                <c:pt idx="0">
                  <c:v>Fermentación entérica</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anteriores'!$D$9:$L$9</c:f>
              <c:numCache/>
            </c:numRef>
          </c:val>
          <c:shape val="box"/>
        </c:ser>
        <c:ser>
          <c:idx val="0"/>
          <c:order val="1"/>
          <c:tx>
            <c:strRef>
              <c:f>'Recálculos RAGEI anteriores'!$C$22</c:f>
              <c:strCache>
                <c:ptCount val="1"/>
                <c:pt idx="0">
                  <c:v>Manejo de estiércol</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anteriores'!$D$22:$L$22</c:f>
              <c:numCache/>
            </c:numRef>
          </c:val>
          <c:shape val="box"/>
        </c:ser>
        <c:ser>
          <c:idx val="1"/>
          <c:order val="2"/>
          <c:tx>
            <c:strRef>
              <c:f>'Recálculos RAGEI anteriores'!$C$36</c:f>
              <c:strCache>
                <c:ptCount val="1"/>
                <c:pt idx="0">
                  <c:v>Emisiones por quema de biomasa </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anteriores'!$D$36:$L$36</c:f>
              <c:numCache/>
            </c:numRef>
          </c:val>
          <c:shape val="box"/>
        </c:ser>
        <c:ser>
          <c:idx val="3"/>
          <c:order val="3"/>
          <c:tx>
            <c:strRef>
              <c:f>'Recálculos RAGEI anteriores'!$C$40</c:f>
              <c:strCache>
                <c:ptCount val="1"/>
                <c:pt idx="0">
                  <c:v>Aplicación de urea</c:v>
                </c:pt>
              </c:strCache>
            </c:strRef>
          </c:tx>
          <c:spPr>
            <a:solidFill>
              <a:schemeClr val="accent4"/>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anteriores'!$D$40:$L$40</c:f>
              <c:numCache/>
            </c:numRef>
          </c:val>
          <c:shape val="box"/>
        </c:ser>
        <c:ser>
          <c:idx val="4"/>
          <c:order val="4"/>
          <c:tx>
            <c:strRef>
              <c:f>'Recálculos RAGEI anteriores'!$C$41</c:f>
              <c:strCache>
                <c:ptCount val="1"/>
                <c:pt idx="0">
                  <c:v>Emisiones directas de N2O de suelos gestionados</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anteriores'!$D$41:$L$41</c:f>
              <c:numCache/>
            </c:numRef>
          </c:val>
          <c:shape val="box"/>
        </c:ser>
        <c:ser>
          <c:idx val="5"/>
          <c:order val="5"/>
          <c:tx>
            <c:strRef>
              <c:f>'Recálculos RAGEI anteriores'!$C$42</c:f>
              <c:strCache>
                <c:ptCount val="1"/>
                <c:pt idx="0">
                  <c:v>Emisiones indirectas de N2O de suelos gestionados</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anteriores'!$D$42:$L$42</c:f>
              <c:numCache/>
            </c:numRef>
          </c:val>
          <c:shape val="box"/>
        </c:ser>
        <c:ser>
          <c:idx val="6"/>
          <c:order val="6"/>
          <c:tx>
            <c:strRef>
              <c:f>'Recálculos RAGEI anteriores'!$C$43</c:f>
              <c:strCache>
                <c:ptCount val="1"/>
                <c:pt idx="0">
                  <c:v>Emisiones indirectas de N2O por manejo del estiércol</c:v>
                </c:pt>
              </c:strCache>
            </c:strRef>
          </c:tx>
          <c:spPr>
            <a:solidFill>
              <a:schemeClr val="accent1">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anteriores'!$D$43:$L$43</c:f>
              <c:numCache/>
            </c:numRef>
          </c:val>
          <c:shape val="box"/>
        </c:ser>
        <c:ser>
          <c:idx val="7"/>
          <c:order val="7"/>
          <c:tx>
            <c:strRef>
              <c:f>'Recálculos RAGEI anteriores'!$C$44</c:f>
              <c:strCache>
                <c:ptCount val="1"/>
                <c:pt idx="0">
                  <c:v>Cultivo de arroz</c:v>
                </c:pt>
              </c:strCache>
            </c:strRef>
          </c:tx>
          <c:spPr>
            <a:solidFill>
              <a:schemeClr val="accent2">
                <a:lumMod val="6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anteriores'!$D$6:$L$6</c:f>
              <c:numCache/>
            </c:numRef>
          </c:cat>
          <c:val>
            <c:numRef>
              <c:f>'Recálculos RAGEI anteriores'!$D$44:$L$44</c:f>
              <c:numCache/>
            </c:numRef>
          </c:val>
          <c:shape val="box"/>
        </c:ser>
        <c:gapWidth val="95"/>
        <c:gapDepth val="95"/>
        <c:shape val="box"/>
        <c:axId val="12811900"/>
        <c:axId val="48198237"/>
      </c:bar3DChart>
      <c:catAx>
        <c:axId val="12811900"/>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198237"/>
        <c:crosses val="autoZero"/>
        <c:auto val="1"/>
        <c:lblOffset val="100"/>
        <c:noMultiLvlLbl val="0"/>
      </c:catAx>
      <c:valAx>
        <c:axId val="4819823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 Emisiones de GEI (GgCO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2811900"/>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'RESULTADOS RAGEI '!$G$20</c:f>
              <c:strCache>
                <c:ptCount val="1"/>
                <c:pt idx="0">
                  <c:v>Manejo de estiércol</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('RESULTADOS RAGEI '!$I$4:$J$4,'RESULTADOS RAGEI '!$N$4)</c:f>
              <c:strCache/>
            </c:strRef>
          </c:cat>
          <c:val>
            <c:numRef>
              <c:f>('RESULTADOS RAGEI '!$I$20:$J$20,'RESULTADOS RAGEI '!$N$20)</c:f>
              <c:numCache/>
            </c:numRef>
          </c:val>
          <c:shape val="box"/>
        </c:ser>
        <c:shape val="box"/>
        <c:axId val="31243058"/>
        <c:axId val="12752067"/>
      </c:bar3DChart>
      <c:catAx>
        <c:axId val="31243058"/>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2752067"/>
        <c:crosses val="autoZero"/>
        <c:auto val="1"/>
        <c:lblOffset val="100"/>
        <c:noMultiLvlLbl val="0"/>
      </c:catAx>
      <c:valAx>
        <c:axId val="1275206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(GgCO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1243058"/>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'RESULTADOS RAGEI '!$G$42</c:f>
              <c:strCache>
                <c:ptCount val="1"/>
                <c:pt idx="0">
                  <c:v>Cultivo de arroz</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('RESULTADOS RAGEI '!$I$4,'RESULTADOS RAGEI '!$N$4)</c:f>
              <c:strCache/>
            </c:strRef>
          </c:cat>
          <c:val>
            <c:numRef>
              <c:f>('RESULTADOS RAGEI '!$I$42,'RESULTADOS RAGEI '!$N$42)</c:f>
              <c:numCache/>
            </c:numRef>
          </c:val>
          <c:shape val="box"/>
        </c:ser>
        <c:shape val="box"/>
        <c:axId val="47659740"/>
        <c:axId val="26284477"/>
      </c:bar3DChart>
      <c:catAx>
        <c:axId val="47659740"/>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6284477"/>
        <c:crosses val="autoZero"/>
        <c:auto val="1"/>
        <c:lblOffset val="100"/>
        <c:noMultiLvlLbl val="0"/>
      </c:catAx>
      <c:valAx>
        <c:axId val="2628447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659740"/>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'RESULTADOS RAGEI '!$G$41</c:f>
              <c:strCache>
                <c:ptCount val="1"/>
                <c:pt idx="0">
                  <c:v>Emisiones indirectas de N2O por manejo del estiércol</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('RESULTADOS RAGEI '!$J$4,'RESULTADOS RAGEI '!$N$4)</c:f>
              <c:strCache/>
            </c:strRef>
          </c:cat>
          <c:val>
            <c:numRef>
              <c:f>('RESULTADOS RAGEI '!$J$41,'RESULTADOS RAGEI '!$N$41)</c:f>
              <c:numCache/>
            </c:numRef>
          </c:val>
          <c:shape val="box"/>
        </c:ser>
        <c:shape val="box"/>
        <c:axId val="35233702"/>
        <c:axId val="48667863"/>
      </c:bar3DChart>
      <c:catAx>
        <c:axId val="35233702"/>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667863"/>
        <c:crosses val="autoZero"/>
        <c:auto val="1"/>
        <c:lblOffset val="100"/>
        <c:noMultiLvlLbl val="0"/>
      </c:catAx>
      <c:valAx>
        <c:axId val="4866786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(GgCO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233702"/>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'RESULTADOS RAGEI '!$G$40</c:f>
              <c:strCache>
                <c:ptCount val="1"/>
                <c:pt idx="0">
                  <c:v>Emisiones indirectas de N2O de suelos gestionados</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('RESULTADOS RAGEI '!$J$4,'RESULTADOS RAGEI '!$N$4)</c:f>
              <c:strCache/>
            </c:strRef>
          </c:cat>
          <c:val>
            <c:numRef>
              <c:f>('RESULTADOS RAGEI '!$J$40,'RESULTADOS RAGEI '!$N$40)</c:f>
              <c:numCache/>
            </c:numRef>
          </c:val>
          <c:shape val="box"/>
        </c:ser>
        <c:shape val="box"/>
        <c:axId val="35357584"/>
        <c:axId val="49782801"/>
      </c:bar3DChart>
      <c:catAx>
        <c:axId val="35357584"/>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9782801"/>
        <c:crosses val="autoZero"/>
        <c:auto val="1"/>
        <c:lblOffset val="100"/>
        <c:noMultiLvlLbl val="0"/>
      </c:catAx>
      <c:valAx>
        <c:axId val="4978280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357584"/>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'RESULTADOS RAGEI '!$G$39</c:f>
              <c:strCache>
                <c:ptCount val="1"/>
                <c:pt idx="0">
                  <c:v>Emisiones directas de N2O de suelos gestionados</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('RESULTADOS RAGEI '!$J$4,'RESULTADOS RAGEI '!$N$4)</c:f>
              <c:strCache/>
            </c:strRef>
          </c:cat>
          <c:val>
            <c:numRef>
              <c:f>('RESULTADOS RAGEI '!$J$39,'RESULTADOS RAGEI '!$N$39)</c:f>
              <c:numCache/>
            </c:numRef>
          </c:val>
          <c:shape val="box"/>
        </c:ser>
        <c:shape val="box"/>
        <c:axId val="45392026"/>
        <c:axId val="5875051"/>
      </c:bar3DChart>
      <c:catAx>
        <c:axId val="45392026"/>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875051"/>
        <c:crosses val="autoZero"/>
        <c:auto val="1"/>
        <c:lblOffset val="100"/>
        <c:noMultiLvlLbl val="0"/>
      </c:catAx>
      <c:valAx>
        <c:axId val="587505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5392026"/>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'RESULTADOS RAGEI '!$G$38</c:f>
              <c:strCache>
                <c:ptCount val="1"/>
                <c:pt idx="0">
                  <c:v>Aplicación de urea</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('RESULTADOS RAGEI '!$H$4,'RESULTADOS RAGEI '!$N$4)</c:f>
              <c:strCache/>
            </c:strRef>
          </c:cat>
          <c:val>
            <c:numRef>
              <c:f>('RESULTADOS RAGEI '!$H$38,'RESULTADOS RAGEI '!$N$38)</c:f>
              <c:numCache/>
            </c:numRef>
          </c:val>
          <c:shape val="box"/>
        </c:ser>
        <c:shape val="box"/>
        <c:axId val="52875460"/>
        <c:axId val="6117093"/>
      </c:bar3DChart>
      <c:catAx>
        <c:axId val="52875460"/>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117093"/>
        <c:crosses val="autoZero"/>
        <c:auto val="1"/>
        <c:lblOffset val="100"/>
        <c:noMultiLvlLbl val="0"/>
      </c:catAx>
      <c:valAx>
        <c:axId val="611709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2875460"/>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'RESULTADOS RAGEI '!$G$36</c:f>
              <c:strCache>
                <c:ptCount val="1"/>
                <c:pt idx="0">
                  <c:v>Quema de biomasa en pastizales </c:v>
                </c:pt>
              </c:strCache>
            </c:strRef>
          </c:tx>
          <c:spPr>
            <a:solidFill>
              <a:schemeClr val="accent1"/>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('RESULTADOS RAGEI '!$I$4:$J$4,'RESULTADOS RAGEI '!$N$4)</c:f>
              <c:strCache/>
            </c:strRef>
          </c:cat>
          <c:val>
            <c:numRef>
              <c:f>('RESULTADOS RAGEI '!$I$36:$J$36,'RESULTADOS RAGEI '!$N$36)</c:f>
              <c:numCache/>
            </c:numRef>
          </c:val>
          <c:shape val="box"/>
        </c:ser>
        <c:shape val="box"/>
        <c:axId val="55053838"/>
        <c:axId val="25722495"/>
      </c:bar3DChart>
      <c:catAx>
        <c:axId val="55053838"/>
        <c:scaling>
          <c:orientation val="minMax"/>
        </c:scaling>
        <c:axPos val="b"/>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5722495"/>
        <c:crosses val="autoZero"/>
        <c:auto val="1"/>
        <c:lblOffset val="100"/>
        <c:noMultiLvlLbl val="0"/>
      </c:catAx>
      <c:valAx>
        <c:axId val="2572249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GEI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5053838"/>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IB 3C2'!A1" /><Relationship Id="rId2" Type="http://schemas.openxmlformats.org/officeDocument/2006/relationships/hyperlink" Target="#'GEI 3C2'!A1" /></Relationships>
</file>

<file path=xl/drawings/_rels/drawing11.xml.rels><?xml version="1.0" encoding="utf-8" standalone="yes"?><Relationships xmlns="http://schemas.openxmlformats.org/package/2006/relationships"><Relationship Id="rId1" Type="http://schemas.openxmlformats.org/officeDocument/2006/relationships/hyperlink" Target="#'3C3 INFO BASE'!A1" /><Relationship Id="rId2" Type="http://schemas.openxmlformats.org/officeDocument/2006/relationships/hyperlink" Target="#'GEI 3C3'!A1" /></Relationships>
</file>

<file path=xl/drawings/_rels/drawing12.xml.rels><?xml version="1.0" encoding="utf-8" standalone="yes"?><Relationships xmlns="http://schemas.openxmlformats.org/package/2006/relationships"><Relationship Id="rId1" Type="http://schemas.openxmlformats.org/officeDocument/2006/relationships/hyperlink" Target="#'IB 3C4_3C5'!A1" /><Relationship Id="rId2" Type="http://schemas.openxmlformats.org/officeDocument/2006/relationships/hyperlink" Target="#'GEI 3C2'!A1" /></Relationships>
</file>

<file path=xl/drawings/_rels/drawing13.xml.rels><?xml version="1.0" encoding="utf-8" standalone="yes"?><Relationships xmlns="http://schemas.openxmlformats.org/package/2006/relationships"><Relationship Id="rId1" Type="http://schemas.openxmlformats.org/officeDocument/2006/relationships/hyperlink" Target="#'IB 3C7'!A1" /><Relationship Id="rId2" Type="http://schemas.openxmlformats.org/officeDocument/2006/relationships/hyperlink" Target="#'GEI 3C7'!A1" /></Relationships>
</file>

<file path=xl/drawings/_rels/drawing14.xml.rels><?xml version="1.0" encoding="utf-8" standalone="yes"?><Relationships xmlns="http://schemas.openxmlformats.org/package/2006/relationships"><Relationship Id="rId1" Type="http://schemas.openxmlformats.org/officeDocument/2006/relationships/hyperlink" Target="#'3C4_3C5 INFO PROC'!A1" /><Relationship Id="rId2" Type="http://schemas.openxmlformats.org/officeDocument/2006/relationships/hyperlink" Target="#'3C6 EMISIONES'!A1" /><Relationship Id="rId3" Type="http://schemas.openxmlformats.org/officeDocument/2006/relationships/hyperlink" Target="#'3C6 EMISIONES'!A1" /><Relationship Id="rId4" Type="http://schemas.openxmlformats.org/officeDocument/2006/relationships/hyperlink" Target="#'3C1 EMISIONES'!A1" /><Relationship Id="rId5" Type="http://schemas.openxmlformats.org/officeDocument/2006/relationships/hyperlink" Target="#'3C1 EMISIONES'!A1" /><Relationship Id="rId6" Type="http://schemas.openxmlformats.org/officeDocument/2006/relationships/hyperlink" Target="#'3C1 EMISIONES'!A1" /><Relationship Id="rId7" Type="http://schemas.openxmlformats.org/officeDocument/2006/relationships/hyperlink" Target="#'3C1 EMISIONES'!A1" /></Relationships>
</file>

<file path=xl/drawings/_rels/drawing15.xml.rels><?xml version="1.0" encoding="utf-8" standalone="yes"?><Relationships xmlns="http://schemas.openxmlformats.org/package/2006/relationships"><Relationship Id="rId1" Type="http://schemas.openxmlformats.org/officeDocument/2006/relationships/hyperlink" Target="#'3A1 EMISIONES T1_3A2 '!A1" /></Relationships>
</file>

<file path=xl/drawings/_rels/drawing16.xml.rels><?xml version="1.0" encoding="utf-8" standalone="yes"?><Relationships xmlns="http://schemas.openxmlformats.org/package/2006/relationships"><Relationship Id="rId1" Type="http://schemas.openxmlformats.org/officeDocument/2006/relationships/hyperlink" Target="#'GEI 3C4'!A1" /></Relationships>
</file>

<file path=xl/drawings/_rels/drawing17.xml.rels><?xml version="1.0" encoding="utf-8" standalone="yes"?><Relationships xmlns="http://schemas.openxmlformats.org/package/2006/relationships"><Relationship Id="rId1" Type="http://schemas.openxmlformats.org/officeDocument/2006/relationships/hyperlink" Target="#'3C5 EMISIONES'!A1" /></Relationships>
</file>

<file path=xl/drawings/_rels/drawing18.xml.rels><?xml version="1.0" encoding="utf-8" standalone="yes"?><Relationships xmlns="http://schemas.openxmlformats.org/package/2006/relationships"><Relationship Id="rId1" Type="http://schemas.openxmlformats.org/officeDocument/2006/relationships/hyperlink" Target="#'3C6 EMISIONES'!A1" /></Relationships>
</file>

<file path=xl/drawings/_rels/drawing19.xml.rels><?xml version="1.0" encoding="utf-8" standalone="yes"?><Relationships xmlns="http://schemas.openxmlformats.org/package/2006/relationships"><Relationship Id="rId1" Type="http://schemas.openxmlformats.org/officeDocument/2006/relationships/hyperlink" Target="#'3C1 EMISIONES'!A1" /></Relationships>
</file>

<file path=xl/drawings/_rels/drawing2.xml.rels><?xml version="1.0" encoding="utf-8" standalone="yes"?><Relationships xmlns="http://schemas.openxmlformats.org/package/2006/relationships"><Relationship Id="rId1" Type="http://schemas.openxmlformats.org/officeDocument/2006/relationships/hyperlink" Target="#'IP 3A1_3A2_3C6'!A1" /></Relationships>
</file>

<file path=xl/drawings/_rels/drawing20.xml.rels><?xml version="1.0" encoding="utf-8" standalone="yes"?><Relationships xmlns="http://schemas.openxmlformats.org/package/2006/relationships"><Relationship Id="rId1" Type="http://schemas.openxmlformats.org/officeDocument/2006/relationships/hyperlink" Target="#'RESULTADOS RAGEI '!N42" /></Relationships>
</file>

<file path=xl/drawings/_rels/drawing21.xml.rels><?xml version="1.0" encoding="utf-8" standalone="yes"?><Relationships xmlns="http://schemas.openxmlformats.org/package/2006/relationships"><Relationship Id="rId1" Type="http://schemas.openxmlformats.org/officeDocument/2006/relationships/hyperlink" Target="#'RESULTADOS RAGEI '!N42" /></Relationships>
</file>

<file path=xl/drawings/_rels/drawing22.xml.rels><?xml version="1.0" encoding="utf-8" standalone="yes"?><Relationships xmlns="http://schemas.openxmlformats.org/package/2006/relationships"><Relationship Id="rId1" Type="http://schemas.openxmlformats.org/officeDocument/2006/relationships/hyperlink" Target="#'RESULTADOS RAGEI '!N42" /></Relationships>
</file>

<file path=xl/drawings/_rels/drawing23.xml.rels><?xml version="1.0" encoding="utf-8" standalone="yes"?><Relationships xmlns="http://schemas.openxmlformats.org/package/2006/relationships"><Relationship Id="rId1" Type="http://schemas.openxmlformats.org/officeDocument/2006/relationships/hyperlink" Target="#'RESULTADOS RAGEI '!N42" /></Relationships>
</file>

<file path=xl/drawings/_rels/drawing24.xml.rels><?xml version="1.0" encoding="utf-8" standalone="yes"?><Relationships xmlns="http://schemas.openxmlformats.org/package/2006/relationships"><Relationship Id="rId1" Type="http://schemas.openxmlformats.org/officeDocument/2006/relationships/hyperlink" Target="#'RESULTADOS RAGEI '!N42" /></Relationships>
</file>

<file path=xl/drawings/_rels/drawing25.xml.rels><?xml version="1.0" encoding="utf-8" standalone="yes"?><Relationships xmlns="http://schemas.openxmlformats.org/package/2006/relationships"><Relationship Id="rId1" Type="http://schemas.openxmlformats.org/officeDocument/2006/relationships/hyperlink" Target="#'RESULTADOS RAGEI '!N42" /></Relationships>
</file>

<file path=xl/drawings/_rels/drawing26.xml.rels><?xml version="1.0" encoding="utf-8" standalone="yes"?><Relationships xmlns="http://schemas.openxmlformats.org/package/2006/relationships"><Relationship Id="rId1" Type="http://schemas.openxmlformats.org/officeDocument/2006/relationships/hyperlink" Target="#'RESULTADOS RAGEI '!N42" /></Relationships>
</file>

<file path=xl/drawings/_rels/drawing27.xml.rels><?xml version="1.0" encoding="utf-8" standalone="yes"?><Relationships xmlns="http://schemas.openxmlformats.org/package/2006/relationships"><Relationship Id="rId1" Type="http://schemas.openxmlformats.org/officeDocument/2006/relationships/hyperlink" Target="#'RESULTADOS RAGEI '!N42" /></Relationships>
</file>

<file path=xl/drawings/_rels/drawing28.xml.rels><?xml version="1.0" encoding="utf-8" standalone="yes"?><Relationships xmlns="http://schemas.openxmlformats.org/package/2006/relationships"><Relationship Id="rId1" Type="http://schemas.openxmlformats.org/officeDocument/2006/relationships/hyperlink" Target="#'RESULTADOS RAGEI '!N42"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hyperlink" Target="#'IP 3C1'!A1"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s>
</file>

<file path=xl/drawings/_rels/drawing4.xml.rels><?xml version="1.0" encoding="utf-8" standalone="yes"?><Relationships xmlns="http://schemas.openxmlformats.org/package/2006/relationships"><Relationship Id="rId1" Type="http://schemas.openxmlformats.org/officeDocument/2006/relationships/hyperlink" Target="#'IP 3C2'!A1" /></Relationships>
</file>

<file path=xl/drawings/_rels/drawing5.xml.rels><?xml version="1.0" encoding="utf-8" standalone="yes"?><Relationships xmlns="http://schemas.openxmlformats.org/package/2006/relationships"><Relationship Id="rId1" Type="http://schemas.openxmlformats.org/officeDocument/2006/relationships/hyperlink" Target="#'IP 3C3'!A1" /></Relationships>
</file>

<file path=xl/drawings/_rels/drawing6.xml.rels><?xml version="1.0" encoding="utf-8" standalone="yes"?><Relationships xmlns="http://schemas.openxmlformats.org/package/2006/relationships"><Relationship Id="rId1" Type="http://schemas.openxmlformats.org/officeDocument/2006/relationships/hyperlink" Target="#'IP 3C4_3C5'!A1" /></Relationships>
</file>

<file path=xl/drawings/_rels/drawing7.xml.rels><?xml version="1.0" encoding="utf-8" standalone="yes"?><Relationships xmlns="http://schemas.openxmlformats.org/package/2006/relationships"><Relationship Id="rId1" Type="http://schemas.openxmlformats.org/officeDocument/2006/relationships/hyperlink" Target="#'IP 3C7'!A1" /></Relationships>
</file>

<file path=xl/drawings/_rels/drawing8.xml.rels><?xml version="1.0" encoding="utf-8" standalone="yes"?><Relationships xmlns="http://schemas.openxmlformats.org/package/2006/relationships"><Relationship Id="rId1" Type="http://schemas.openxmlformats.org/officeDocument/2006/relationships/hyperlink" Target="#'IB 3A1_3A2_3C6'!A1" /><Relationship Id="rId2" Type="http://schemas.openxmlformats.org/officeDocument/2006/relationships/hyperlink" Target="#'GEI 3A1_3A2 (N1) '!A1" /><Relationship Id="rId3" Type="http://schemas.openxmlformats.org/officeDocument/2006/relationships/hyperlink" Target="#'GEI 3A1 (N2)'!A1" /><Relationship Id="rId4" Type="http://schemas.openxmlformats.org/officeDocument/2006/relationships/hyperlink" Target="#'GEI 3C6'!A1" /></Relationships>
</file>

<file path=xl/drawings/_rels/drawing9.xml.rels><?xml version="1.0" encoding="utf-8" standalone="yes"?><Relationships xmlns="http://schemas.openxmlformats.org/package/2006/relationships"><Relationship Id="rId1" Type="http://schemas.openxmlformats.org/officeDocument/2006/relationships/hyperlink" Target="#'GEI 3C1'!A1" /><Relationship Id="rId2" Type="http://schemas.openxmlformats.org/officeDocument/2006/relationships/hyperlink" Target="#'IB 3C1'!A1" /><Relationship Id="rId3" Type="http://schemas.openxmlformats.org/officeDocument/2006/relationships/hyperlink" Target="#'GEI 3C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200025</xdr:colOff>
      <xdr:row>26</xdr:row>
      <xdr:rowOff>161925</xdr:rowOff>
    </xdr:from>
    <xdr:ext cx="4914900" cy="314325"/>
    <xdr:sp macro="" textlink="">
      <xdr:nvSpPr>
        <xdr:cNvPr id="2" name="CustomShape 1"/>
        <xdr:cNvSpPr/>
      </xdr:nvSpPr>
      <xdr:spPr>
        <a:xfrm>
          <a:off x="4695825" y="5353050"/>
          <a:ext cx="4914900" cy="314325"/>
        </a:xfrm>
        <a:prstGeom prst="rect">
          <a:avLst/>
        </a:prstGeom>
        <a:noFill/>
        <a:ln>
          <a:solidFill>
            <a:srgbClr val="FFFFFF"/>
          </a:solidFill>
          <a:headEnd type="none"/>
          <a:tailEnd type="none"/>
        </a:ln>
      </xdr:spPr>
      <xdr:style>
        <a:lnRef idx="0">
          <a:srgbClr val="000000"/>
        </a:lnRef>
        <a:fillRef idx="0">
          <a:srgbClr val="000000"/>
        </a:fillRef>
        <a:effectRef idx="0">
          <a:srgbClr val="000000"/>
        </a:effectRef>
        <a:fontRef idx="minor">
          <a:schemeClr val="tx1"/>
        </a:fontRef>
      </xdr:style>
      <xdr:txBody>
        <a:bodyPr lIns="90000" tIns="45000" rIns="90000" bIns="45000"/>
        <a:lstStyle/>
        <a:p>
          <a:r>
            <a:rPr lang="es-PE" sz="1400" b="0" strike="noStrike" spc="-1">
              <a:solidFill>
                <a:srgbClr val="000000"/>
              </a:solidFill>
              <a:uFill>
                <a:solidFill>
                  <a:srgbClr val="FFFFFF"/>
                </a:solidFill>
              </a:uFill>
              <a:latin typeface="Arial"/>
            </a:rPr>
            <a:t>Emisiones  GEI </a:t>
          </a:r>
          <a:r>
            <a:rPr lang="es-PE" sz="1400" b="0" strike="noStrike" spc="-1">
              <a:solidFill>
                <a:srgbClr val="000000"/>
              </a:solidFill>
              <a:uFill>
                <a:solidFill>
                  <a:srgbClr val="FFFFFF"/>
                </a:solidFill>
              </a:uFill>
              <a:latin typeface="Cambria Math"/>
            </a:rPr>
            <a:t>=𝑁𝑖𝑣𝑒𝑙 𝑑𝑒 𝐴𝑐𝑡𝑖𝑣𝑖𝑑𝑎𝑑 𝑥 𝐹𝑎𝑐𝑡𝑜𝑟 𝑑𝑒 𝐸𝑚𝑖𝑠𝑖ó𝑛</a:t>
          </a:r>
          <a:endParaRPr lang="es-PE" sz="1200" b="0" strike="noStrike" spc="-1">
            <a:solidFill>
              <a:srgbClr val="000000"/>
            </a:solidFill>
            <a:uFill>
              <a:solidFill>
                <a:srgbClr val="FFFFFF"/>
              </a:solidFill>
            </a:uFill>
            <a:latin typeface="Times New Roman"/>
          </a:endParaRPr>
        </a:p>
      </xdr:txBody>
    </xdr:sp>
    <xdr:clientData/>
  </xdr:oneCellAnchor>
  <xdr:twoCellAnchor>
    <xdr:from>
      <xdr:col>0</xdr:col>
      <xdr:colOff>0</xdr:colOff>
      <xdr:row>0</xdr:row>
      <xdr:rowOff>0</xdr:rowOff>
    </xdr:from>
    <xdr:to>
      <xdr:col>0</xdr:col>
      <xdr:colOff>0</xdr:colOff>
      <xdr:row>0</xdr:row>
      <xdr:rowOff>0</xdr:rowOff>
    </xdr:to>
    <xdr:sp macro="" textlink="">
      <xdr:nvSpPr>
        <xdr:cNvPr id="5" name="CustomShape 1"/>
        <xdr:cNvSpPr/>
      </xdr:nvSpPr>
      <xdr:spPr>
        <a:xfrm>
          <a:off x="0" y="0"/>
          <a:ext cx="0" cy="0"/>
        </a:xfrm>
        <a:prstGeom prst="flowChartMagneticDisk">
          <a:avLst/>
        </a:prstGeom>
        <a:solidFill>
          <a:srgbClr val="0099FF"/>
        </a:solidFill>
        <a:ln>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lstStyle/>
        <a:p>
          <a:pPr algn="ctr">
            <a:lnSpc>
              <a:spcPct val="100000"/>
            </a:lnSpc>
          </a:pPr>
          <a:r>
            <a:rPr lang="es-PE" sz="1100" b="1" strike="noStrike" spc="-1">
              <a:solidFill>
                <a:srgbClr val="000000"/>
              </a:solidFill>
              <a:uFill>
                <a:solidFill>
                  <a:srgbClr val="FFFFFF"/>
                </a:solidFill>
              </a:uFill>
              <a:latin typeface="Calibri"/>
            </a:rPr>
            <a:t>Nivel 1</a:t>
          </a:r>
          <a:endParaRPr lang="es-PE" sz="120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CustomShape 1"/>
        <xdr:cNvSpPr/>
      </xdr:nvSpPr>
      <xdr:spPr>
        <a:xfrm>
          <a:off x="0" y="0"/>
          <a:ext cx="0" cy="0"/>
        </a:xfrm>
        <a:prstGeom prst="flowChartMagneticDisk">
          <a:avLst/>
        </a:prstGeom>
        <a:solidFill>
          <a:srgbClr val="66CCFF"/>
        </a:solidFill>
        <a:ln>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lstStyle/>
        <a:p>
          <a:pPr algn="ctr">
            <a:lnSpc>
              <a:spcPct val="100000"/>
            </a:lnSpc>
          </a:pPr>
          <a:r>
            <a:rPr lang="es-PE" sz="1100" b="1" strike="noStrike" spc="-1">
              <a:solidFill>
                <a:srgbClr val="000000"/>
              </a:solidFill>
              <a:uFill>
                <a:solidFill>
                  <a:srgbClr val="FFFFFF"/>
                </a:solidFill>
              </a:uFill>
              <a:latin typeface="Calibri"/>
            </a:rPr>
            <a:t>Nivel 2</a:t>
          </a:r>
          <a:endParaRPr lang="es-PE" sz="120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CustomShape 1"/>
        <xdr:cNvSpPr/>
      </xdr:nvSpPr>
      <xdr:spPr>
        <a:xfrm>
          <a:off x="0" y="0"/>
          <a:ext cx="0" cy="0"/>
        </a:xfrm>
        <a:prstGeom prst="flowChartMagneticDisk">
          <a:avLst/>
        </a:prstGeom>
        <a:solidFill>
          <a:srgbClr val="CCFFFF"/>
        </a:solidFill>
        <a:ln>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lstStyle/>
        <a:p>
          <a:pPr algn="ctr">
            <a:lnSpc>
              <a:spcPct val="100000"/>
            </a:lnSpc>
          </a:pPr>
          <a:r>
            <a:rPr lang="es-PE" sz="1100" b="1" strike="noStrike" spc="-1">
              <a:solidFill>
                <a:srgbClr val="000000"/>
              </a:solidFill>
              <a:uFill>
                <a:solidFill>
                  <a:srgbClr val="FFFFFF"/>
                </a:solidFill>
              </a:uFill>
              <a:latin typeface="Calibri"/>
            </a:rPr>
            <a:t>Nivel 3</a:t>
          </a:r>
          <a:endParaRPr lang="es-PE" sz="1200" b="0" strike="noStrike" spc="-1">
            <a:solidFill>
              <a:srgbClr val="000000"/>
            </a:solidFill>
            <a:uFill>
              <a:solidFill>
                <a:srgbClr val="FFFFFF"/>
              </a:solidFill>
            </a:uFill>
            <a:latin typeface="Times New Roman"/>
          </a:endParaRPr>
        </a:p>
      </xdr:txBody>
    </xdr:sp>
    <xdr:clientData/>
  </xdr:twoCellAnchor>
  <xdr:oneCellAnchor>
    <xdr:from>
      <xdr:col>1</xdr:col>
      <xdr:colOff>123825</xdr:colOff>
      <xdr:row>55</xdr:row>
      <xdr:rowOff>152400</xdr:rowOff>
    </xdr:from>
    <xdr:ext cx="1619250" cy="866775"/>
    <xdr:sp macro="" textlink="">
      <xdr:nvSpPr>
        <xdr:cNvPr id="15" name="CustomShape 1"/>
        <xdr:cNvSpPr/>
      </xdr:nvSpPr>
      <xdr:spPr>
        <a:xfrm>
          <a:off x="342900" y="10677525"/>
          <a:ext cx="1619250" cy="866775"/>
        </a:xfrm>
        <a:prstGeom prst="rect">
          <a:avLst/>
        </a:prstGeom>
        <a:solidFill>
          <a:srgbClr val="FFFFFF"/>
        </a:solidFill>
        <a:ln w="9360">
          <a:solidFill>
            <a:srgbClr val="FFFFFF"/>
          </a:solidFill>
          <a:round/>
          <a:headEnd type="none"/>
          <a:tailEnd type="none"/>
        </a:ln>
      </xdr:spPr>
      <xdr:style>
        <a:lnRef idx="0">
          <a:srgbClr val="000000"/>
        </a:lnRef>
        <a:fillRef idx="0">
          <a:srgbClr val="000000"/>
        </a:fillRef>
        <a:effectRef idx="0">
          <a:srgbClr val="000000"/>
        </a:effectRef>
        <a:fontRef idx="minor">
          <a:schemeClr val="tx1"/>
        </a:fontRef>
      </xdr:style>
      <xdr:txBody>
        <a:bodyPr lIns="90000" tIns="45000" rIns="90000" bIns="45000"/>
        <a:lstStyle/>
        <a:p>
          <a:r>
            <a:rPr lang="es-PE" sz="800" b="0" i="1" strike="noStrike" spc="-1">
              <a:solidFill>
                <a:srgbClr val="808080"/>
              </a:solidFill>
              <a:uFill>
                <a:solidFill>
                  <a:srgbClr val="FFFFFF"/>
                </a:solidFill>
              </a:uFill>
              <a:latin typeface="Arial"/>
            </a:rPr>
            <a:t>Información original, tal cual es entregada por la fuente.</a:t>
          </a:r>
          <a:endParaRPr lang="es-PE" sz="1200" b="0" strike="noStrike" spc="-1">
            <a:solidFill>
              <a:srgbClr val="000000"/>
            </a:solidFill>
            <a:uFill>
              <a:solidFill>
                <a:srgbClr val="FFFFFF"/>
              </a:solidFill>
            </a:uFill>
            <a:latin typeface="Times New Roman"/>
          </a:endParaRPr>
        </a:p>
      </xdr:txBody>
    </xdr:sp>
    <xdr:clientData/>
  </xdr:oneCellAnchor>
  <xdr:oneCellAnchor>
    <xdr:from>
      <xdr:col>3</xdr:col>
      <xdr:colOff>647700</xdr:colOff>
      <xdr:row>55</xdr:row>
      <xdr:rowOff>133350</xdr:rowOff>
    </xdr:from>
    <xdr:ext cx="1619250" cy="866775"/>
    <xdr:sp macro="" textlink="">
      <xdr:nvSpPr>
        <xdr:cNvPr id="16" name="CustomShape 1"/>
        <xdr:cNvSpPr/>
      </xdr:nvSpPr>
      <xdr:spPr>
        <a:xfrm>
          <a:off x="2590800" y="10658475"/>
          <a:ext cx="1619250" cy="866775"/>
        </a:xfrm>
        <a:prstGeom prst="rect">
          <a:avLst/>
        </a:prstGeom>
        <a:solidFill>
          <a:srgbClr val="FFFFFF"/>
        </a:solidFill>
        <a:ln w="9360">
          <a:solidFill>
            <a:srgbClr val="FFFFFF"/>
          </a:solidFill>
          <a:round/>
          <a:headEnd type="none"/>
          <a:tailEnd type="none"/>
        </a:ln>
      </xdr:spPr>
      <xdr:style>
        <a:lnRef idx="0">
          <a:srgbClr val="000000"/>
        </a:lnRef>
        <a:fillRef idx="0">
          <a:srgbClr val="000000"/>
        </a:fillRef>
        <a:effectRef idx="0">
          <a:srgbClr val="000000"/>
        </a:effectRef>
        <a:fontRef idx="minor">
          <a:schemeClr val="tx1"/>
        </a:fontRef>
      </xdr:style>
      <xdr:txBody>
        <a:bodyPr lIns="90000" tIns="45000" rIns="90000" bIns="45000"/>
        <a:lstStyle/>
        <a:p>
          <a:pPr algn="just">
            <a:lnSpc>
              <a:spcPct val="100000"/>
            </a:lnSpc>
          </a:pPr>
          <a:r>
            <a:rPr lang="es-PE" sz="800" b="0" i="1" strike="noStrike" spc="-1">
              <a:solidFill>
                <a:srgbClr val="808080"/>
              </a:solidFill>
              <a:uFill>
                <a:solidFill>
                  <a:srgbClr val="FFFFFF"/>
                </a:solidFill>
              </a:uFill>
              <a:latin typeface="Arial"/>
            </a:rPr>
            <a:t>Información original procesada, para se usada en el RAGEI del sector.</a:t>
          </a:r>
          <a:endParaRPr lang="es-PE" sz="1200" b="0" strike="noStrike" spc="-1">
            <a:solidFill>
              <a:srgbClr val="000000"/>
            </a:solidFill>
            <a:uFill>
              <a:solidFill>
                <a:srgbClr val="FFFFFF"/>
              </a:solidFill>
            </a:uFill>
            <a:latin typeface="Times New Roman"/>
          </a:endParaRPr>
        </a:p>
      </xdr:txBody>
    </xdr:sp>
    <xdr:clientData/>
  </xdr:oneCellAnchor>
  <xdr:oneCellAnchor>
    <xdr:from>
      <xdr:col>3</xdr:col>
      <xdr:colOff>638175</xdr:colOff>
      <xdr:row>66</xdr:row>
      <xdr:rowOff>114300</xdr:rowOff>
    </xdr:from>
    <xdr:ext cx="1619250" cy="866775"/>
    <xdr:sp macro="" textlink="">
      <xdr:nvSpPr>
        <xdr:cNvPr id="17" name="CustomShape 1"/>
        <xdr:cNvSpPr/>
      </xdr:nvSpPr>
      <xdr:spPr>
        <a:xfrm>
          <a:off x="2581275" y="12734925"/>
          <a:ext cx="1619250" cy="866775"/>
        </a:xfrm>
        <a:prstGeom prst="rect">
          <a:avLst/>
        </a:prstGeom>
        <a:solidFill>
          <a:srgbClr val="FFFFFF"/>
        </a:solidFill>
        <a:ln w="9360">
          <a:solidFill>
            <a:srgbClr val="FFFFFF"/>
          </a:solidFill>
          <a:round/>
          <a:headEnd type="none"/>
          <a:tailEnd type="none"/>
        </a:ln>
      </xdr:spPr>
      <xdr:style>
        <a:lnRef idx="0">
          <a:srgbClr val="000000"/>
        </a:lnRef>
        <a:fillRef idx="0">
          <a:srgbClr val="000000"/>
        </a:fillRef>
        <a:effectRef idx="0">
          <a:srgbClr val="000000"/>
        </a:effectRef>
        <a:fontRef idx="minor">
          <a:schemeClr val="tx1"/>
        </a:fontRef>
      </xdr:style>
      <xdr:txBody>
        <a:bodyPr lIns="90000" tIns="45000" rIns="90000" bIns="45000"/>
        <a:lstStyle/>
        <a:p>
          <a:pPr algn="just">
            <a:lnSpc>
              <a:spcPct val="100000"/>
            </a:lnSpc>
          </a:pPr>
          <a:r>
            <a:rPr lang="es-PE" sz="800" b="0" i="1" strike="noStrike" spc="-1">
              <a:solidFill>
                <a:srgbClr val="808080"/>
              </a:solidFill>
              <a:uFill>
                <a:solidFill>
                  <a:srgbClr val="FFFFFF"/>
                </a:solidFill>
              </a:uFill>
              <a:latin typeface="Arial"/>
            </a:rPr>
            <a:t>Factores de emisión por fuente y factores de  conversión asociados al sector del RAGEI</a:t>
          </a:r>
          <a:endParaRPr lang="es-PE" sz="1200" b="0" strike="noStrike" spc="-1">
            <a:solidFill>
              <a:srgbClr val="000000"/>
            </a:solidFill>
            <a:uFill>
              <a:solidFill>
                <a:srgbClr val="FFFFFF"/>
              </a:solidFill>
            </a:uFill>
            <a:latin typeface="Times New Roman"/>
          </a:endParaRPr>
        </a:p>
      </xdr:txBody>
    </xdr:sp>
    <xdr:clientData/>
  </xdr:oneCellAnchor>
  <xdr:oneCellAnchor>
    <xdr:from>
      <xdr:col>8</xdr:col>
      <xdr:colOff>142875</xdr:colOff>
      <xdr:row>60</xdr:row>
      <xdr:rowOff>133350</xdr:rowOff>
    </xdr:from>
    <xdr:ext cx="1619250" cy="866775"/>
    <xdr:sp macro="" textlink="">
      <xdr:nvSpPr>
        <xdr:cNvPr id="18" name="CustomShape 1"/>
        <xdr:cNvSpPr/>
      </xdr:nvSpPr>
      <xdr:spPr>
        <a:xfrm>
          <a:off x="5381625" y="11610975"/>
          <a:ext cx="1619250" cy="866775"/>
        </a:xfrm>
        <a:prstGeom prst="rect">
          <a:avLst/>
        </a:prstGeom>
        <a:solidFill>
          <a:srgbClr val="FFFFFF"/>
        </a:solidFill>
        <a:ln w="9360">
          <a:solidFill>
            <a:srgbClr val="FFFFFF"/>
          </a:solidFill>
          <a:round/>
          <a:headEnd type="none"/>
          <a:tailEnd type="none"/>
        </a:ln>
      </xdr:spPr>
      <xdr:style>
        <a:lnRef idx="0">
          <a:srgbClr val="000000"/>
        </a:lnRef>
        <a:fillRef idx="0">
          <a:srgbClr val="000000"/>
        </a:fillRef>
        <a:effectRef idx="0">
          <a:srgbClr val="000000"/>
        </a:effectRef>
        <a:fontRef idx="minor">
          <a:schemeClr val="tx1"/>
        </a:fontRef>
      </xdr:style>
      <xdr:txBody>
        <a:bodyPr lIns="90000" tIns="45000" rIns="90000" bIns="45000"/>
        <a:lstStyle/>
        <a:p>
          <a:pPr algn="just">
            <a:lnSpc>
              <a:spcPct val="100000"/>
            </a:lnSpc>
          </a:pPr>
          <a:r>
            <a:rPr lang="es-PE" sz="800" b="0" i="1" strike="noStrike" spc="-1">
              <a:solidFill>
                <a:srgbClr val="808080"/>
              </a:solidFill>
              <a:uFill>
                <a:solidFill>
                  <a:srgbClr val="FFFFFF"/>
                </a:solidFill>
              </a:uFill>
              <a:latin typeface="Arial"/>
            </a:rPr>
            <a:t>Formatos de cálculo, según las Directrices 2006 del IPCC para inventarios nacionales de GEI </a:t>
          </a:r>
          <a:endParaRPr lang="es-PE" sz="1200" b="0" strike="noStrike" spc="-1">
            <a:solidFill>
              <a:srgbClr val="000000"/>
            </a:solidFill>
            <a:uFill>
              <a:solidFill>
                <a:srgbClr val="FFFFFF"/>
              </a:solidFill>
            </a:uFill>
            <a:latin typeface="Times New Roman"/>
          </a:endParaRPr>
        </a:p>
      </xdr:txBody>
    </xdr:sp>
    <xdr:clientData/>
  </xdr:oneCellAnchor>
  <xdr:oneCellAnchor>
    <xdr:from>
      <xdr:col>1</xdr:col>
      <xdr:colOff>228600</xdr:colOff>
      <xdr:row>66</xdr:row>
      <xdr:rowOff>114300</xdr:rowOff>
    </xdr:from>
    <xdr:ext cx="1619250" cy="866775"/>
    <xdr:sp macro="" textlink="">
      <xdr:nvSpPr>
        <xdr:cNvPr id="22" name="CustomShape 1"/>
        <xdr:cNvSpPr/>
      </xdr:nvSpPr>
      <xdr:spPr>
        <a:xfrm>
          <a:off x="447675" y="12734925"/>
          <a:ext cx="1619250" cy="866775"/>
        </a:xfrm>
        <a:prstGeom prst="rect">
          <a:avLst/>
        </a:prstGeom>
        <a:solidFill>
          <a:srgbClr val="FFFFFF"/>
        </a:solidFill>
        <a:ln w="9360">
          <a:solidFill>
            <a:srgbClr val="FFFFFF"/>
          </a:solidFill>
          <a:round/>
          <a:headEnd type="none"/>
          <a:tailEnd type="none"/>
        </a:ln>
      </xdr:spPr>
      <xdr:style>
        <a:lnRef idx="0">
          <a:srgbClr val="000000"/>
        </a:lnRef>
        <a:fillRef idx="0">
          <a:srgbClr val="000000"/>
        </a:fillRef>
        <a:effectRef idx="0">
          <a:srgbClr val="000000"/>
        </a:effectRef>
        <a:fontRef idx="minor">
          <a:schemeClr val="tx1"/>
        </a:fontRef>
      </xdr:style>
      <xdr:txBody>
        <a:bodyPr lIns="90000" tIns="45000" rIns="90000" bIns="45000"/>
        <a:lstStyle/>
        <a:p>
          <a:pPr algn="just">
            <a:lnSpc>
              <a:spcPct val="100000"/>
            </a:lnSpc>
          </a:pPr>
          <a:r>
            <a:rPr lang="es-PE" sz="800" b="0" i="1" strike="noStrike" spc="-1">
              <a:solidFill>
                <a:srgbClr val="808080"/>
              </a:solidFill>
              <a:uFill>
                <a:solidFill>
                  <a:srgbClr val="FFFFFF"/>
                </a:solidFill>
              </a:uFill>
              <a:latin typeface="Arial"/>
            </a:rPr>
            <a:t>Es una hoja informativa  de los datos del sector, necesarios para el RAGEI.</a:t>
          </a:r>
          <a:endParaRPr lang="es-PE" sz="1200" b="0" strike="noStrike" spc="-1">
            <a:solidFill>
              <a:srgbClr val="000000"/>
            </a:solidFill>
            <a:uFill>
              <a:solidFill>
                <a:srgbClr val="FFFFFF"/>
              </a:solidFill>
            </a:uFill>
            <a:latin typeface="Times New Roman"/>
          </a:endParaRPr>
        </a:p>
      </xdr:txBody>
    </xdr:sp>
    <xdr:clientData/>
  </xdr:oneCellAnchor>
  <xdr:oneCellAnchor>
    <xdr:from>
      <xdr:col>10</xdr:col>
      <xdr:colOff>276225</xdr:colOff>
      <xdr:row>57</xdr:row>
      <xdr:rowOff>152400</xdr:rowOff>
    </xdr:from>
    <xdr:ext cx="619125" cy="0"/>
    <xdr:sp macro="" textlink="">
      <xdr:nvSpPr>
        <xdr:cNvPr id="23" name="CustomShape 1"/>
        <xdr:cNvSpPr/>
      </xdr:nvSpPr>
      <xdr:spPr>
        <a:xfrm flipV="1">
          <a:off x="7000875" y="11058525"/>
          <a:ext cx="619125" cy="0"/>
        </a:xfrm>
        <a:custGeom>
          <a:avLst/>
          <a:gdLst/>
          <a:ahLst/>
          <a:cxnLst/>
          <a:rect l="l" t="t" r="r" b="b"/>
          <a:pathLst>
            <a:path h="21600" w="21600">
              <a:moveTo>
                <a:pt x="0" y="0"/>
              </a:moveTo>
              <a:lnTo>
                <a:pt x="21600" y="21600"/>
              </a:lnTo>
            </a:path>
          </a:pathLst>
        </a:custGeom>
        <a:noFill/>
        <a:ln w="19080">
          <a:solidFill>
            <a:srgbClr val="FFFFFF"/>
          </a:solidFill>
          <a:round/>
          <a:headEnd type="none"/>
          <a:tailEnd type="triangle"/>
        </a:ln>
      </xdr:spPr>
      <xdr:style>
        <a:lnRef idx="1">
          <a:schemeClr val="accent1"/>
        </a:lnRef>
        <a:fillRef idx="0">
          <a:schemeClr val="accent1"/>
        </a:fillRef>
        <a:effectRef idx="0">
          <a:schemeClr val="accent1"/>
        </a:effectRef>
        <a:fontRef idx="minor">
          <a:schemeClr val="tx1"/>
        </a:fontRef>
      </xdr:style>
    </xdr:sp>
    <xdr:clientData/>
  </xdr:oneCellAnchor>
  <xdr:oneCellAnchor>
    <xdr:from>
      <xdr:col>3</xdr:col>
      <xdr:colOff>123825</xdr:colOff>
      <xdr:row>52</xdr:row>
      <xdr:rowOff>161925</xdr:rowOff>
    </xdr:from>
    <xdr:ext cx="514350" cy="0"/>
    <xdr:sp macro="" textlink="">
      <xdr:nvSpPr>
        <xdr:cNvPr id="24" name="CustomShape 1"/>
        <xdr:cNvSpPr/>
      </xdr:nvSpPr>
      <xdr:spPr>
        <a:xfrm>
          <a:off x="2066925" y="10115550"/>
          <a:ext cx="514350" cy="0"/>
        </a:xfrm>
        <a:custGeom>
          <a:avLst/>
          <a:gdLst/>
          <a:ahLst/>
          <a:cxnLst/>
          <a:rect l="l" t="t" r="r" b="b"/>
          <a:pathLst>
            <a:path h="21600" w="21600">
              <a:moveTo>
                <a:pt x="0" y="0"/>
              </a:moveTo>
              <a:lnTo>
                <a:pt x="21600" y="21600"/>
              </a:lnTo>
            </a:path>
          </a:pathLst>
        </a:custGeom>
        <a:noFill/>
        <a:ln w="19080">
          <a:solidFill>
            <a:srgbClr val="FFFFFF"/>
          </a:solidFill>
          <a:round/>
          <a:headEnd type="none"/>
          <a:tailEnd type="triangle"/>
        </a:ln>
      </xdr:spPr>
      <xdr:style>
        <a:lnRef idx="1">
          <a:schemeClr val="accent1"/>
        </a:lnRef>
        <a:fillRef idx="0">
          <a:schemeClr val="accent1"/>
        </a:fillRef>
        <a:effectRef idx="0">
          <a:schemeClr val="accent1"/>
        </a:effectRef>
        <a:fontRef idx="minor">
          <a:schemeClr val="tx1"/>
        </a:fontRef>
      </xdr:style>
    </xdr:sp>
    <xdr:clientData/>
  </xdr:oneCellAnchor>
  <xdr:oneCellAnchor>
    <xdr:from>
      <xdr:col>3</xdr:col>
      <xdr:colOff>266700</xdr:colOff>
      <xdr:row>25</xdr:row>
      <xdr:rowOff>66675</xdr:rowOff>
    </xdr:from>
    <xdr:ext cx="1200150" cy="1657350"/>
    <xdr:pic>
      <xdr:nvPicPr>
        <xdr:cNvPr id="25" name="25 Imagen"/>
        <xdr:cNvPicPr preferRelativeResize="1">
          <a:picLocks noChangeAspect="1"/>
        </xdr:cNvPicPr>
      </xdr:nvPicPr>
      <xdr:blipFill>
        <a:blip r:embed="rId1"/>
        <a:stretch>
          <a:fillRect/>
        </a:stretch>
      </xdr:blipFill>
      <xdr:spPr>
        <a:xfrm>
          <a:off x="2209800" y="5067300"/>
          <a:ext cx="1200150" cy="1657350"/>
        </a:xfrm>
        <a:prstGeom prst="rect">
          <a:avLst/>
        </a:prstGeom>
        <a:ln>
          <a:noFill/>
        </a:ln>
      </xdr:spPr>
    </xdr:pic>
    <xdr:clientData/>
  </xdr:oneCellAnchor>
  <xdr:twoCellAnchor editAs="oneCell">
    <xdr:from>
      <xdr:col>1</xdr:col>
      <xdr:colOff>381000</xdr:colOff>
      <xdr:row>25</xdr:row>
      <xdr:rowOff>47625</xdr:rowOff>
    </xdr:from>
    <xdr:to>
      <xdr:col>3</xdr:col>
      <xdr:colOff>19050</xdr:colOff>
      <xdr:row>34</xdr:row>
      <xdr:rowOff>19050</xdr:rowOff>
    </xdr:to>
    <xdr:pic>
      <xdr:nvPicPr>
        <xdr:cNvPr id="27" name="Imagen 2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00075" y="5048250"/>
          <a:ext cx="1362075" cy="1457325"/>
        </a:xfrm>
        <a:prstGeom prst="rect">
          <a:avLst/>
        </a:prstGeom>
        <a:ln>
          <a:noFill/>
        </a:ln>
      </xdr:spPr>
    </xdr:pic>
    <xdr:clientData/>
  </xdr:twoCellAnchor>
  <xdr:oneCellAnchor>
    <xdr:from>
      <xdr:col>1</xdr:col>
      <xdr:colOff>161925</xdr:colOff>
      <xdr:row>50</xdr:row>
      <xdr:rowOff>180975</xdr:rowOff>
    </xdr:from>
    <xdr:ext cx="1619250" cy="866775"/>
    <xdr:sp macro="" textlink="">
      <xdr:nvSpPr>
        <xdr:cNvPr id="26" name="CustomShape 1"/>
        <xdr:cNvSpPr/>
      </xdr:nvSpPr>
      <xdr:spPr>
        <a:xfrm>
          <a:off x="381000" y="9753600"/>
          <a:ext cx="1619250" cy="866775"/>
        </a:xfrm>
        <a:prstGeom prst="foldedCorner">
          <a:avLst>
            <a:gd name="adj" fmla="val 16667"/>
          </a:avLst>
        </a:prstGeom>
        <a:solidFill>
          <a:srgbClr val="DDEBF7"/>
        </a:solidFill>
        <a:ln w="3240">
          <a:solidFill>
            <a:srgbClr val="FFFFFF"/>
          </a:solidFill>
          <a:round/>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0000"/>
            </a:lnSpc>
          </a:pPr>
          <a:r>
            <a:rPr lang="es-PE" sz="900" b="1" strike="noStrike" spc="-1">
              <a:solidFill>
                <a:srgbClr val="000000"/>
              </a:solidFill>
              <a:uFill>
                <a:solidFill>
                  <a:srgbClr val="FFFFFF"/>
                </a:solidFill>
              </a:uFill>
              <a:latin typeface="Arial"/>
            </a:rPr>
            <a:t>Hojas de información base</a:t>
          </a:r>
        </a:p>
        <a:p>
          <a:pPr algn="ctr">
            <a:lnSpc>
              <a:spcPct val="100000"/>
            </a:lnSpc>
          </a:pPr>
          <a:r>
            <a:rPr lang="es-PE" sz="900" b="1" strike="noStrike" spc="-1">
              <a:solidFill>
                <a:srgbClr val="000000"/>
              </a:solidFill>
              <a:uFill>
                <a:solidFill>
                  <a:srgbClr val="FFFFFF"/>
                </a:solidFill>
              </a:uFill>
              <a:latin typeface="Arial"/>
            </a:rPr>
            <a:t>(IB)</a:t>
          </a:r>
          <a:endParaRPr lang="es-PE" sz="1200" b="1" strike="noStrike" spc="-1">
            <a:solidFill>
              <a:srgbClr val="000000"/>
            </a:solidFill>
            <a:uFill>
              <a:solidFill>
                <a:srgbClr val="FFFFFF"/>
              </a:solidFill>
            </a:uFill>
            <a:latin typeface="Times New Roman"/>
          </a:endParaRPr>
        </a:p>
      </xdr:txBody>
    </xdr:sp>
    <xdr:clientData/>
  </xdr:oneCellAnchor>
  <xdr:oneCellAnchor>
    <xdr:from>
      <xdr:col>3</xdr:col>
      <xdr:colOff>571500</xdr:colOff>
      <xdr:row>50</xdr:row>
      <xdr:rowOff>180975</xdr:rowOff>
    </xdr:from>
    <xdr:ext cx="1619250" cy="866775"/>
    <xdr:sp macro="" textlink="">
      <xdr:nvSpPr>
        <xdr:cNvPr id="28" name="CustomShape 1"/>
        <xdr:cNvSpPr/>
      </xdr:nvSpPr>
      <xdr:spPr>
        <a:xfrm>
          <a:off x="2514600" y="9753600"/>
          <a:ext cx="1619250" cy="866775"/>
        </a:xfrm>
        <a:prstGeom prst="foldedCorner">
          <a:avLst>
            <a:gd name="adj" fmla="val 16667"/>
          </a:avLst>
        </a:prstGeom>
        <a:solidFill>
          <a:srgbClr val="5B9BD5"/>
        </a:solidFill>
        <a:ln w="3240">
          <a:solidFill>
            <a:srgbClr val="FFFFFF"/>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0000"/>
            </a:lnSpc>
          </a:pPr>
          <a:r>
            <a:rPr lang="es-PE" sz="900" b="1" strike="noStrike" spc="-1">
              <a:solidFill>
                <a:sysClr val="windowText" lastClr="000000"/>
              </a:solidFill>
              <a:uFill>
                <a:solidFill>
                  <a:srgbClr val="FFFFFF"/>
                </a:solidFill>
              </a:uFill>
              <a:latin typeface="Arial"/>
            </a:rPr>
            <a:t>Hojas de información procesada </a:t>
          </a:r>
        </a:p>
        <a:p>
          <a:pPr algn="ctr">
            <a:lnSpc>
              <a:spcPct val="100000"/>
            </a:lnSpc>
          </a:pPr>
          <a:r>
            <a:rPr lang="es-PE" sz="900" b="1" strike="noStrike" spc="-1">
              <a:solidFill>
                <a:sysClr val="windowText" lastClr="000000"/>
              </a:solidFill>
              <a:uFill>
                <a:solidFill>
                  <a:srgbClr val="FFFFFF"/>
                </a:solidFill>
              </a:uFill>
              <a:latin typeface="Arial"/>
            </a:rPr>
            <a:t>(IP)</a:t>
          </a:r>
          <a:endParaRPr lang="es-PE" sz="1200" b="1" strike="noStrike" spc="-1">
            <a:solidFill>
              <a:sysClr val="windowText" lastClr="000000"/>
            </a:solidFill>
            <a:uFill>
              <a:solidFill>
                <a:srgbClr val="FFFFFF"/>
              </a:solidFill>
            </a:uFill>
            <a:latin typeface="Times New Roman"/>
          </a:endParaRPr>
        </a:p>
      </xdr:txBody>
    </xdr:sp>
    <xdr:clientData/>
  </xdr:oneCellAnchor>
  <xdr:oneCellAnchor>
    <xdr:from>
      <xdr:col>3</xdr:col>
      <xdr:colOff>571500</xdr:colOff>
      <xdr:row>61</xdr:row>
      <xdr:rowOff>123825</xdr:rowOff>
    </xdr:from>
    <xdr:ext cx="1619250" cy="866775"/>
    <xdr:sp macro="" textlink="">
      <xdr:nvSpPr>
        <xdr:cNvPr id="29" name="CustomShape 1"/>
        <xdr:cNvSpPr/>
      </xdr:nvSpPr>
      <xdr:spPr>
        <a:xfrm>
          <a:off x="2514600" y="11791950"/>
          <a:ext cx="1619250" cy="866775"/>
        </a:xfrm>
        <a:prstGeom prst="foldedCorner">
          <a:avLst>
            <a:gd name="adj" fmla="val 16667"/>
          </a:avLst>
        </a:prstGeom>
        <a:solidFill>
          <a:srgbClr val="548235"/>
        </a:solidFill>
        <a:ln w="3240">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0000"/>
            </a:lnSpc>
          </a:pPr>
          <a:r>
            <a:rPr lang="es-PE" sz="900" b="1" strike="noStrike" spc="-1">
              <a:solidFill>
                <a:srgbClr val="000000"/>
              </a:solidFill>
              <a:uFill>
                <a:solidFill>
                  <a:srgbClr val="FFFFFF"/>
                </a:solidFill>
              </a:uFill>
              <a:latin typeface="Arial"/>
            </a:rPr>
            <a:t>Factores de emisión (FE) y Factores de conversión (F. de Conversión)</a:t>
          </a:r>
          <a:endParaRPr lang="es-PE" sz="1200" b="1" strike="noStrike" spc="-1">
            <a:solidFill>
              <a:srgbClr val="000000"/>
            </a:solidFill>
            <a:uFill>
              <a:solidFill>
                <a:srgbClr val="FFFFFF"/>
              </a:solidFill>
            </a:uFill>
            <a:latin typeface="Times New Roman"/>
          </a:endParaRPr>
        </a:p>
      </xdr:txBody>
    </xdr:sp>
    <xdr:clientData/>
  </xdr:oneCellAnchor>
  <xdr:oneCellAnchor>
    <xdr:from>
      <xdr:col>8</xdr:col>
      <xdr:colOff>76200</xdr:colOff>
      <xdr:row>55</xdr:row>
      <xdr:rowOff>171450</xdr:rowOff>
    </xdr:from>
    <xdr:ext cx="1619250" cy="866775"/>
    <xdr:sp macro="" textlink="">
      <xdr:nvSpPr>
        <xdr:cNvPr id="30" name="CustomShape 1"/>
        <xdr:cNvSpPr/>
      </xdr:nvSpPr>
      <xdr:spPr>
        <a:xfrm>
          <a:off x="5314950" y="10696575"/>
          <a:ext cx="1619250" cy="866775"/>
        </a:xfrm>
        <a:prstGeom prst="foldedCorner">
          <a:avLst>
            <a:gd name="adj" fmla="val 16667"/>
          </a:avLst>
        </a:prstGeom>
        <a:solidFill>
          <a:srgbClr val="E7E6E6"/>
        </a:solidFill>
        <a:ln w="3240">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0000"/>
            </a:lnSpc>
          </a:pPr>
          <a:r>
            <a:rPr lang="es-PE" sz="900" b="1" strike="noStrike" spc="-1">
              <a:solidFill>
                <a:srgbClr val="000000"/>
              </a:solidFill>
              <a:uFill>
                <a:solidFill>
                  <a:srgbClr val="FFFFFF"/>
                </a:solidFill>
              </a:uFill>
              <a:latin typeface="Arial"/>
            </a:rPr>
            <a:t>Hojas de cálculo de emisiones de GEI</a:t>
          </a:r>
        </a:p>
      </xdr:txBody>
    </xdr:sp>
    <xdr:clientData/>
  </xdr:oneCellAnchor>
  <xdr:oneCellAnchor>
    <xdr:from>
      <xdr:col>11</xdr:col>
      <xdr:colOff>85725</xdr:colOff>
      <xdr:row>55</xdr:row>
      <xdr:rowOff>171450</xdr:rowOff>
    </xdr:from>
    <xdr:ext cx="1619250" cy="866775"/>
    <xdr:sp macro="" textlink="">
      <xdr:nvSpPr>
        <xdr:cNvPr id="31" name="CustomShape 1"/>
        <xdr:cNvSpPr/>
      </xdr:nvSpPr>
      <xdr:spPr>
        <a:xfrm>
          <a:off x="7553325" y="10696575"/>
          <a:ext cx="1619250" cy="866775"/>
        </a:xfrm>
        <a:prstGeom prst="foldedCorner">
          <a:avLst>
            <a:gd name="adj" fmla="val 16667"/>
          </a:avLst>
        </a:prstGeom>
        <a:solidFill>
          <a:srgbClr val="A6A6A6"/>
        </a:solidFill>
        <a:ln w="3240">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0000"/>
            </a:lnSpc>
          </a:pPr>
          <a:r>
            <a:rPr lang="es-PE" sz="900" b="1" strike="noStrike" spc="-1">
              <a:solidFill>
                <a:srgbClr val="000000"/>
              </a:solidFill>
              <a:uFill>
                <a:solidFill>
                  <a:srgbClr val="FFFFFF"/>
                </a:solidFill>
              </a:uFill>
              <a:latin typeface="Arial"/>
            </a:rPr>
            <a:t>Hojas de resultados </a:t>
          </a:r>
          <a:endParaRPr lang="es-PE" sz="1200" b="1" strike="noStrike" spc="-1">
            <a:solidFill>
              <a:srgbClr val="000000"/>
            </a:solidFill>
            <a:uFill>
              <a:solidFill>
                <a:srgbClr val="FFFFFF"/>
              </a:solidFill>
            </a:uFill>
            <a:latin typeface="Times New Roman"/>
          </a:endParaRPr>
        </a:p>
      </xdr:txBody>
    </xdr:sp>
    <xdr:clientData/>
  </xdr:oneCellAnchor>
  <xdr:oneCellAnchor>
    <xdr:from>
      <xdr:col>1</xdr:col>
      <xdr:colOff>161925</xdr:colOff>
      <xdr:row>61</xdr:row>
      <xdr:rowOff>123825</xdr:rowOff>
    </xdr:from>
    <xdr:ext cx="1619250" cy="866775"/>
    <xdr:sp macro="" textlink="">
      <xdr:nvSpPr>
        <xdr:cNvPr id="32" name="CustomShape 1"/>
        <xdr:cNvSpPr/>
      </xdr:nvSpPr>
      <xdr:spPr>
        <a:xfrm>
          <a:off x="381000" y="11791950"/>
          <a:ext cx="1619250" cy="866775"/>
        </a:xfrm>
        <a:prstGeom prst="foldedCorner">
          <a:avLst>
            <a:gd name="adj" fmla="val 16667"/>
          </a:avLst>
        </a:prstGeom>
        <a:solidFill>
          <a:srgbClr val="FF9999"/>
        </a:solidFill>
        <a:ln w="3240">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0000"/>
            </a:lnSpc>
          </a:pPr>
          <a:r>
            <a:rPr lang="es-PE" sz="900" b="1" strike="noStrike" spc="-1">
              <a:solidFill>
                <a:srgbClr val="000000"/>
              </a:solidFill>
              <a:uFill>
                <a:solidFill>
                  <a:srgbClr val="FFFFFF"/>
                </a:solidFill>
              </a:uFill>
              <a:latin typeface="Arial"/>
            </a:rPr>
            <a:t>Hoja de Características de datos. </a:t>
          </a:r>
          <a:endParaRPr lang="es-PE" sz="1200" b="1" strike="noStrike" spc="-1">
            <a:solidFill>
              <a:srgbClr val="000000"/>
            </a:solidFill>
            <a:uFill>
              <a:solidFill>
                <a:srgbClr val="FFFFFF"/>
              </a:solidFill>
            </a:uFill>
            <a:latin typeface="Times New Roman"/>
          </a:endParaRPr>
        </a:p>
      </xdr:txBody>
    </xdr:sp>
    <xdr:clientData/>
  </xdr:oneCellAnchor>
  <xdr:oneCellAnchor>
    <xdr:from>
      <xdr:col>6</xdr:col>
      <xdr:colOff>361950</xdr:colOff>
      <xdr:row>58</xdr:row>
      <xdr:rowOff>66675</xdr:rowOff>
    </xdr:from>
    <xdr:ext cx="1181100" cy="1095375"/>
    <xdr:sp macro="" textlink="">
      <xdr:nvSpPr>
        <xdr:cNvPr id="34" name="CustomShape 1"/>
        <xdr:cNvSpPr/>
      </xdr:nvSpPr>
      <xdr:spPr>
        <a:xfrm flipV="1">
          <a:off x="4114800" y="11163300"/>
          <a:ext cx="1181100" cy="1095375"/>
        </a:xfrm>
        <a:prstGeom prst="bentConnector3">
          <a:avLst>
            <a:gd name="adj1" fmla="val 50000"/>
          </a:avLst>
        </a:prstGeom>
        <a:noFill/>
        <a:ln w="19080">
          <a:solidFill>
            <a:srgbClr val="000000"/>
          </a:solidFill>
          <a:round/>
          <a:headEnd type="none"/>
          <a:tailEnd type="triangle"/>
        </a:ln>
      </xdr:spPr>
      <xdr:style>
        <a:lnRef idx="1">
          <a:schemeClr val="accent1"/>
        </a:lnRef>
        <a:fillRef idx="0">
          <a:schemeClr val="accent1"/>
        </a:fillRef>
        <a:effectRef idx="0">
          <a:schemeClr val="accent1"/>
        </a:effectRef>
        <a:fontRef idx="minor">
          <a:schemeClr val="tx1"/>
        </a:fontRef>
      </xdr:style>
    </xdr:sp>
    <xdr:clientData/>
  </xdr:oneCellAnchor>
  <xdr:oneCellAnchor>
    <xdr:from>
      <xdr:col>6</xdr:col>
      <xdr:colOff>361950</xdr:colOff>
      <xdr:row>53</xdr:row>
      <xdr:rowOff>76200</xdr:rowOff>
    </xdr:from>
    <xdr:ext cx="1181100" cy="942975"/>
    <xdr:sp macro="" textlink="">
      <xdr:nvSpPr>
        <xdr:cNvPr id="35" name="CustomShape 1"/>
        <xdr:cNvSpPr/>
      </xdr:nvSpPr>
      <xdr:spPr>
        <a:xfrm>
          <a:off x="4114800" y="10220325"/>
          <a:ext cx="1181100" cy="942975"/>
        </a:xfrm>
        <a:prstGeom prst="bentConnector3">
          <a:avLst>
            <a:gd name="adj1" fmla="val 50000"/>
          </a:avLst>
        </a:prstGeom>
        <a:noFill/>
        <a:ln w="19080">
          <a:solidFill>
            <a:srgbClr val="000000"/>
          </a:solidFill>
          <a:round/>
          <a:headEnd type="none"/>
          <a:tailEnd type="triangle"/>
        </a:ln>
      </xdr:spPr>
      <xdr:style>
        <a:lnRef idx="1">
          <a:schemeClr val="accent1"/>
        </a:lnRef>
        <a:fillRef idx="0">
          <a:schemeClr val="accent1"/>
        </a:fillRef>
        <a:effectRef idx="0">
          <a:schemeClr val="accent1"/>
        </a:effectRef>
        <a:fontRef idx="minor">
          <a:schemeClr val="tx1"/>
        </a:fontRef>
      </xdr:style>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666750</xdr:colOff>
      <xdr:row>1</xdr:row>
      <xdr:rowOff>66675</xdr:rowOff>
    </xdr:from>
    <xdr:ext cx="1809750" cy="695325"/>
    <xdr:sp macro="" textlink="">
      <xdr:nvSpPr>
        <xdr:cNvPr id="2" name="CustomShape 1">
          <a:hlinkClick r:id="rId1"/>
        </xdr:cNvPr>
        <xdr:cNvSpPr/>
      </xdr:nvSpPr>
      <xdr:spPr>
        <a:xfrm>
          <a:off x="6772275" y="285750"/>
          <a:ext cx="1809750" cy="695325"/>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effectLst/>
              <a:latin typeface="+mn-lt"/>
              <a:ea typeface="+mn-ea"/>
              <a:cs typeface="+mn-cs"/>
            </a:rPr>
            <a:t>IB 3C2</a:t>
          </a:r>
          <a:r>
            <a:rPr lang="es-PE" sz="1000" b="0" baseline="0">
              <a:effectLst/>
              <a:latin typeface="+mn-lt"/>
              <a:ea typeface="+mn-ea"/>
              <a:cs typeface="+mn-cs"/>
            </a:rPr>
            <a:t> </a:t>
          </a:r>
          <a:endParaRPr lang="en-US" sz="1000">
            <a:effectLst/>
          </a:endParaRPr>
        </a:p>
      </xdr:txBody>
    </xdr:sp>
    <xdr:clientData/>
  </xdr:oneCellAnchor>
  <xdr:oneCellAnchor>
    <xdr:from>
      <xdr:col>13</xdr:col>
      <xdr:colOff>133350</xdr:colOff>
      <xdr:row>1</xdr:row>
      <xdr:rowOff>85725</xdr:rowOff>
    </xdr:from>
    <xdr:ext cx="1809750" cy="695325"/>
    <xdr:sp macro="" textlink="">
      <xdr:nvSpPr>
        <xdr:cNvPr id="3" name="CustomShape 1"/>
        <xdr:cNvSpPr/>
      </xdr:nvSpPr>
      <xdr:spPr>
        <a:xfrm>
          <a:off x="8410575" y="304800"/>
          <a:ext cx="1809750" cy="695325"/>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solidFill>
                <a:schemeClr val="bg1"/>
              </a:solidFill>
              <a:effectLst/>
              <a:latin typeface="+mn-lt"/>
              <a:ea typeface="+mn-ea"/>
              <a:cs typeface="+mn-cs"/>
            </a:rPr>
            <a:t>IP 3C2 </a:t>
          </a:r>
          <a:endParaRPr lang="en-US" sz="1000">
            <a:solidFill>
              <a:schemeClr val="bg1"/>
            </a:solidFill>
            <a:effectLst/>
          </a:endParaRPr>
        </a:p>
      </xdr:txBody>
    </xdr:sp>
    <xdr:clientData/>
  </xdr:oneCellAnchor>
  <xdr:twoCellAnchor editAs="absolute">
    <xdr:from>
      <xdr:col>15</xdr:col>
      <xdr:colOff>314325</xdr:colOff>
      <xdr:row>1</xdr:row>
      <xdr:rowOff>85725</xdr:rowOff>
    </xdr:from>
    <xdr:to>
      <xdr:col>17</xdr:col>
      <xdr:colOff>666750</xdr:colOff>
      <xdr:row>3</xdr:row>
      <xdr:rowOff>133350</xdr:rowOff>
    </xdr:to>
    <xdr:sp macro="" textlink="">
      <xdr:nvSpPr>
        <xdr:cNvPr id="5" name="CustomShape 1">
          <a:hlinkClick r:id="rId2"/>
        </xdr:cNvPr>
        <xdr:cNvSpPr/>
      </xdr:nvSpPr>
      <xdr:spPr>
        <a:xfrm>
          <a:off x="10039350" y="304800"/>
          <a:ext cx="1800225" cy="695325"/>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GEI 3C2 </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2</xdr:row>
      <xdr:rowOff>57150</xdr:rowOff>
    </xdr:from>
    <xdr:ext cx="1809750" cy="685800"/>
    <xdr:sp macro="" textlink="">
      <xdr:nvSpPr>
        <xdr:cNvPr id="3" name="CustomShape 1">
          <a:hlinkClick r:id="rId1"/>
        </xdr:cNvPr>
        <xdr:cNvSpPr/>
      </xdr:nvSpPr>
      <xdr:spPr>
        <a:xfrm>
          <a:off x="7572375" y="466725"/>
          <a:ext cx="1809750" cy="685800"/>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effectLst/>
              <a:latin typeface="+mn-lt"/>
              <a:ea typeface="+mn-ea"/>
              <a:cs typeface="+mn-cs"/>
            </a:rPr>
            <a:t>IB 3C3</a:t>
          </a:r>
          <a:endParaRPr lang="en-US" sz="1000">
            <a:effectLst/>
          </a:endParaRPr>
        </a:p>
      </xdr:txBody>
    </xdr:sp>
    <xdr:clientData/>
  </xdr:oneCellAnchor>
  <xdr:oneCellAnchor>
    <xdr:from>
      <xdr:col>13</xdr:col>
      <xdr:colOff>142875</xdr:colOff>
      <xdr:row>2</xdr:row>
      <xdr:rowOff>66675</xdr:rowOff>
    </xdr:from>
    <xdr:ext cx="1809750" cy="695325"/>
    <xdr:sp macro="" textlink="">
      <xdr:nvSpPr>
        <xdr:cNvPr id="4" name="CustomShape 1"/>
        <xdr:cNvSpPr/>
      </xdr:nvSpPr>
      <xdr:spPr>
        <a:xfrm>
          <a:off x="9153525" y="476250"/>
          <a:ext cx="1809750" cy="695325"/>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solidFill>
                <a:schemeClr val="bg1"/>
              </a:solidFill>
              <a:effectLst/>
              <a:latin typeface="+mn-lt"/>
              <a:ea typeface="+mn-ea"/>
              <a:cs typeface="+mn-cs"/>
            </a:rPr>
            <a:t>IP 3C3</a:t>
          </a:r>
          <a:endParaRPr lang="en-US" sz="1000">
            <a:solidFill>
              <a:schemeClr val="bg1"/>
            </a:solidFill>
            <a:effectLst/>
          </a:endParaRPr>
        </a:p>
      </xdr:txBody>
    </xdr:sp>
    <xdr:clientData/>
  </xdr:oneCellAnchor>
  <xdr:twoCellAnchor editAs="absolute">
    <xdr:from>
      <xdr:col>15</xdr:col>
      <xdr:colOff>342900</xdr:colOff>
      <xdr:row>2</xdr:row>
      <xdr:rowOff>57150</xdr:rowOff>
    </xdr:from>
    <xdr:to>
      <xdr:col>17</xdr:col>
      <xdr:colOff>695325</xdr:colOff>
      <xdr:row>4</xdr:row>
      <xdr:rowOff>95250</xdr:rowOff>
    </xdr:to>
    <xdr:sp macro="" textlink="">
      <xdr:nvSpPr>
        <xdr:cNvPr id="5" name="CustomShape 1">
          <a:hlinkClick r:id="rId2"/>
        </xdr:cNvPr>
        <xdr:cNvSpPr/>
      </xdr:nvSpPr>
      <xdr:spPr>
        <a:xfrm>
          <a:off x="10801350" y="466725"/>
          <a:ext cx="1800225" cy="68580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GEI 3C3 </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733425</xdr:colOff>
      <xdr:row>4</xdr:row>
      <xdr:rowOff>19050</xdr:rowOff>
    </xdr:from>
    <xdr:ext cx="1800225" cy="571500"/>
    <xdr:sp macro="" textlink="">
      <xdr:nvSpPr>
        <xdr:cNvPr id="4" name="CustomShape 1">
          <a:hlinkClick r:id="rId1"/>
        </xdr:cNvPr>
        <xdr:cNvSpPr/>
      </xdr:nvSpPr>
      <xdr:spPr>
        <a:xfrm>
          <a:off x="11049000" y="781050"/>
          <a:ext cx="1800225" cy="571500"/>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effectLst/>
              <a:latin typeface="+mn-lt"/>
              <a:ea typeface="+mn-ea"/>
              <a:cs typeface="+mn-cs"/>
            </a:rPr>
            <a:t>IB 3C4_3C5</a:t>
          </a:r>
          <a:r>
            <a:rPr lang="es-PE" sz="1000" b="0" baseline="0">
              <a:effectLst/>
              <a:latin typeface="+mn-lt"/>
              <a:ea typeface="+mn-ea"/>
              <a:cs typeface="+mn-cs"/>
            </a:rPr>
            <a:t> </a:t>
          </a:r>
          <a:endParaRPr lang="en-US" sz="1000">
            <a:effectLst/>
          </a:endParaRPr>
        </a:p>
      </xdr:txBody>
    </xdr:sp>
    <xdr:clientData/>
  </xdr:oneCellAnchor>
  <xdr:oneCellAnchor>
    <xdr:from>
      <xdr:col>13</xdr:col>
      <xdr:colOff>76200</xdr:colOff>
      <xdr:row>4</xdr:row>
      <xdr:rowOff>19050</xdr:rowOff>
    </xdr:from>
    <xdr:ext cx="1800225" cy="571500"/>
    <xdr:sp macro="" textlink="">
      <xdr:nvSpPr>
        <xdr:cNvPr id="5" name="CustomShape 1"/>
        <xdr:cNvSpPr/>
      </xdr:nvSpPr>
      <xdr:spPr>
        <a:xfrm>
          <a:off x="12706350" y="781050"/>
          <a:ext cx="1800225" cy="57150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solidFill>
                <a:schemeClr val="bg1"/>
              </a:solidFill>
              <a:effectLst/>
              <a:latin typeface="+mn-lt"/>
              <a:ea typeface="+mn-ea"/>
              <a:cs typeface="+mn-cs"/>
            </a:rPr>
            <a:t>IP 3C4_3C5 </a:t>
          </a:r>
          <a:endParaRPr lang="en-US" sz="1000">
            <a:solidFill>
              <a:schemeClr val="bg1"/>
            </a:solidFill>
            <a:effectLst/>
          </a:endParaRPr>
        </a:p>
      </xdr:txBody>
    </xdr:sp>
    <xdr:clientData/>
  </xdr:oneCellAnchor>
  <xdr:twoCellAnchor editAs="absolute">
    <xdr:from>
      <xdr:col>15</xdr:col>
      <xdr:colOff>257175</xdr:colOff>
      <xdr:row>4</xdr:row>
      <xdr:rowOff>0</xdr:rowOff>
    </xdr:from>
    <xdr:to>
      <xdr:col>17</xdr:col>
      <xdr:colOff>247650</xdr:colOff>
      <xdr:row>6</xdr:row>
      <xdr:rowOff>190500</xdr:rowOff>
    </xdr:to>
    <xdr:sp macro="" textlink="">
      <xdr:nvSpPr>
        <xdr:cNvPr id="6" name="CustomShape 1">
          <a:hlinkClick r:id="rId2"/>
        </xdr:cNvPr>
        <xdr:cNvSpPr/>
      </xdr:nvSpPr>
      <xdr:spPr>
        <a:xfrm>
          <a:off x="14335125" y="762000"/>
          <a:ext cx="1800225" cy="57150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GEI 3C4_3C5 </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733425</xdr:colOff>
      <xdr:row>3</xdr:row>
      <xdr:rowOff>19050</xdr:rowOff>
    </xdr:from>
    <xdr:ext cx="1800225" cy="542925"/>
    <xdr:sp macro="" textlink="">
      <xdr:nvSpPr>
        <xdr:cNvPr id="11" name="CustomShape 1">
          <a:hlinkClick r:id="rId1"/>
        </xdr:cNvPr>
        <xdr:cNvSpPr/>
      </xdr:nvSpPr>
      <xdr:spPr>
        <a:xfrm>
          <a:off x="10982325" y="561975"/>
          <a:ext cx="1800225" cy="542925"/>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effectLst/>
              <a:latin typeface="+mn-lt"/>
              <a:ea typeface="+mn-ea"/>
              <a:cs typeface="+mn-cs"/>
            </a:rPr>
            <a:t>IB3 C7</a:t>
          </a:r>
          <a:r>
            <a:rPr lang="es-PE" sz="1000" b="0" baseline="0">
              <a:effectLst/>
              <a:latin typeface="+mn-lt"/>
              <a:ea typeface="+mn-ea"/>
              <a:cs typeface="+mn-cs"/>
            </a:rPr>
            <a:t> </a:t>
          </a:r>
          <a:endParaRPr lang="en-US" sz="1000">
            <a:effectLst/>
          </a:endParaRPr>
        </a:p>
      </xdr:txBody>
    </xdr:sp>
    <xdr:clientData/>
  </xdr:oneCellAnchor>
  <xdr:oneCellAnchor>
    <xdr:from>
      <xdr:col>13</xdr:col>
      <xdr:colOff>76200</xdr:colOff>
      <xdr:row>3</xdr:row>
      <xdr:rowOff>19050</xdr:rowOff>
    </xdr:from>
    <xdr:ext cx="1800225" cy="571500"/>
    <xdr:sp macro="" textlink="">
      <xdr:nvSpPr>
        <xdr:cNvPr id="12" name="CustomShape 1"/>
        <xdr:cNvSpPr/>
      </xdr:nvSpPr>
      <xdr:spPr>
        <a:xfrm>
          <a:off x="12611100" y="561975"/>
          <a:ext cx="1800225" cy="57150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solidFill>
                <a:schemeClr val="bg1"/>
              </a:solidFill>
              <a:effectLst/>
              <a:latin typeface="+mn-lt"/>
              <a:ea typeface="+mn-ea"/>
              <a:cs typeface="+mn-cs"/>
            </a:rPr>
            <a:t>IP 3C7 </a:t>
          </a:r>
          <a:endParaRPr lang="en-US" sz="1000">
            <a:solidFill>
              <a:schemeClr val="bg1"/>
            </a:solidFill>
            <a:effectLst/>
          </a:endParaRPr>
        </a:p>
      </xdr:txBody>
    </xdr:sp>
    <xdr:clientData/>
  </xdr:oneCellAnchor>
  <xdr:twoCellAnchor editAs="absolute">
    <xdr:from>
      <xdr:col>15</xdr:col>
      <xdr:colOff>152400</xdr:colOff>
      <xdr:row>3</xdr:row>
      <xdr:rowOff>28575</xdr:rowOff>
    </xdr:from>
    <xdr:to>
      <xdr:col>17</xdr:col>
      <xdr:colOff>428625</xdr:colOff>
      <xdr:row>5</xdr:row>
      <xdr:rowOff>247650</xdr:rowOff>
    </xdr:to>
    <xdr:sp macro="" textlink="">
      <xdr:nvSpPr>
        <xdr:cNvPr id="4" name="CustomShape 1">
          <a:hlinkClick r:id="rId2"/>
        </xdr:cNvPr>
        <xdr:cNvSpPr/>
      </xdr:nvSpPr>
      <xdr:spPr>
        <a:xfrm>
          <a:off x="14211300" y="571500"/>
          <a:ext cx="1800225" cy="57150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GEI 3C7 </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macro="" textlink="">
      <xdr:nvSpPr>
        <xdr:cNvPr id="65"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7"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8"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9"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1"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oneCellAnchor>
    <xdr:from>
      <xdr:col>13</xdr:col>
      <xdr:colOff>171450</xdr:colOff>
      <xdr:row>35</xdr:row>
      <xdr:rowOff>0</xdr:rowOff>
    </xdr:from>
    <xdr:ext cx="1838325" cy="247650"/>
    <xdr:sp macro="" textlink="">
      <xdr:nvSpPr>
        <xdr:cNvPr id="90" name="CustomShape 1">
          <a:hlinkClick r:id="rId1"/>
        </xdr:cNvPr>
        <xdr:cNvSpPr/>
      </xdr:nvSpPr>
      <xdr:spPr>
        <a:xfrm>
          <a:off x="16154400" y="7858125"/>
          <a:ext cx="1838325" cy="247650"/>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twoCellAnchor>
    <xdr:from>
      <xdr:col>0</xdr:col>
      <xdr:colOff>0</xdr:colOff>
      <xdr:row>0</xdr:row>
      <xdr:rowOff>0</xdr:rowOff>
    </xdr:from>
    <xdr:to>
      <xdr:col>0</xdr:col>
      <xdr:colOff>0</xdr:colOff>
      <xdr:row>0</xdr:row>
      <xdr:rowOff>0</xdr:rowOff>
    </xdr:to>
    <xdr:sp macro="" textlink="">
      <xdr:nvSpPr>
        <xdr:cNvPr id="115" name="CustomShape 1">
          <a:hlinkClick r:id="rId2"/>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3C6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6" name="CustomShape 1">
          <a:hlinkClick r:id="rId3"/>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3C6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7" name="CustomShape 1">
          <a:hlinkClick r:id="rId4"/>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3C7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8" name="CustomShape 1">
          <a:hlinkClick r:id="rId5"/>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3C7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9" name="CustomShape 1">
          <a:hlinkClick r:id="rId6"/>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3C7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23" name="CustomShape 1">
          <a:hlinkClick r:id="rId7"/>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3C7 EMISIONES</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628650</xdr:colOff>
      <xdr:row>26</xdr:row>
      <xdr:rowOff>85725</xdr:rowOff>
    </xdr:from>
    <xdr:to>
      <xdr:col>24</xdr:col>
      <xdr:colOff>95250</xdr:colOff>
      <xdr:row>28</xdr:row>
      <xdr:rowOff>38100</xdr:rowOff>
    </xdr:to>
    <xdr:sp macro="" textlink="">
      <xdr:nvSpPr>
        <xdr:cNvPr id="11" name="CustomShape 1">
          <a:hlinkClick r:id="rId1"/>
        </xdr:cNvPr>
        <xdr:cNvSpPr/>
      </xdr:nvSpPr>
      <xdr:spPr>
        <a:xfrm>
          <a:off x="23545800" y="6581775"/>
          <a:ext cx="2000250" cy="333375"/>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3A1 EMISIONES T2</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2</xdr:row>
      <xdr:rowOff>66675</xdr:rowOff>
    </xdr:from>
    <xdr:ext cx="1800225" cy="609600"/>
    <xdr:sp macro="" textlink="">
      <xdr:nvSpPr>
        <xdr:cNvPr id="5" name="CustomShape 1"/>
        <xdr:cNvSpPr/>
      </xdr:nvSpPr>
      <xdr:spPr>
        <a:xfrm>
          <a:off x="10258425" y="447675"/>
          <a:ext cx="1800225" cy="60960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FFFFFF"/>
              </a:solidFill>
              <a:uFill>
                <a:solidFill>
                  <a:srgbClr val="FFFFFF"/>
                </a:solidFill>
              </a:uFill>
              <a:latin typeface="+mn-lt"/>
              <a:ea typeface="Calibri"/>
            </a:rPr>
            <a:t>3C4 FE </a:t>
          </a:r>
          <a:endParaRPr lang="es-PE" sz="1050" b="0" strike="noStrike" spc="-1">
            <a:solidFill>
              <a:srgbClr val="000000"/>
            </a:solidFill>
            <a:uFill>
              <a:solidFill>
                <a:srgbClr val="FFFFFF"/>
              </a:solidFill>
            </a:uFill>
            <a:latin typeface="Times New Roman"/>
          </a:endParaRPr>
        </a:p>
      </xdr:txBody>
    </xdr:sp>
    <xdr:clientData/>
  </xdr:oneCellAnchor>
  <xdr:twoCellAnchor editAs="absolute">
    <xdr:from>
      <xdr:col>13</xdr:col>
      <xdr:colOff>180975</xdr:colOff>
      <xdr:row>2</xdr:row>
      <xdr:rowOff>47625</xdr:rowOff>
    </xdr:from>
    <xdr:to>
      <xdr:col>15</xdr:col>
      <xdr:colOff>533400</xdr:colOff>
      <xdr:row>5</xdr:row>
      <xdr:rowOff>47625</xdr:rowOff>
    </xdr:to>
    <xdr:sp macro="" textlink="">
      <xdr:nvSpPr>
        <xdr:cNvPr id="6" name="CustomShape 1">
          <a:hlinkClick r:id="rId1"/>
        </xdr:cNvPr>
        <xdr:cNvSpPr/>
      </xdr:nvSpPr>
      <xdr:spPr>
        <a:xfrm>
          <a:off x="11887200" y="428625"/>
          <a:ext cx="1800225" cy="57150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GEI 3C4</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2</xdr:row>
      <xdr:rowOff>66675</xdr:rowOff>
    </xdr:from>
    <xdr:ext cx="1800225" cy="533400"/>
    <xdr:sp macro="" textlink="">
      <xdr:nvSpPr>
        <xdr:cNvPr id="2" name="CustomShape 1"/>
        <xdr:cNvSpPr/>
      </xdr:nvSpPr>
      <xdr:spPr>
        <a:xfrm>
          <a:off x="8848725" y="447675"/>
          <a:ext cx="1800225" cy="53340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FFFFFF"/>
              </a:solidFill>
              <a:uFill>
                <a:solidFill>
                  <a:srgbClr val="FFFFFF"/>
                </a:solidFill>
              </a:uFill>
              <a:latin typeface="+mn-lt"/>
              <a:ea typeface="Calibri"/>
            </a:rPr>
            <a:t>3C5 FACTORES DE EMISIÓN</a:t>
          </a:r>
          <a:endParaRPr lang="es-PE" sz="1050" b="0" strike="noStrike" spc="-1">
            <a:solidFill>
              <a:srgbClr val="000000"/>
            </a:solidFill>
            <a:uFill>
              <a:solidFill>
                <a:srgbClr val="FFFFFF"/>
              </a:solidFill>
            </a:uFill>
            <a:latin typeface="Times New Roman"/>
          </a:endParaRPr>
        </a:p>
      </xdr:txBody>
    </xdr:sp>
    <xdr:clientData/>
  </xdr:oneCellAnchor>
  <xdr:twoCellAnchor editAs="absolute">
    <xdr:from>
      <xdr:col>13</xdr:col>
      <xdr:colOff>190500</xdr:colOff>
      <xdr:row>2</xdr:row>
      <xdr:rowOff>38100</xdr:rowOff>
    </xdr:from>
    <xdr:to>
      <xdr:col>15</xdr:col>
      <xdr:colOff>542925</xdr:colOff>
      <xdr:row>5</xdr:row>
      <xdr:rowOff>38100</xdr:rowOff>
    </xdr:to>
    <xdr:sp macro="" textlink="">
      <xdr:nvSpPr>
        <xdr:cNvPr id="3" name="CustomShape 1">
          <a:hlinkClick r:id="rId1"/>
        </xdr:cNvPr>
        <xdr:cNvSpPr/>
      </xdr:nvSpPr>
      <xdr:spPr>
        <a:xfrm>
          <a:off x="10487025" y="419100"/>
          <a:ext cx="1800225" cy="542925"/>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3C5 EMISIONES</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171450</xdr:colOff>
      <xdr:row>2</xdr:row>
      <xdr:rowOff>133350</xdr:rowOff>
    </xdr:from>
    <xdr:to>
      <xdr:col>15</xdr:col>
      <xdr:colOff>523875</xdr:colOff>
      <xdr:row>5</xdr:row>
      <xdr:rowOff>304800</xdr:rowOff>
    </xdr:to>
    <xdr:sp macro="" textlink="">
      <xdr:nvSpPr>
        <xdr:cNvPr id="3" name="CustomShape 1">
          <a:hlinkClick r:id="rId1"/>
        </xdr:cNvPr>
        <xdr:cNvSpPr/>
      </xdr:nvSpPr>
      <xdr:spPr>
        <a:xfrm>
          <a:off x="11134725" y="485775"/>
          <a:ext cx="1800225" cy="657225"/>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3C6 EMISIONES</a:t>
          </a:r>
          <a:endParaRPr lang="es-PE" sz="1050" b="0" strike="noStrike" spc="-1">
            <a:solidFill>
              <a:srgbClr val="000000"/>
            </a:solidFill>
            <a:uFill>
              <a:solidFill>
                <a:srgbClr val="FFFFFF"/>
              </a:solidFill>
            </a:uFill>
            <a:latin typeface="Times New Roman"/>
          </a:endParaRPr>
        </a:p>
      </xdr:txBody>
    </xdr:sp>
    <xdr:clientData/>
  </xdr:twoCellAnchor>
  <xdr:oneCellAnchor>
    <xdr:from>
      <xdr:col>11</xdr:col>
      <xdr:colOff>0</xdr:colOff>
      <xdr:row>3</xdr:row>
      <xdr:rowOff>0</xdr:rowOff>
    </xdr:from>
    <xdr:ext cx="1800225" cy="571500"/>
    <xdr:sp macro="" textlink="">
      <xdr:nvSpPr>
        <xdr:cNvPr id="5" name="CustomShape 1"/>
        <xdr:cNvSpPr/>
      </xdr:nvSpPr>
      <xdr:spPr>
        <a:xfrm>
          <a:off x="9515475" y="514350"/>
          <a:ext cx="1800225" cy="571500"/>
        </a:xfrm>
        <a:prstGeom prst="chevron">
          <a:avLst>
            <a:gd name="adj" fmla="val 50000"/>
          </a:avLst>
        </a:prstGeom>
        <a:solidFill>
          <a:srgbClr val="548235"/>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FFFFFF"/>
              </a:solidFill>
              <a:uFill>
                <a:solidFill>
                  <a:srgbClr val="FFFFFF"/>
                </a:solidFill>
              </a:uFill>
              <a:latin typeface="+mn-lt"/>
              <a:ea typeface="Calibri"/>
            </a:rPr>
            <a:t>3C6  FE</a:t>
          </a:r>
          <a:endParaRPr lang="es-PE" sz="1050" b="0" strike="noStrike" spc="-1">
            <a:solidFill>
              <a:srgbClr val="000000"/>
            </a:solidFill>
            <a:uFill>
              <a:solidFill>
                <a:srgbClr val="FFFFFF"/>
              </a:solidFill>
            </a:uFill>
            <a:latin typeface="Times New Roman"/>
          </a:endParaRP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xdr:colOff>
      <xdr:row>3</xdr:row>
      <xdr:rowOff>19050</xdr:rowOff>
    </xdr:from>
    <xdr:ext cx="1800225" cy="866775"/>
    <xdr:sp macro="" textlink="">
      <xdr:nvSpPr>
        <xdr:cNvPr id="2" name="CustomShape 1"/>
        <xdr:cNvSpPr/>
      </xdr:nvSpPr>
      <xdr:spPr>
        <a:xfrm>
          <a:off x="10820400" y="533400"/>
          <a:ext cx="1800225" cy="866775"/>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FFFFFF"/>
              </a:solidFill>
              <a:uFill>
                <a:solidFill>
                  <a:srgbClr val="FFFFFF"/>
                </a:solidFill>
              </a:uFill>
              <a:latin typeface="+mn-lt"/>
              <a:ea typeface="Calibri"/>
            </a:rPr>
            <a:t>3C7 FACTORES DE EMISIÓN</a:t>
          </a:r>
          <a:endParaRPr lang="es-PE" sz="1050" b="0" strike="noStrike" spc="-1">
            <a:solidFill>
              <a:srgbClr val="000000"/>
            </a:solidFill>
            <a:uFill>
              <a:solidFill>
                <a:srgbClr val="FFFFFF"/>
              </a:solidFill>
            </a:uFill>
            <a:latin typeface="Times New Roman"/>
          </a:endParaRPr>
        </a:p>
      </xdr:txBody>
    </xdr:sp>
    <xdr:clientData/>
  </xdr:oneCellAnchor>
  <xdr:twoCellAnchor editAs="absolute">
    <xdr:from>
      <xdr:col>13</xdr:col>
      <xdr:colOff>114300</xdr:colOff>
      <xdr:row>3</xdr:row>
      <xdr:rowOff>19050</xdr:rowOff>
    </xdr:from>
    <xdr:to>
      <xdr:col>15</xdr:col>
      <xdr:colOff>390525</xdr:colOff>
      <xdr:row>5</xdr:row>
      <xdr:rowOff>266700</xdr:rowOff>
    </xdr:to>
    <xdr:sp macro="" textlink="">
      <xdr:nvSpPr>
        <xdr:cNvPr id="3" name="CustomShape 1">
          <a:hlinkClick r:id="rId1"/>
        </xdr:cNvPr>
        <xdr:cNvSpPr/>
      </xdr:nvSpPr>
      <xdr:spPr>
        <a:xfrm>
          <a:off x="12401550" y="533400"/>
          <a:ext cx="1800225" cy="57150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3C7 EMISIONES</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xdr:colOff>
      <xdr:row>2</xdr:row>
      <xdr:rowOff>104775</xdr:rowOff>
    </xdr:from>
    <xdr:ext cx="1800225" cy="523875"/>
    <xdr:sp macro="" textlink="">
      <xdr:nvSpPr>
        <xdr:cNvPr id="2" name="CustomShape 1"/>
        <xdr:cNvSpPr/>
      </xdr:nvSpPr>
      <xdr:spPr>
        <a:xfrm>
          <a:off x="10267950" y="514350"/>
          <a:ext cx="1800225" cy="523875"/>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IB 3A1_3A2_3C6</a:t>
          </a:r>
          <a:r>
            <a:rPr lang="es-PE" sz="1000" b="0" strike="noStrike" spc="-1" baseline="0">
              <a:solidFill>
                <a:srgbClr val="000000"/>
              </a:solidFill>
              <a:uFill>
                <a:solidFill>
                  <a:srgbClr val="FFFFFF"/>
                </a:solidFill>
              </a:uFill>
              <a:latin typeface="Calibri"/>
              <a:ea typeface="Calibri"/>
            </a:rPr>
            <a:t> </a:t>
          </a:r>
          <a:endParaRPr lang="es-PE" sz="1050" b="0" strike="noStrike" spc="-1">
            <a:solidFill>
              <a:srgbClr val="000000"/>
            </a:solidFill>
            <a:uFill>
              <a:solidFill>
                <a:srgbClr val="FFFFFF"/>
              </a:solidFill>
            </a:uFill>
            <a:latin typeface="Times New Roman"/>
          </a:endParaRPr>
        </a:p>
      </xdr:txBody>
    </xdr:sp>
    <xdr:clientData/>
  </xdr:oneCellAnchor>
  <xdr:oneCellAnchor>
    <xdr:from>
      <xdr:col>12</xdr:col>
      <xdr:colOff>828675</xdr:colOff>
      <xdr:row>2</xdr:row>
      <xdr:rowOff>114300</xdr:rowOff>
    </xdr:from>
    <xdr:ext cx="1790700" cy="523875"/>
    <xdr:sp macro="" textlink="">
      <xdr:nvSpPr>
        <xdr:cNvPr id="3" name="CustomShape 1">
          <a:hlinkClick r:id="rId1"/>
        </xdr:cNvPr>
        <xdr:cNvSpPr/>
      </xdr:nvSpPr>
      <xdr:spPr>
        <a:xfrm>
          <a:off x="11887200" y="523875"/>
          <a:ext cx="1790700" cy="5238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IP 3A1_3A2_3C6</a:t>
          </a:r>
          <a:r>
            <a:rPr lang="es-PE" sz="1000" b="0" baseline="0">
              <a:solidFill>
                <a:schemeClr val="bg1"/>
              </a:solidFill>
              <a:effectLst/>
              <a:latin typeface="+mn-lt"/>
              <a:ea typeface="+mn-ea"/>
              <a:cs typeface="+mn-cs"/>
            </a:rPr>
            <a:t> </a:t>
          </a:r>
          <a:endParaRPr lang="en-US" sz="1000">
            <a:solidFill>
              <a:schemeClr val="bg1"/>
            </a:solidFill>
            <a:effectLst/>
          </a:endParaRP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152400</xdr:colOff>
      <xdr:row>1</xdr:row>
      <xdr:rowOff>123825</xdr:rowOff>
    </xdr:from>
    <xdr:ext cx="1457325" cy="514350"/>
    <xdr:sp macro="" textlink="">
      <xdr:nvSpPr>
        <xdr:cNvPr id="3" name="CustomShape 1"/>
        <xdr:cNvSpPr/>
      </xdr:nvSpPr>
      <xdr:spPr>
        <a:xfrm>
          <a:off x="9086850" y="323850"/>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3A1 EMISIONES T1_3A2 </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8</xdr:col>
      <xdr:colOff>152400</xdr:colOff>
      <xdr:row>1</xdr:row>
      <xdr:rowOff>123825</xdr:rowOff>
    </xdr:from>
    <xdr:ext cx="1457325" cy="514350"/>
    <xdr:sp macro="" textlink="">
      <xdr:nvSpPr>
        <xdr:cNvPr id="7" name="CustomShape 1"/>
        <xdr:cNvSpPr/>
      </xdr:nvSpPr>
      <xdr:spPr>
        <a:xfrm>
          <a:off x="9086850" y="323850"/>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GEI</a:t>
          </a:r>
          <a:r>
            <a:rPr lang="es-PE" sz="1000" b="0" strike="noStrike" spc="-1" baseline="0">
              <a:solidFill>
                <a:sysClr val="windowText" lastClr="000000"/>
              </a:solidFill>
              <a:uFill>
                <a:solidFill>
                  <a:srgbClr val="FFFFFF"/>
                </a:solidFill>
              </a:uFill>
              <a:latin typeface="+mn-lt"/>
              <a:ea typeface="Calibri"/>
            </a:rPr>
            <a:t> 3A1 (N1)</a:t>
          </a:r>
          <a:r>
            <a:rPr lang="es-PE" sz="1000" b="0" strike="noStrike" spc="-1">
              <a:solidFill>
                <a:sysClr val="windowText" lastClr="000000"/>
              </a:solidFill>
              <a:uFill>
                <a:solidFill>
                  <a:srgbClr val="FFFFFF"/>
                </a:solidFill>
              </a:uFill>
              <a:latin typeface="+mn-lt"/>
              <a:ea typeface="Calibri"/>
            </a:rPr>
            <a:t> </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9</xdr:col>
      <xdr:colOff>295275</xdr:colOff>
      <xdr:row>1</xdr:row>
      <xdr:rowOff>76200</xdr:rowOff>
    </xdr:from>
    <xdr:to>
      <xdr:col>11</xdr:col>
      <xdr:colOff>200025</xdr:colOff>
      <xdr:row>4</xdr:row>
      <xdr:rowOff>47625</xdr:rowOff>
    </xdr:to>
    <xdr:sp macro="" textlink="">
      <xdr:nvSpPr>
        <xdr:cNvPr id="6" name="CustomShape 1">
          <a:hlinkClick r:id="rId1"/>
        </xdr:cNvPr>
        <xdr:cNvSpPr/>
      </xdr:nvSpPr>
      <xdr:spPr>
        <a:xfrm>
          <a:off x="10344150" y="276225"/>
          <a:ext cx="1800225" cy="571500"/>
        </a:xfrm>
        <a:custGeom>
          <a:avLst/>
          <a:gdLst>
            <a:gd name="connsiteX0" fmla="*/ 0 w 1605199"/>
            <a:gd name="connsiteY0" fmla="*/ 205382 h 821527"/>
            <a:gd name="connsiteX1" fmla="*/ 1194436 w 1605199"/>
            <a:gd name="connsiteY1" fmla="*/ 205382 h 821527"/>
            <a:gd name="connsiteX2" fmla="*/ 1194436 w 1605199"/>
            <a:gd name="connsiteY2" fmla="*/ 0 h 821527"/>
            <a:gd name="connsiteX3" fmla="*/ 1605199 w 1605199"/>
            <a:gd name="connsiteY3" fmla="*/ 410764 h 821527"/>
            <a:gd name="connsiteX4" fmla="*/ 1194436 w 1605199"/>
            <a:gd name="connsiteY4" fmla="*/ 821527 h 821527"/>
            <a:gd name="connsiteX5" fmla="*/ 1194436 w 1605199"/>
            <a:gd name="connsiteY5" fmla="*/ 616145 h 821527"/>
            <a:gd name="connsiteX6" fmla="*/ 0 w 1605199"/>
            <a:gd name="connsiteY6" fmla="*/ 616145 h 821527"/>
            <a:gd name="connsiteX7" fmla="*/ 205382 w 1605199"/>
            <a:gd name="connsiteY7" fmla="*/ 410764 h 821527"/>
            <a:gd name="connsiteX8" fmla="*/ 0 w 1605199"/>
            <a:gd name="connsiteY8" fmla="*/ 205382 h 821527"/>
            <a:gd name="connsiteX0" fmla="*/ 0 w 1605199"/>
            <a:gd name="connsiteY0" fmla="*/ 0 h 616145"/>
            <a:gd name="connsiteX1" fmla="*/ 1194436 w 1605199"/>
            <a:gd name="connsiteY1" fmla="*/ 0 h 616145"/>
            <a:gd name="connsiteX2" fmla="*/ 1605199 w 1605199"/>
            <a:gd name="connsiteY2" fmla="*/ 205382 h 616145"/>
            <a:gd name="connsiteX3" fmla="*/ 1194436 w 1605199"/>
            <a:gd name="connsiteY3" fmla="*/ 616145 h 616145"/>
            <a:gd name="connsiteX4" fmla="*/ 1194436 w 1605199"/>
            <a:gd name="connsiteY4" fmla="*/ 410763 h 616145"/>
            <a:gd name="connsiteX5" fmla="*/ 0 w 1605199"/>
            <a:gd name="connsiteY5" fmla="*/ 410763 h 616145"/>
            <a:gd name="connsiteX6" fmla="*/ 205382 w 1605199"/>
            <a:gd name="connsiteY6" fmla="*/ 205382 h 616145"/>
            <a:gd name="connsiteX7" fmla="*/ 0 w 1605199"/>
            <a:gd name="connsiteY7" fmla="*/ 0 h 616145"/>
            <a:gd name="connsiteX0" fmla="*/ 0 w 1194436"/>
            <a:gd name="connsiteY0" fmla="*/ 0 h 616145"/>
            <a:gd name="connsiteX1" fmla="*/ 1194436 w 1194436"/>
            <a:gd name="connsiteY1" fmla="*/ 0 h 616145"/>
            <a:gd name="connsiteX2" fmla="*/ 1194436 w 1194436"/>
            <a:gd name="connsiteY2" fmla="*/ 616145 h 616145"/>
            <a:gd name="connsiteX3" fmla="*/ 1194436 w 1194436"/>
            <a:gd name="connsiteY3" fmla="*/ 410763 h 616145"/>
            <a:gd name="connsiteX4" fmla="*/ 0 w 1194436"/>
            <a:gd name="connsiteY4" fmla="*/ 410763 h 616145"/>
            <a:gd name="connsiteX5" fmla="*/ 205382 w 1194436"/>
            <a:gd name="connsiteY5" fmla="*/ 205382 h 616145"/>
            <a:gd name="connsiteX6" fmla="*/ 0 w 1194436"/>
            <a:gd name="connsiteY6" fmla="*/ 0 h 616145"/>
            <a:gd name="connsiteX0" fmla="*/ 0 w 1194436"/>
            <a:gd name="connsiteY0" fmla="*/ 0 h 410763"/>
            <a:gd name="connsiteX1" fmla="*/ 1194436 w 1194436"/>
            <a:gd name="connsiteY1" fmla="*/ 0 h 410763"/>
            <a:gd name="connsiteX2" fmla="*/ 1194436 w 1194436"/>
            <a:gd name="connsiteY2" fmla="*/ 410763 h 410763"/>
            <a:gd name="connsiteX3" fmla="*/ 0 w 1194436"/>
            <a:gd name="connsiteY3" fmla="*/ 410763 h 410763"/>
            <a:gd name="connsiteX4" fmla="*/ 205382 w 1194436"/>
            <a:gd name="connsiteY4" fmla="*/ 205382 h 410763"/>
            <a:gd name="connsiteX5" fmla="*/ 0 w 1194436"/>
            <a:gd name="connsiteY5" fmla="*/ 0 h 4107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h="410763" w="1194436">
              <a:moveTo>
                <a:pt x="0" y="0"/>
              </a:moveTo>
              <a:lnTo>
                <a:pt x="1194436" y="0"/>
              </a:lnTo>
              <a:lnTo>
                <a:pt x="1194436" y="410763"/>
              </a:lnTo>
              <a:lnTo>
                <a:pt x="0" y="410763"/>
              </a:lnTo>
              <a:lnTo>
                <a:pt x="205382" y="205382"/>
              </a:lnTo>
              <a:lnTo>
                <a:pt x="0" y="0"/>
              </a:lnTo>
              <a:close/>
            </a:path>
          </a:pathLst>
        </a:cu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47625</xdr:rowOff>
    </xdr:from>
    <xdr:ext cx="1457325" cy="514350"/>
    <xdr:sp macro="" textlink="">
      <xdr:nvSpPr>
        <xdr:cNvPr id="2" name="CustomShape 1"/>
        <xdr:cNvSpPr/>
      </xdr:nvSpPr>
      <xdr:spPr>
        <a:xfrm>
          <a:off x="9401175" y="438150"/>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GEI</a:t>
          </a:r>
          <a:r>
            <a:rPr lang="es-PE" sz="1000" b="0" strike="noStrike" spc="-1" baseline="0">
              <a:solidFill>
                <a:sysClr val="windowText" lastClr="000000"/>
              </a:solidFill>
              <a:uFill>
                <a:solidFill>
                  <a:srgbClr val="FFFFFF"/>
                </a:solidFill>
              </a:uFill>
              <a:latin typeface="+mn-lt"/>
              <a:ea typeface="Calibri"/>
            </a:rPr>
            <a:t> 3A1 (N2)</a:t>
          </a:r>
          <a:r>
            <a:rPr lang="es-PE" sz="1000" b="0" strike="noStrike" spc="-1">
              <a:solidFill>
                <a:sysClr val="windowText" lastClr="000000"/>
              </a:solidFill>
              <a:uFill>
                <a:solidFill>
                  <a:srgbClr val="FFFFFF"/>
                </a:solidFill>
              </a:uFill>
              <a:latin typeface="+mn-lt"/>
              <a:ea typeface="Calibri"/>
            </a:rPr>
            <a:t> </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9</xdr:col>
      <xdr:colOff>161925</xdr:colOff>
      <xdr:row>2</xdr:row>
      <xdr:rowOff>19050</xdr:rowOff>
    </xdr:from>
    <xdr:to>
      <xdr:col>11</xdr:col>
      <xdr:colOff>514350</xdr:colOff>
      <xdr:row>5</xdr:row>
      <xdr:rowOff>57150</xdr:rowOff>
    </xdr:to>
    <xdr:sp macro="" textlink="">
      <xdr:nvSpPr>
        <xdr:cNvPr id="3" name="CustomShape 1">
          <a:hlinkClick r:id="rId1"/>
        </xdr:cNvPr>
        <xdr:cNvSpPr/>
      </xdr:nvSpPr>
      <xdr:spPr>
        <a:xfrm>
          <a:off x="10677525" y="409575"/>
          <a:ext cx="1800225" cy="571500"/>
        </a:xfrm>
        <a:custGeom>
          <a:avLst/>
          <a:gdLst>
            <a:gd name="connsiteX0" fmla="*/ 0 w 1605199"/>
            <a:gd name="connsiteY0" fmla="*/ 205382 h 821527"/>
            <a:gd name="connsiteX1" fmla="*/ 1194436 w 1605199"/>
            <a:gd name="connsiteY1" fmla="*/ 205382 h 821527"/>
            <a:gd name="connsiteX2" fmla="*/ 1194436 w 1605199"/>
            <a:gd name="connsiteY2" fmla="*/ 0 h 821527"/>
            <a:gd name="connsiteX3" fmla="*/ 1605199 w 1605199"/>
            <a:gd name="connsiteY3" fmla="*/ 410764 h 821527"/>
            <a:gd name="connsiteX4" fmla="*/ 1194436 w 1605199"/>
            <a:gd name="connsiteY4" fmla="*/ 821527 h 821527"/>
            <a:gd name="connsiteX5" fmla="*/ 1194436 w 1605199"/>
            <a:gd name="connsiteY5" fmla="*/ 616145 h 821527"/>
            <a:gd name="connsiteX6" fmla="*/ 0 w 1605199"/>
            <a:gd name="connsiteY6" fmla="*/ 616145 h 821527"/>
            <a:gd name="connsiteX7" fmla="*/ 205382 w 1605199"/>
            <a:gd name="connsiteY7" fmla="*/ 410764 h 821527"/>
            <a:gd name="connsiteX8" fmla="*/ 0 w 1605199"/>
            <a:gd name="connsiteY8" fmla="*/ 205382 h 821527"/>
            <a:gd name="connsiteX0" fmla="*/ 0 w 1605199"/>
            <a:gd name="connsiteY0" fmla="*/ 0 h 616145"/>
            <a:gd name="connsiteX1" fmla="*/ 1194436 w 1605199"/>
            <a:gd name="connsiteY1" fmla="*/ 0 h 616145"/>
            <a:gd name="connsiteX2" fmla="*/ 1605199 w 1605199"/>
            <a:gd name="connsiteY2" fmla="*/ 205382 h 616145"/>
            <a:gd name="connsiteX3" fmla="*/ 1194436 w 1605199"/>
            <a:gd name="connsiteY3" fmla="*/ 616145 h 616145"/>
            <a:gd name="connsiteX4" fmla="*/ 1194436 w 1605199"/>
            <a:gd name="connsiteY4" fmla="*/ 410763 h 616145"/>
            <a:gd name="connsiteX5" fmla="*/ 0 w 1605199"/>
            <a:gd name="connsiteY5" fmla="*/ 410763 h 616145"/>
            <a:gd name="connsiteX6" fmla="*/ 205382 w 1605199"/>
            <a:gd name="connsiteY6" fmla="*/ 205382 h 616145"/>
            <a:gd name="connsiteX7" fmla="*/ 0 w 1605199"/>
            <a:gd name="connsiteY7" fmla="*/ 0 h 616145"/>
            <a:gd name="connsiteX0" fmla="*/ 0 w 1194436"/>
            <a:gd name="connsiteY0" fmla="*/ 0 h 616145"/>
            <a:gd name="connsiteX1" fmla="*/ 1194436 w 1194436"/>
            <a:gd name="connsiteY1" fmla="*/ 0 h 616145"/>
            <a:gd name="connsiteX2" fmla="*/ 1194436 w 1194436"/>
            <a:gd name="connsiteY2" fmla="*/ 616145 h 616145"/>
            <a:gd name="connsiteX3" fmla="*/ 1194436 w 1194436"/>
            <a:gd name="connsiteY3" fmla="*/ 410763 h 616145"/>
            <a:gd name="connsiteX4" fmla="*/ 0 w 1194436"/>
            <a:gd name="connsiteY4" fmla="*/ 410763 h 616145"/>
            <a:gd name="connsiteX5" fmla="*/ 205382 w 1194436"/>
            <a:gd name="connsiteY5" fmla="*/ 205382 h 616145"/>
            <a:gd name="connsiteX6" fmla="*/ 0 w 1194436"/>
            <a:gd name="connsiteY6" fmla="*/ 0 h 616145"/>
            <a:gd name="connsiteX0" fmla="*/ 0 w 1194436"/>
            <a:gd name="connsiteY0" fmla="*/ 0 h 410763"/>
            <a:gd name="connsiteX1" fmla="*/ 1194436 w 1194436"/>
            <a:gd name="connsiteY1" fmla="*/ 0 h 410763"/>
            <a:gd name="connsiteX2" fmla="*/ 1194436 w 1194436"/>
            <a:gd name="connsiteY2" fmla="*/ 410763 h 410763"/>
            <a:gd name="connsiteX3" fmla="*/ 0 w 1194436"/>
            <a:gd name="connsiteY3" fmla="*/ 410763 h 410763"/>
            <a:gd name="connsiteX4" fmla="*/ 205382 w 1194436"/>
            <a:gd name="connsiteY4" fmla="*/ 205382 h 410763"/>
            <a:gd name="connsiteX5" fmla="*/ 0 w 1194436"/>
            <a:gd name="connsiteY5" fmla="*/ 0 h 4107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h="410763" w="1194436">
              <a:moveTo>
                <a:pt x="0" y="0"/>
              </a:moveTo>
              <a:lnTo>
                <a:pt x="1194436" y="0"/>
              </a:lnTo>
              <a:lnTo>
                <a:pt x="1194436" y="410763"/>
              </a:lnTo>
              <a:lnTo>
                <a:pt x="0" y="410763"/>
              </a:lnTo>
              <a:lnTo>
                <a:pt x="205382" y="205382"/>
              </a:lnTo>
              <a:lnTo>
                <a:pt x="0" y="0"/>
              </a:lnTo>
              <a:close/>
            </a:path>
          </a:pathLst>
        </a:cu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2</xdr:row>
      <xdr:rowOff>85725</xdr:rowOff>
    </xdr:from>
    <xdr:ext cx="1457325" cy="514350"/>
    <xdr:sp macro="" textlink="">
      <xdr:nvSpPr>
        <xdr:cNvPr id="2" name="CustomShape 1"/>
        <xdr:cNvSpPr/>
      </xdr:nvSpPr>
      <xdr:spPr>
        <a:xfrm>
          <a:off x="16049625" y="48577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3C1 EMISIONES</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18</xdr:col>
      <xdr:colOff>0</xdr:colOff>
      <xdr:row>2</xdr:row>
      <xdr:rowOff>85725</xdr:rowOff>
    </xdr:from>
    <xdr:ext cx="1457325" cy="514350"/>
    <xdr:sp macro="" textlink="">
      <xdr:nvSpPr>
        <xdr:cNvPr id="10" name="CustomShape 1"/>
        <xdr:cNvSpPr/>
      </xdr:nvSpPr>
      <xdr:spPr>
        <a:xfrm>
          <a:off x="16049625" y="48577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GEI 3C1 </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19</xdr:col>
      <xdr:colOff>533400</xdr:colOff>
      <xdr:row>2</xdr:row>
      <xdr:rowOff>47625</xdr:rowOff>
    </xdr:from>
    <xdr:to>
      <xdr:col>22</xdr:col>
      <xdr:colOff>152400</xdr:colOff>
      <xdr:row>5</xdr:row>
      <xdr:rowOff>19050</xdr:rowOff>
    </xdr:to>
    <xdr:sp macro="" textlink="">
      <xdr:nvSpPr>
        <xdr:cNvPr id="15" name="CustomShape 1">
          <a:hlinkClick r:id="rId1"/>
        </xdr:cNvPr>
        <xdr:cNvSpPr/>
      </xdr:nvSpPr>
      <xdr:spPr>
        <a:xfrm>
          <a:off x="17306925" y="447675"/>
          <a:ext cx="1790700" cy="571500"/>
        </a:xfrm>
        <a:custGeom>
          <a:avLst/>
          <a:gdLst>
            <a:gd name="connsiteX0" fmla="*/ 0 w 1605199"/>
            <a:gd name="connsiteY0" fmla="*/ 205382 h 821527"/>
            <a:gd name="connsiteX1" fmla="*/ 1194436 w 1605199"/>
            <a:gd name="connsiteY1" fmla="*/ 205382 h 821527"/>
            <a:gd name="connsiteX2" fmla="*/ 1194436 w 1605199"/>
            <a:gd name="connsiteY2" fmla="*/ 0 h 821527"/>
            <a:gd name="connsiteX3" fmla="*/ 1605199 w 1605199"/>
            <a:gd name="connsiteY3" fmla="*/ 410764 h 821527"/>
            <a:gd name="connsiteX4" fmla="*/ 1194436 w 1605199"/>
            <a:gd name="connsiteY4" fmla="*/ 821527 h 821527"/>
            <a:gd name="connsiteX5" fmla="*/ 1194436 w 1605199"/>
            <a:gd name="connsiteY5" fmla="*/ 616145 h 821527"/>
            <a:gd name="connsiteX6" fmla="*/ 0 w 1605199"/>
            <a:gd name="connsiteY6" fmla="*/ 616145 h 821527"/>
            <a:gd name="connsiteX7" fmla="*/ 205382 w 1605199"/>
            <a:gd name="connsiteY7" fmla="*/ 410764 h 821527"/>
            <a:gd name="connsiteX8" fmla="*/ 0 w 1605199"/>
            <a:gd name="connsiteY8" fmla="*/ 205382 h 821527"/>
            <a:gd name="connsiteX0" fmla="*/ 0 w 1605199"/>
            <a:gd name="connsiteY0" fmla="*/ 0 h 616145"/>
            <a:gd name="connsiteX1" fmla="*/ 1194436 w 1605199"/>
            <a:gd name="connsiteY1" fmla="*/ 0 h 616145"/>
            <a:gd name="connsiteX2" fmla="*/ 1605199 w 1605199"/>
            <a:gd name="connsiteY2" fmla="*/ 205382 h 616145"/>
            <a:gd name="connsiteX3" fmla="*/ 1194436 w 1605199"/>
            <a:gd name="connsiteY3" fmla="*/ 616145 h 616145"/>
            <a:gd name="connsiteX4" fmla="*/ 1194436 w 1605199"/>
            <a:gd name="connsiteY4" fmla="*/ 410763 h 616145"/>
            <a:gd name="connsiteX5" fmla="*/ 0 w 1605199"/>
            <a:gd name="connsiteY5" fmla="*/ 410763 h 616145"/>
            <a:gd name="connsiteX6" fmla="*/ 205382 w 1605199"/>
            <a:gd name="connsiteY6" fmla="*/ 205382 h 616145"/>
            <a:gd name="connsiteX7" fmla="*/ 0 w 1605199"/>
            <a:gd name="connsiteY7" fmla="*/ 0 h 616145"/>
            <a:gd name="connsiteX0" fmla="*/ 0 w 1194436"/>
            <a:gd name="connsiteY0" fmla="*/ 0 h 616145"/>
            <a:gd name="connsiteX1" fmla="*/ 1194436 w 1194436"/>
            <a:gd name="connsiteY1" fmla="*/ 0 h 616145"/>
            <a:gd name="connsiteX2" fmla="*/ 1194436 w 1194436"/>
            <a:gd name="connsiteY2" fmla="*/ 616145 h 616145"/>
            <a:gd name="connsiteX3" fmla="*/ 1194436 w 1194436"/>
            <a:gd name="connsiteY3" fmla="*/ 410763 h 616145"/>
            <a:gd name="connsiteX4" fmla="*/ 0 w 1194436"/>
            <a:gd name="connsiteY4" fmla="*/ 410763 h 616145"/>
            <a:gd name="connsiteX5" fmla="*/ 205382 w 1194436"/>
            <a:gd name="connsiteY5" fmla="*/ 205382 h 616145"/>
            <a:gd name="connsiteX6" fmla="*/ 0 w 1194436"/>
            <a:gd name="connsiteY6" fmla="*/ 0 h 616145"/>
            <a:gd name="connsiteX0" fmla="*/ 0 w 1194436"/>
            <a:gd name="connsiteY0" fmla="*/ 0 h 410763"/>
            <a:gd name="connsiteX1" fmla="*/ 1194436 w 1194436"/>
            <a:gd name="connsiteY1" fmla="*/ 0 h 410763"/>
            <a:gd name="connsiteX2" fmla="*/ 1194436 w 1194436"/>
            <a:gd name="connsiteY2" fmla="*/ 410763 h 410763"/>
            <a:gd name="connsiteX3" fmla="*/ 0 w 1194436"/>
            <a:gd name="connsiteY3" fmla="*/ 410763 h 410763"/>
            <a:gd name="connsiteX4" fmla="*/ 205382 w 1194436"/>
            <a:gd name="connsiteY4" fmla="*/ 205382 h 410763"/>
            <a:gd name="connsiteX5" fmla="*/ 0 w 1194436"/>
            <a:gd name="connsiteY5" fmla="*/ 0 h 4107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h="410763" w="1194436">
              <a:moveTo>
                <a:pt x="0" y="0"/>
              </a:moveTo>
              <a:lnTo>
                <a:pt x="1194436" y="0"/>
              </a:lnTo>
              <a:lnTo>
                <a:pt x="1194436" y="410763"/>
              </a:lnTo>
              <a:lnTo>
                <a:pt x="0" y="410763"/>
              </a:lnTo>
              <a:lnTo>
                <a:pt x="205382" y="205382"/>
              </a:lnTo>
              <a:lnTo>
                <a:pt x="0" y="0"/>
              </a:lnTo>
              <a:close/>
            </a:path>
          </a:pathLst>
        </a:cu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2</xdr:row>
      <xdr:rowOff>133350</xdr:rowOff>
    </xdr:from>
    <xdr:ext cx="1457325" cy="476250"/>
    <xdr:sp macro="" textlink="">
      <xdr:nvSpPr>
        <xdr:cNvPr id="4" name="CustomShape 1"/>
        <xdr:cNvSpPr/>
      </xdr:nvSpPr>
      <xdr:spPr>
        <a:xfrm>
          <a:off x="9382125" y="533400"/>
          <a:ext cx="1457325" cy="4762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3C2 EMISIONES</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11</xdr:col>
      <xdr:colOff>571500</xdr:colOff>
      <xdr:row>2</xdr:row>
      <xdr:rowOff>133350</xdr:rowOff>
    </xdr:from>
    <xdr:to>
      <xdr:col>14</xdr:col>
      <xdr:colOff>200025</xdr:colOff>
      <xdr:row>5</xdr:row>
      <xdr:rowOff>114300</xdr:rowOff>
    </xdr:to>
    <xdr:sp macro="" textlink="">
      <xdr:nvSpPr>
        <xdr:cNvPr id="5" name="CustomShape 1">
          <a:hlinkClick r:id="rId1"/>
        </xdr:cNvPr>
        <xdr:cNvSpPr/>
      </xdr:nvSpPr>
      <xdr:spPr>
        <a:xfrm>
          <a:off x="10639425" y="533400"/>
          <a:ext cx="1800225" cy="533400"/>
        </a:xfrm>
        <a:custGeom>
          <a:avLst/>
          <a:gdLst>
            <a:gd name="connsiteX0" fmla="*/ 0 w 1605199"/>
            <a:gd name="connsiteY0" fmla="*/ 205382 h 821527"/>
            <a:gd name="connsiteX1" fmla="*/ 1194436 w 1605199"/>
            <a:gd name="connsiteY1" fmla="*/ 205382 h 821527"/>
            <a:gd name="connsiteX2" fmla="*/ 1194436 w 1605199"/>
            <a:gd name="connsiteY2" fmla="*/ 0 h 821527"/>
            <a:gd name="connsiteX3" fmla="*/ 1605199 w 1605199"/>
            <a:gd name="connsiteY3" fmla="*/ 410764 h 821527"/>
            <a:gd name="connsiteX4" fmla="*/ 1194436 w 1605199"/>
            <a:gd name="connsiteY4" fmla="*/ 821527 h 821527"/>
            <a:gd name="connsiteX5" fmla="*/ 1194436 w 1605199"/>
            <a:gd name="connsiteY5" fmla="*/ 616145 h 821527"/>
            <a:gd name="connsiteX6" fmla="*/ 0 w 1605199"/>
            <a:gd name="connsiteY6" fmla="*/ 616145 h 821527"/>
            <a:gd name="connsiteX7" fmla="*/ 205382 w 1605199"/>
            <a:gd name="connsiteY7" fmla="*/ 410764 h 821527"/>
            <a:gd name="connsiteX8" fmla="*/ 0 w 1605199"/>
            <a:gd name="connsiteY8" fmla="*/ 205382 h 821527"/>
            <a:gd name="connsiteX0" fmla="*/ 0 w 1605199"/>
            <a:gd name="connsiteY0" fmla="*/ 0 h 616145"/>
            <a:gd name="connsiteX1" fmla="*/ 1194436 w 1605199"/>
            <a:gd name="connsiteY1" fmla="*/ 0 h 616145"/>
            <a:gd name="connsiteX2" fmla="*/ 1605199 w 1605199"/>
            <a:gd name="connsiteY2" fmla="*/ 205382 h 616145"/>
            <a:gd name="connsiteX3" fmla="*/ 1194436 w 1605199"/>
            <a:gd name="connsiteY3" fmla="*/ 616145 h 616145"/>
            <a:gd name="connsiteX4" fmla="*/ 1194436 w 1605199"/>
            <a:gd name="connsiteY4" fmla="*/ 410763 h 616145"/>
            <a:gd name="connsiteX5" fmla="*/ 0 w 1605199"/>
            <a:gd name="connsiteY5" fmla="*/ 410763 h 616145"/>
            <a:gd name="connsiteX6" fmla="*/ 205382 w 1605199"/>
            <a:gd name="connsiteY6" fmla="*/ 205382 h 616145"/>
            <a:gd name="connsiteX7" fmla="*/ 0 w 1605199"/>
            <a:gd name="connsiteY7" fmla="*/ 0 h 616145"/>
            <a:gd name="connsiteX0" fmla="*/ 0 w 1194436"/>
            <a:gd name="connsiteY0" fmla="*/ 0 h 616145"/>
            <a:gd name="connsiteX1" fmla="*/ 1194436 w 1194436"/>
            <a:gd name="connsiteY1" fmla="*/ 0 h 616145"/>
            <a:gd name="connsiteX2" fmla="*/ 1194436 w 1194436"/>
            <a:gd name="connsiteY2" fmla="*/ 616145 h 616145"/>
            <a:gd name="connsiteX3" fmla="*/ 1194436 w 1194436"/>
            <a:gd name="connsiteY3" fmla="*/ 410763 h 616145"/>
            <a:gd name="connsiteX4" fmla="*/ 0 w 1194436"/>
            <a:gd name="connsiteY4" fmla="*/ 410763 h 616145"/>
            <a:gd name="connsiteX5" fmla="*/ 205382 w 1194436"/>
            <a:gd name="connsiteY5" fmla="*/ 205382 h 616145"/>
            <a:gd name="connsiteX6" fmla="*/ 0 w 1194436"/>
            <a:gd name="connsiteY6" fmla="*/ 0 h 616145"/>
            <a:gd name="connsiteX0" fmla="*/ 0 w 1194436"/>
            <a:gd name="connsiteY0" fmla="*/ 0 h 410763"/>
            <a:gd name="connsiteX1" fmla="*/ 1194436 w 1194436"/>
            <a:gd name="connsiteY1" fmla="*/ 0 h 410763"/>
            <a:gd name="connsiteX2" fmla="*/ 1194436 w 1194436"/>
            <a:gd name="connsiteY2" fmla="*/ 410763 h 410763"/>
            <a:gd name="connsiteX3" fmla="*/ 0 w 1194436"/>
            <a:gd name="connsiteY3" fmla="*/ 410763 h 410763"/>
            <a:gd name="connsiteX4" fmla="*/ 205382 w 1194436"/>
            <a:gd name="connsiteY4" fmla="*/ 205382 h 410763"/>
            <a:gd name="connsiteX5" fmla="*/ 0 w 1194436"/>
            <a:gd name="connsiteY5" fmla="*/ 0 h 4107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h="410763" w="1194436">
              <a:moveTo>
                <a:pt x="0" y="0"/>
              </a:moveTo>
              <a:lnTo>
                <a:pt x="1194436" y="0"/>
              </a:lnTo>
              <a:lnTo>
                <a:pt x="1194436" y="410763"/>
              </a:lnTo>
              <a:lnTo>
                <a:pt x="0" y="410763"/>
              </a:lnTo>
              <a:lnTo>
                <a:pt x="205382" y="205382"/>
              </a:lnTo>
              <a:lnTo>
                <a:pt x="0" y="0"/>
              </a:lnTo>
              <a:close/>
            </a:path>
          </a:pathLst>
        </a:cu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6</xdr:row>
      <xdr:rowOff>0</xdr:rowOff>
    </xdr:from>
    <xdr:ext cx="1457325" cy="914400"/>
    <xdr:sp macro="" textlink="">
      <xdr:nvSpPr>
        <xdr:cNvPr id="2" name="CustomShape 1"/>
        <xdr:cNvSpPr/>
      </xdr:nvSpPr>
      <xdr:spPr>
        <a:xfrm>
          <a:off x="7105650" y="1276350"/>
          <a:ext cx="1457325" cy="91440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3C3 EMISIONES</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8</xdr:col>
      <xdr:colOff>552450</xdr:colOff>
      <xdr:row>5</xdr:row>
      <xdr:rowOff>142875</xdr:rowOff>
    </xdr:from>
    <xdr:to>
      <xdr:col>11</xdr:col>
      <xdr:colOff>180975</xdr:colOff>
      <xdr:row>7</xdr:row>
      <xdr:rowOff>28575</xdr:rowOff>
    </xdr:to>
    <xdr:sp macro="" textlink="">
      <xdr:nvSpPr>
        <xdr:cNvPr id="4" name="CustomShape 1">
          <a:hlinkClick r:id="rId1"/>
        </xdr:cNvPr>
        <xdr:cNvSpPr/>
      </xdr:nvSpPr>
      <xdr:spPr>
        <a:xfrm>
          <a:off x="8382000" y="1247775"/>
          <a:ext cx="1800225" cy="971550"/>
        </a:xfrm>
        <a:custGeom>
          <a:avLst/>
          <a:gdLst>
            <a:gd name="connsiteX0" fmla="*/ 0 w 1605199"/>
            <a:gd name="connsiteY0" fmla="*/ 205382 h 821527"/>
            <a:gd name="connsiteX1" fmla="*/ 1194436 w 1605199"/>
            <a:gd name="connsiteY1" fmla="*/ 205382 h 821527"/>
            <a:gd name="connsiteX2" fmla="*/ 1194436 w 1605199"/>
            <a:gd name="connsiteY2" fmla="*/ 0 h 821527"/>
            <a:gd name="connsiteX3" fmla="*/ 1605199 w 1605199"/>
            <a:gd name="connsiteY3" fmla="*/ 410764 h 821527"/>
            <a:gd name="connsiteX4" fmla="*/ 1194436 w 1605199"/>
            <a:gd name="connsiteY4" fmla="*/ 821527 h 821527"/>
            <a:gd name="connsiteX5" fmla="*/ 1194436 w 1605199"/>
            <a:gd name="connsiteY5" fmla="*/ 616145 h 821527"/>
            <a:gd name="connsiteX6" fmla="*/ 0 w 1605199"/>
            <a:gd name="connsiteY6" fmla="*/ 616145 h 821527"/>
            <a:gd name="connsiteX7" fmla="*/ 205382 w 1605199"/>
            <a:gd name="connsiteY7" fmla="*/ 410764 h 821527"/>
            <a:gd name="connsiteX8" fmla="*/ 0 w 1605199"/>
            <a:gd name="connsiteY8" fmla="*/ 205382 h 821527"/>
            <a:gd name="connsiteX0" fmla="*/ 0 w 1605199"/>
            <a:gd name="connsiteY0" fmla="*/ 0 h 616145"/>
            <a:gd name="connsiteX1" fmla="*/ 1194436 w 1605199"/>
            <a:gd name="connsiteY1" fmla="*/ 0 h 616145"/>
            <a:gd name="connsiteX2" fmla="*/ 1605199 w 1605199"/>
            <a:gd name="connsiteY2" fmla="*/ 205382 h 616145"/>
            <a:gd name="connsiteX3" fmla="*/ 1194436 w 1605199"/>
            <a:gd name="connsiteY3" fmla="*/ 616145 h 616145"/>
            <a:gd name="connsiteX4" fmla="*/ 1194436 w 1605199"/>
            <a:gd name="connsiteY4" fmla="*/ 410763 h 616145"/>
            <a:gd name="connsiteX5" fmla="*/ 0 w 1605199"/>
            <a:gd name="connsiteY5" fmla="*/ 410763 h 616145"/>
            <a:gd name="connsiteX6" fmla="*/ 205382 w 1605199"/>
            <a:gd name="connsiteY6" fmla="*/ 205382 h 616145"/>
            <a:gd name="connsiteX7" fmla="*/ 0 w 1605199"/>
            <a:gd name="connsiteY7" fmla="*/ 0 h 616145"/>
            <a:gd name="connsiteX0" fmla="*/ 0 w 1194436"/>
            <a:gd name="connsiteY0" fmla="*/ 0 h 616145"/>
            <a:gd name="connsiteX1" fmla="*/ 1194436 w 1194436"/>
            <a:gd name="connsiteY1" fmla="*/ 0 h 616145"/>
            <a:gd name="connsiteX2" fmla="*/ 1194436 w 1194436"/>
            <a:gd name="connsiteY2" fmla="*/ 616145 h 616145"/>
            <a:gd name="connsiteX3" fmla="*/ 1194436 w 1194436"/>
            <a:gd name="connsiteY3" fmla="*/ 410763 h 616145"/>
            <a:gd name="connsiteX4" fmla="*/ 0 w 1194436"/>
            <a:gd name="connsiteY4" fmla="*/ 410763 h 616145"/>
            <a:gd name="connsiteX5" fmla="*/ 205382 w 1194436"/>
            <a:gd name="connsiteY5" fmla="*/ 205382 h 616145"/>
            <a:gd name="connsiteX6" fmla="*/ 0 w 1194436"/>
            <a:gd name="connsiteY6" fmla="*/ 0 h 616145"/>
            <a:gd name="connsiteX0" fmla="*/ 0 w 1194436"/>
            <a:gd name="connsiteY0" fmla="*/ 0 h 410763"/>
            <a:gd name="connsiteX1" fmla="*/ 1194436 w 1194436"/>
            <a:gd name="connsiteY1" fmla="*/ 0 h 410763"/>
            <a:gd name="connsiteX2" fmla="*/ 1194436 w 1194436"/>
            <a:gd name="connsiteY2" fmla="*/ 410763 h 410763"/>
            <a:gd name="connsiteX3" fmla="*/ 0 w 1194436"/>
            <a:gd name="connsiteY3" fmla="*/ 410763 h 410763"/>
            <a:gd name="connsiteX4" fmla="*/ 205382 w 1194436"/>
            <a:gd name="connsiteY4" fmla="*/ 205382 h 410763"/>
            <a:gd name="connsiteX5" fmla="*/ 0 w 1194436"/>
            <a:gd name="connsiteY5" fmla="*/ 0 h 4107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h="410763" w="1194436">
              <a:moveTo>
                <a:pt x="0" y="0"/>
              </a:moveTo>
              <a:lnTo>
                <a:pt x="1194436" y="0"/>
              </a:lnTo>
              <a:lnTo>
                <a:pt x="1194436" y="410763"/>
              </a:lnTo>
              <a:lnTo>
                <a:pt x="0" y="410763"/>
              </a:lnTo>
              <a:lnTo>
                <a:pt x="205382" y="205382"/>
              </a:lnTo>
              <a:lnTo>
                <a:pt x="0" y="0"/>
              </a:lnTo>
              <a:close/>
            </a:path>
          </a:pathLst>
        </a:cu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6</xdr:row>
      <xdr:rowOff>0</xdr:rowOff>
    </xdr:from>
    <xdr:ext cx="1457325" cy="514350"/>
    <xdr:sp macro="" textlink="">
      <xdr:nvSpPr>
        <xdr:cNvPr id="2" name="CustomShape 1"/>
        <xdr:cNvSpPr/>
      </xdr:nvSpPr>
      <xdr:spPr>
        <a:xfrm>
          <a:off x="8991600" y="1200150"/>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3C4 EMISIONES</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9</xdr:col>
      <xdr:colOff>1076325</xdr:colOff>
      <xdr:row>5</xdr:row>
      <xdr:rowOff>190500</xdr:rowOff>
    </xdr:from>
    <xdr:to>
      <xdr:col>12</xdr:col>
      <xdr:colOff>314325</xdr:colOff>
      <xdr:row>6</xdr:row>
      <xdr:rowOff>561975</xdr:rowOff>
    </xdr:to>
    <xdr:sp macro="" textlink="">
      <xdr:nvSpPr>
        <xdr:cNvPr id="4" name="CustomShape 1">
          <a:hlinkClick r:id="rId1"/>
        </xdr:cNvPr>
        <xdr:cNvSpPr/>
      </xdr:nvSpPr>
      <xdr:spPr>
        <a:xfrm>
          <a:off x="10067925" y="1190625"/>
          <a:ext cx="1800225" cy="571500"/>
        </a:xfrm>
        <a:custGeom>
          <a:avLst/>
          <a:gdLst>
            <a:gd name="connsiteX0" fmla="*/ 0 w 1605199"/>
            <a:gd name="connsiteY0" fmla="*/ 205382 h 821527"/>
            <a:gd name="connsiteX1" fmla="*/ 1194436 w 1605199"/>
            <a:gd name="connsiteY1" fmla="*/ 205382 h 821527"/>
            <a:gd name="connsiteX2" fmla="*/ 1194436 w 1605199"/>
            <a:gd name="connsiteY2" fmla="*/ 0 h 821527"/>
            <a:gd name="connsiteX3" fmla="*/ 1605199 w 1605199"/>
            <a:gd name="connsiteY3" fmla="*/ 410764 h 821527"/>
            <a:gd name="connsiteX4" fmla="*/ 1194436 w 1605199"/>
            <a:gd name="connsiteY4" fmla="*/ 821527 h 821527"/>
            <a:gd name="connsiteX5" fmla="*/ 1194436 w 1605199"/>
            <a:gd name="connsiteY5" fmla="*/ 616145 h 821527"/>
            <a:gd name="connsiteX6" fmla="*/ 0 w 1605199"/>
            <a:gd name="connsiteY6" fmla="*/ 616145 h 821527"/>
            <a:gd name="connsiteX7" fmla="*/ 205382 w 1605199"/>
            <a:gd name="connsiteY7" fmla="*/ 410764 h 821527"/>
            <a:gd name="connsiteX8" fmla="*/ 0 w 1605199"/>
            <a:gd name="connsiteY8" fmla="*/ 205382 h 821527"/>
            <a:gd name="connsiteX0" fmla="*/ 0 w 1605199"/>
            <a:gd name="connsiteY0" fmla="*/ 0 h 616145"/>
            <a:gd name="connsiteX1" fmla="*/ 1194436 w 1605199"/>
            <a:gd name="connsiteY1" fmla="*/ 0 h 616145"/>
            <a:gd name="connsiteX2" fmla="*/ 1605199 w 1605199"/>
            <a:gd name="connsiteY2" fmla="*/ 205382 h 616145"/>
            <a:gd name="connsiteX3" fmla="*/ 1194436 w 1605199"/>
            <a:gd name="connsiteY3" fmla="*/ 616145 h 616145"/>
            <a:gd name="connsiteX4" fmla="*/ 1194436 w 1605199"/>
            <a:gd name="connsiteY4" fmla="*/ 410763 h 616145"/>
            <a:gd name="connsiteX5" fmla="*/ 0 w 1605199"/>
            <a:gd name="connsiteY5" fmla="*/ 410763 h 616145"/>
            <a:gd name="connsiteX6" fmla="*/ 205382 w 1605199"/>
            <a:gd name="connsiteY6" fmla="*/ 205382 h 616145"/>
            <a:gd name="connsiteX7" fmla="*/ 0 w 1605199"/>
            <a:gd name="connsiteY7" fmla="*/ 0 h 616145"/>
            <a:gd name="connsiteX0" fmla="*/ 0 w 1194436"/>
            <a:gd name="connsiteY0" fmla="*/ 0 h 616145"/>
            <a:gd name="connsiteX1" fmla="*/ 1194436 w 1194436"/>
            <a:gd name="connsiteY1" fmla="*/ 0 h 616145"/>
            <a:gd name="connsiteX2" fmla="*/ 1194436 w 1194436"/>
            <a:gd name="connsiteY2" fmla="*/ 616145 h 616145"/>
            <a:gd name="connsiteX3" fmla="*/ 1194436 w 1194436"/>
            <a:gd name="connsiteY3" fmla="*/ 410763 h 616145"/>
            <a:gd name="connsiteX4" fmla="*/ 0 w 1194436"/>
            <a:gd name="connsiteY4" fmla="*/ 410763 h 616145"/>
            <a:gd name="connsiteX5" fmla="*/ 205382 w 1194436"/>
            <a:gd name="connsiteY5" fmla="*/ 205382 h 616145"/>
            <a:gd name="connsiteX6" fmla="*/ 0 w 1194436"/>
            <a:gd name="connsiteY6" fmla="*/ 0 h 616145"/>
            <a:gd name="connsiteX0" fmla="*/ 0 w 1194436"/>
            <a:gd name="connsiteY0" fmla="*/ 0 h 410763"/>
            <a:gd name="connsiteX1" fmla="*/ 1194436 w 1194436"/>
            <a:gd name="connsiteY1" fmla="*/ 0 h 410763"/>
            <a:gd name="connsiteX2" fmla="*/ 1194436 w 1194436"/>
            <a:gd name="connsiteY2" fmla="*/ 410763 h 410763"/>
            <a:gd name="connsiteX3" fmla="*/ 0 w 1194436"/>
            <a:gd name="connsiteY3" fmla="*/ 410763 h 410763"/>
            <a:gd name="connsiteX4" fmla="*/ 205382 w 1194436"/>
            <a:gd name="connsiteY4" fmla="*/ 205382 h 410763"/>
            <a:gd name="connsiteX5" fmla="*/ 0 w 1194436"/>
            <a:gd name="connsiteY5" fmla="*/ 0 h 4107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h="410763" w="1194436">
              <a:moveTo>
                <a:pt x="0" y="0"/>
              </a:moveTo>
              <a:lnTo>
                <a:pt x="1194436" y="0"/>
              </a:lnTo>
              <a:lnTo>
                <a:pt x="1194436" y="410763"/>
              </a:lnTo>
              <a:lnTo>
                <a:pt x="0" y="410763"/>
              </a:lnTo>
              <a:lnTo>
                <a:pt x="205382" y="205382"/>
              </a:lnTo>
              <a:lnTo>
                <a:pt x="0" y="0"/>
              </a:lnTo>
              <a:close/>
            </a:path>
          </a:pathLst>
        </a:cu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6</xdr:row>
      <xdr:rowOff>0</xdr:rowOff>
    </xdr:from>
    <xdr:ext cx="1457325" cy="514350"/>
    <xdr:sp macro="" textlink="">
      <xdr:nvSpPr>
        <xdr:cNvPr id="3" name="CustomShape 1"/>
        <xdr:cNvSpPr/>
      </xdr:nvSpPr>
      <xdr:spPr>
        <a:xfrm>
          <a:off x="11315700" y="126682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3C5 EMISIONES</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11</xdr:col>
      <xdr:colOff>0</xdr:colOff>
      <xdr:row>6</xdr:row>
      <xdr:rowOff>0</xdr:rowOff>
    </xdr:from>
    <xdr:ext cx="1457325" cy="514350"/>
    <xdr:sp macro="" textlink="">
      <xdr:nvSpPr>
        <xdr:cNvPr id="6" name="CustomShape 1"/>
        <xdr:cNvSpPr/>
      </xdr:nvSpPr>
      <xdr:spPr>
        <a:xfrm>
          <a:off x="11315700" y="126682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3C5 EMISIONES</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12</xdr:col>
      <xdr:colOff>533400</xdr:colOff>
      <xdr:row>5</xdr:row>
      <xdr:rowOff>152400</xdr:rowOff>
    </xdr:from>
    <xdr:to>
      <xdr:col>15</xdr:col>
      <xdr:colOff>161925</xdr:colOff>
      <xdr:row>6</xdr:row>
      <xdr:rowOff>552450</xdr:rowOff>
    </xdr:to>
    <xdr:sp macro="" textlink="">
      <xdr:nvSpPr>
        <xdr:cNvPr id="8" name="CustomShape 1">
          <a:hlinkClick r:id="rId1"/>
        </xdr:cNvPr>
        <xdr:cNvSpPr/>
      </xdr:nvSpPr>
      <xdr:spPr>
        <a:xfrm>
          <a:off x="12573000" y="1247775"/>
          <a:ext cx="1800225" cy="571500"/>
        </a:xfrm>
        <a:custGeom>
          <a:avLst/>
          <a:gdLst>
            <a:gd name="connsiteX0" fmla="*/ 0 w 1605199"/>
            <a:gd name="connsiteY0" fmla="*/ 205382 h 821527"/>
            <a:gd name="connsiteX1" fmla="*/ 1194436 w 1605199"/>
            <a:gd name="connsiteY1" fmla="*/ 205382 h 821527"/>
            <a:gd name="connsiteX2" fmla="*/ 1194436 w 1605199"/>
            <a:gd name="connsiteY2" fmla="*/ 0 h 821527"/>
            <a:gd name="connsiteX3" fmla="*/ 1605199 w 1605199"/>
            <a:gd name="connsiteY3" fmla="*/ 410764 h 821527"/>
            <a:gd name="connsiteX4" fmla="*/ 1194436 w 1605199"/>
            <a:gd name="connsiteY4" fmla="*/ 821527 h 821527"/>
            <a:gd name="connsiteX5" fmla="*/ 1194436 w 1605199"/>
            <a:gd name="connsiteY5" fmla="*/ 616145 h 821527"/>
            <a:gd name="connsiteX6" fmla="*/ 0 w 1605199"/>
            <a:gd name="connsiteY6" fmla="*/ 616145 h 821527"/>
            <a:gd name="connsiteX7" fmla="*/ 205382 w 1605199"/>
            <a:gd name="connsiteY7" fmla="*/ 410764 h 821527"/>
            <a:gd name="connsiteX8" fmla="*/ 0 w 1605199"/>
            <a:gd name="connsiteY8" fmla="*/ 205382 h 821527"/>
            <a:gd name="connsiteX0" fmla="*/ 0 w 1605199"/>
            <a:gd name="connsiteY0" fmla="*/ 0 h 616145"/>
            <a:gd name="connsiteX1" fmla="*/ 1194436 w 1605199"/>
            <a:gd name="connsiteY1" fmla="*/ 0 h 616145"/>
            <a:gd name="connsiteX2" fmla="*/ 1605199 w 1605199"/>
            <a:gd name="connsiteY2" fmla="*/ 205382 h 616145"/>
            <a:gd name="connsiteX3" fmla="*/ 1194436 w 1605199"/>
            <a:gd name="connsiteY3" fmla="*/ 616145 h 616145"/>
            <a:gd name="connsiteX4" fmla="*/ 1194436 w 1605199"/>
            <a:gd name="connsiteY4" fmla="*/ 410763 h 616145"/>
            <a:gd name="connsiteX5" fmla="*/ 0 w 1605199"/>
            <a:gd name="connsiteY5" fmla="*/ 410763 h 616145"/>
            <a:gd name="connsiteX6" fmla="*/ 205382 w 1605199"/>
            <a:gd name="connsiteY6" fmla="*/ 205382 h 616145"/>
            <a:gd name="connsiteX7" fmla="*/ 0 w 1605199"/>
            <a:gd name="connsiteY7" fmla="*/ 0 h 616145"/>
            <a:gd name="connsiteX0" fmla="*/ 0 w 1194436"/>
            <a:gd name="connsiteY0" fmla="*/ 0 h 616145"/>
            <a:gd name="connsiteX1" fmla="*/ 1194436 w 1194436"/>
            <a:gd name="connsiteY1" fmla="*/ 0 h 616145"/>
            <a:gd name="connsiteX2" fmla="*/ 1194436 w 1194436"/>
            <a:gd name="connsiteY2" fmla="*/ 616145 h 616145"/>
            <a:gd name="connsiteX3" fmla="*/ 1194436 w 1194436"/>
            <a:gd name="connsiteY3" fmla="*/ 410763 h 616145"/>
            <a:gd name="connsiteX4" fmla="*/ 0 w 1194436"/>
            <a:gd name="connsiteY4" fmla="*/ 410763 h 616145"/>
            <a:gd name="connsiteX5" fmla="*/ 205382 w 1194436"/>
            <a:gd name="connsiteY5" fmla="*/ 205382 h 616145"/>
            <a:gd name="connsiteX6" fmla="*/ 0 w 1194436"/>
            <a:gd name="connsiteY6" fmla="*/ 0 h 616145"/>
            <a:gd name="connsiteX0" fmla="*/ 0 w 1194436"/>
            <a:gd name="connsiteY0" fmla="*/ 0 h 410763"/>
            <a:gd name="connsiteX1" fmla="*/ 1194436 w 1194436"/>
            <a:gd name="connsiteY1" fmla="*/ 0 h 410763"/>
            <a:gd name="connsiteX2" fmla="*/ 1194436 w 1194436"/>
            <a:gd name="connsiteY2" fmla="*/ 410763 h 410763"/>
            <a:gd name="connsiteX3" fmla="*/ 0 w 1194436"/>
            <a:gd name="connsiteY3" fmla="*/ 410763 h 410763"/>
            <a:gd name="connsiteX4" fmla="*/ 205382 w 1194436"/>
            <a:gd name="connsiteY4" fmla="*/ 205382 h 410763"/>
            <a:gd name="connsiteX5" fmla="*/ 0 w 1194436"/>
            <a:gd name="connsiteY5" fmla="*/ 0 h 4107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h="410763" w="1194436">
              <a:moveTo>
                <a:pt x="0" y="0"/>
              </a:moveTo>
              <a:lnTo>
                <a:pt x="1194436" y="0"/>
              </a:lnTo>
              <a:lnTo>
                <a:pt x="1194436" y="410763"/>
              </a:lnTo>
              <a:lnTo>
                <a:pt x="0" y="410763"/>
              </a:lnTo>
              <a:lnTo>
                <a:pt x="205382" y="205382"/>
              </a:lnTo>
              <a:lnTo>
                <a:pt x="0" y="0"/>
              </a:lnTo>
              <a:close/>
            </a:path>
          </a:pathLst>
        </a:cu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19050</xdr:colOff>
      <xdr:row>6</xdr:row>
      <xdr:rowOff>0</xdr:rowOff>
    </xdr:from>
    <xdr:ext cx="1457325" cy="514350"/>
    <xdr:sp macro="" textlink="">
      <xdr:nvSpPr>
        <xdr:cNvPr id="2" name="CustomShape 1"/>
        <xdr:cNvSpPr/>
      </xdr:nvSpPr>
      <xdr:spPr>
        <a:xfrm>
          <a:off x="12249150" y="119062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GEI</a:t>
          </a:r>
          <a:r>
            <a:rPr lang="es-PE" sz="1000" b="0" strike="noStrike" spc="-1" baseline="0">
              <a:solidFill>
                <a:sysClr val="windowText" lastClr="000000"/>
              </a:solidFill>
              <a:uFill>
                <a:solidFill>
                  <a:srgbClr val="FFFFFF"/>
                </a:solidFill>
              </a:uFill>
              <a:latin typeface="+mn-lt"/>
              <a:ea typeface="Calibri"/>
            </a:rPr>
            <a:t> </a:t>
          </a:r>
          <a:r>
            <a:rPr lang="es-PE" sz="1000" b="0" strike="noStrike" spc="-1">
              <a:solidFill>
                <a:sysClr val="windowText" lastClr="000000"/>
              </a:solidFill>
              <a:uFill>
                <a:solidFill>
                  <a:srgbClr val="FFFFFF"/>
                </a:solidFill>
              </a:uFill>
              <a:latin typeface="+mn-lt"/>
              <a:ea typeface="Calibri"/>
            </a:rPr>
            <a:t>3C6 </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11</xdr:col>
      <xdr:colOff>66675</xdr:colOff>
      <xdr:row>5</xdr:row>
      <xdr:rowOff>180975</xdr:rowOff>
    </xdr:from>
    <xdr:to>
      <xdr:col>13</xdr:col>
      <xdr:colOff>428625</xdr:colOff>
      <xdr:row>6</xdr:row>
      <xdr:rowOff>552450</xdr:rowOff>
    </xdr:to>
    <xdr:sp macro="" textlink="">
      <xdr:nvSpPr>
        <xdr:cNvPr id="8" name="CustomShape 1">
          <a:hlinkClick r:id="rId1"/>
        </xdr:cNvPr>
        <xdr:cNvSpPr/>
      </xdr:nvSpPr>
      <xdr:spPr>
        <a:xfrm>
          <a:off x="13249275" y="1171575"/>
          <a:ext cx="1809750" cy="571500"/>
        </a:xfrm>
        <a:custGeom>
          <a:avLst/>
          <a:gdLst>
            <a:gd name="connsiteX0" fmla="*/ 0 w 1605199"/>
            <a:gd name="connsiteY0" fmla="*/ 205382 h 821527"/>
            <a:gd name="connsiteX1" fmla="*/ 1194436 w 1605199"/>
            <a:gd name="connsiteY1" fmla="*/ 205382 h 821527"/>
            <a:gd name="connsiteX2" fmla="*/ 1194436 w 1605199"/>
            <a:gd name="connsiteY2" fmla="*/ 0 h 821527"/>
            <a:gd name="connsiteX3" fmla="*/ 1605199 w 1605199"/>
            <a:gd name="connsiteY3" fmla="*/ 410764 h 821527"/>
            <a:gd name="connsiteX4" fmla="*/ 1194436 w 1605199"/>
            <a:gd name="connsiteY4" fmla="*/ 821527 h 821527"/>
            <a:gd name="connsiteX5" fmla="*/ 1194436 w 1605199"/>
            <a:gd name="connsiteY5" fmla="*/ 616145 h 821527"/>
            <a:gd name="connsiteX6" fmla="*/ 0 w 1605199"/>
            <a:gd name="connsiteY6" fmla="*/ 616145 h 821527"/>
            <a:gd name="connsiteX7" fmla="*/ 205382 w 1605199"/>
            <a:gd name="connsiteY7" fmla="*/ 410764 h 821527"/>
            <a:gd name="connsiteX8" fmla="*/ 0 w 1605199"/>
            <a:gd name="connsiteY8" fmla="*/ 205382 h 821527"/>
            <a:gd name="connsiteX0" fmla="*/ 0 w 1605199"/>
            <a:gd name="connsiteY0" fmla="*/ 0 h 616145"/>
            <a:gd name="connsiteX1" fmla="*/ 1194436 w 1605199"/>
            <a:gd name="connsiteY1" fmla="*/ 0 h 616145"/>
            <a:gd name="connsiteX2" fmla="*/ 1605199 w 1605199"/>
            <a:gd name="connsiteY2" fmla="*/ 205382 h 616145"/>
            <a:gd name="connsiteX3" fmla="*/ 1194436 w 1605199"/>
            <a:gd name="connsiteY3" fmla="*/ 616145 h 616145"/>
            <a:gd name="connsiteX4" fmla="*/ 1194436 w 1605199"/>
            <a:gd name="connsiteY4" fmla="*/ 410763 h 616145"/>
            <a:gd name="connsiteX5" fmla="*/ 0 w 1605199"/>
            <a:gd name="connsiteY5" fmla="*/ 410763 h 616145"/>
            <a:gd name="connsiteX6" fmla="*/ 205382 w 1605199"/>
            <a:gd name="connsiteY6" fmla="*/ 205382 h 616145"/>
            <a:gd name="connsiteX7" fmla="*/ 0 w 1605199"/>
            <a:gd name="connsiteY7" fmla="*/ 0 h 616145"/>
            <a:gd name="connsiteX0" fmla="*/ 0 w 1194436"/>
            <a:gd name="connsiteY0" fmla="*/ 0 h 616145"/>
            <a:gd name="connsiteX1" fmla="*/ 1194436 w 1194436"/>
            <a:gd name="connsiteY1" fmla="*/ 0 h 616145"/>
            <a:gd name="connsiteX2" fmla="*/ 1194436 w 1194436"/>
            <a:gd name="connsiteY2" fmla="*/ 616145 h 616145"/>
            <a:gd name="connsiteX3" fmla="*/ 1194436 w 1194436"/>
            <a:gd name="connsiteY3" fmla="*/ 410763 h 616145"/>
            <a:gd name="connsiteX4" fmla="*/ 0 w 1194436"/>
            <a:gd name="connsiteY4" fmla="*/ 410763 h 616145"/>
            <a:gd name="connsiteX5" fmla="*/ 205382 w 1194436"/>
            <a:gd name="connsiteY5" fmla="*/ 205382 h 616145"/>
            <a:gd name="connsiteX6" fmla="*/ 0 w 1194436"/>
            <a:gd name="connsiteY6" fmla="*/ 0 h 616145"/>
            <a:gd name="connsiteX0" fmla="*/ 0 w 1194436"/>
            <a:gd name="connsiteY0" fmla="*/ 0 h 410763"/>
            <a:gd name="connsiteX1" fmla="*/ 1194436 w 1194436"/>
            <a:gd name="connsiteY1" fmla="*/ 0 h 410763"/>
            <a:gd name="connsiteX2" fmla="*/ 1194436 w 1194436"/>
            <a:gd name="connsiteY2" fmla="*/ 410763 h 410763"/>
            <a:gd name="connsiteX3" fmla="*/ 0 w 1194436"/>
            <a:gd name="connsiteY3" fmla="*/ 410763 h 410763"/>
            <a:gd name="connsiteX4" fmla="*/ 205382 w 1194436"/>
            <a:gd name="connsiteY4" fmla="*/ 205382 h 410763"/>
            <a:gd name="connsiteX5" fmla="*/ 0 w 1194436"/>
            <a:gd name="connsiteY5" fmla="*/ 0 h 4107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h="410763" w="1194436">
              <a:moveTo>
                <a:pt x="0" y="0"/>
              </a:moveTo>
              <a:lnTo>
                <a:pt x="1194436" y="0"/>
              </a:lnTo>
              <a:lnTo>
                <a:pt x="1194436" y="410763"/>
              </a:lnTo>
              <a:lnTo>
                <a:pt x="0" y="410763"/>
              </a:lnTo>
              <a:lnTo>
                <a:pt x="205382" y="205382"/>
              </a:lnTo>
              <a:lnTo>
                <a:pt x="0" y="0"/>
              </a:lnTo>
              <a:close/>
            </a:path>
          </a:pathLst>
        </a:cu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9525</xdr:colOff>
      <xdr:row>3</xdr:row>
      <xdr:rowOff>152400</xdr:rowOff>
    </xdr:from>
    <xdr:ext cx="1457325" cy="628650"/>
    <xdr:sp macro="" textlink="">
      <xdr:nvSpPr>
        <xdr:cNvPr id="6" name="CustomShape 1"/>
        <xdr:cNvSpPr/>
      </xdr:nvSpPr>
      <xdr:spPr>
        <a:xfrm>
          <a:off x="12877800" y="781050"/>
          <a:ext cx="1457325" cy="6286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GEI 3C7 </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13</xdr:col>
      <xdr:colOff>542925</xdr:colOff>
      <xdr:row>3</xdr:row>
      <xdr:rowOff>38100</xdr:rowOff>
    </xdr:from>
    <xdr:to>
      <xdr:col>16</xdr:col>
      <xdr:colOff>180975</xdr:colOff>
      <xdr:row>6</xdr:row>
      <xdr:rowOff>9525</xdr:rowOff>
    </xdr:to>
    <xdr:sp macro="" textlink="">
      <xdr:nvSpPr>
        <xdr:cNvPr id="3" name="CustomShape 1">
          <a:hlinkClick r:id="rId1"/>
        </xdr:cNvPr>
        <xdr:cNvSpPr/>
      </xdr:nvSpPr>
      <xdr:spPr>
        <a:xfrm>
          <a:off x="14135100" y="666750"/>
          <a:ext cx="1809750" cy="762000"/>
        </a:xfrm>
        <a:custGeom>
          <a:avLst/>
          <a:gdLst>
            <a:gd name="connsiteX0" fmla="*/ 0 w 1605199"/>
            <a:gd name="connsiteY0" fmla="*/ 205382 h 821527"/>
            <a:gd name="connsiteX1" fmla="*/ 1194436 w 1605199"/>
            <a:gd name="connsiteY1" fmla="*/ 205382 h 821527"/>
            <a:gd name="connsiteX2" fmla="*/ 1194436 w 1605199"/>
            <a:gd name="connsiteY2" fmla="*/ 0 h 821527"/>
            <a:gd name="connsiteX3" fmla="*/ 1605199 w 1605199"/>
            <a:gd name="connsiteY3" fmla="*/ 410764 h 821527"/>
            <a:gd name="connsiteX4" fmla="*/ 1194436 w 1605199"/>
            <a:gd name="connsiteY4" fmla="*/ 821527 h 821527"/>
            <a:gd name="connsiteX5" fmla="*/ 1194436 w 1605199"/>
            <a:gd name="connsiteY5" fmla="*/ 616145 h 821527"/>
            <a:gd name="connsiteX6" fmla="*/ 0 w 1605199"/>
            <a:gd name="connsiteY6" fmla="*/ 616145 h 821527"/>
            <a:gd name="connsiteX7" fmla="*/ 205382 w 1605199"/>
            <a:gd name="connsiteY7" fmla="*/ 410764 h 821527"/>
            <a:gd name="connsiteX8" fmla="*/ 0 w 1605199"/>
            <a:gd name="connsiteY8" fmla="*/ 205382 h 821527"/>
            <a:gd name="connsiteX0" fmla="*/ 0 w 1605199"/>
            <a:gd name="connsiteY0" fmla="*/ 0 h 616145"/>
            <a:gd name="connsiteX1" fmla="*/ 1194436 w 1605199"/>
            <a:gd name="connsiteY1" fmla="*/ 0 h 616145"/>
            <a:gd name="connsiteX2" fmla="*/ 1605199 w 1605199"/>
            <a:gd name="connsiteY2" fmla="*/ 205382 h 616145"/>
            <a:gd name="connsiteX3" fmla="*/ 1194436 w 1605199"/>
            <a:gd name="connsiteY3" fmla="*/ 616145 h 616145"/>
            <a:gd name="connsiteX4" fmla="*/ 1194436 w 1605199"/>
            <a:gd name="connsiteY4" fmla="*/ 410763 h 616145"/>
            <a:gd name="connsiteX5" fmla="*/ 0 w 1605199"/>
            <a:gd name="connsiteY5" fmla="*/ 410763 h 616145"/>
            <a:gd name="connsiteX6" fmla="*/ 205382 w 1605199"/>
            <a:gd name="connsiteY6" fmla="*/ 205382 h 616145"/>
            <a:gd name="connsiteX7" fmla="*/ 0 w 1605199"/>
            <a:gd name="connsiteY7" fmla="*/ 0 h 616145"/>
            <a:gd name="connsiteX0" fmla="*/ 0 w 1194436"/>
            <a:gd name="connsiteY0" fmla="*/ 0 h 616145"/>
            <a:gd name="connsiteX1" fmla="*/ 1194436 w 1194436"/>
            <a:gd name="connsiteY1" fmla="*/ 0 h 616145"/>
            <a:gd name="connsiteX2" fmla="*/ 1194436 w 1194436"/>
            <a:gd name="connsiteY2" fmla="*/ 616145 h 616145"/>
            <a:gd name="connsiteX3" fmla="*/ 1194436 w 1194436"/>
            <a:gd name="connsiteY3" fmla="*/ 410763 h 616145"/>
            <a:gd name="connsiteX4" fmla="*/ 0 w 1194436"/>
            <a:gd name="connsiteY4" fmla="*/ 410763 h 616145"/>
            <a:gd name="connsiteX5" fmla="*/ 205382 w 1194436"/>
            <a:gd name="connsiteY5" fmla="*/ 205382 h 616145"/>
            <a:gd name="connsiteX6" fmla="*/ 0 w 1194436"/>
            <a:gd name="connsiteY6" fmla="*/ 0 h 616145"/>
            <a:gd name="connsiteX0" fmla="*/ 0 w 1194436"/>
            <a:gd name="connsiteY0" fmla="*/ 0 h 410763"/>
            <a:gd name="connsiteX1" fmla="*/ 1194436 w 1194436"/>
            <a:gd name="connsiteY1" fmla="*/ 0 h 410763"/>
            <a:gd name="connsiteX2" fmla="*/ 1194436 w 1194436"/>
            <a:gd name="connsiteY2" fmla="*/ 410763 h 410763"/>
            <a:gd name="connsiteX3" fmla="*/ 0 w 1194436"/>
            <a:gd name="connsiteY3" fmla="*/ 410763 h 410763"/>
            <a:gd name="connsiteX4" fmla="*/ 205382 w 1194436"/>
            <a:gd name="connsiteY4" fmla="*/ 205382 h 410763"/>
            <a:gd name="connsiteX5" fmla="*/ 0 w 1194436"/>
            <a:gd name="connsiteY5" fmla="*/ 0 h 4107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h="410763" w="1194436">
              <a:moveTo>
                <a:pt x="0" y="0"/>
              </a:moveTo>
              <a:lnTo>
                <a:pt x="1194436" y="0"/>
              </a:lnTo>
              <a:lnTo>
                <a:pt x="1194436" y="410763"/>
              </a:lnTo>
              <a:lnTo>
                <a:pt x="0" y="410763"/>
              </a:lnTo>
              <a:lnTo>
                <a:pt x="205382" y="205382"/>
              </a:lnTo>
              <a:lnTo>
                <a:pt x="0" y="0"/>
              </a:lnTo>
              <a:close/>
            </a:path>
          </a:pathLst>
        </a:cu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295275</xdr:colOff>
      <xdr:row>45</xdr:row>
      <xdr:rowOff>9525</xdr:rowOff>
    </xdr:from>
    <xdr:ext cx="5419725" cy="3009900"/>
    <xdr:graphicFrame macro="">
      <xdr:nvGraphicFramePr>
        <xdr:cNvPr id="2" name="Gráfico 1"/>
        <xdr:cNvGraphicFramePr/>
      </xdr:nvGraphicFramePr>
      <xdr:xfrm>
        <a:off x="295275" y="8877300"/>
        <a:ext cx="5419725" cy="3009900"/>
      </xdr:xfrm>
      <a:graphic>
        <a:graphicData uri="http://schemas.openxmlformats.org/drawingml/2006/chart">
          <c:chart xmlns:c="http://schemas.openxmlformats.org/drawingml/2006/chart" r:id="rId1"/>
        </a:graphicData>
      </a:graphic>
    </xdr:graphicFrame>
    <xdr:clientData/>
  </xdr:oneCellAnchor>
  <xdr:twoCellAnchor>
    <xdr:from>
      <xdr:col>1</xdr:col>
      <xdr:colOff>0</xdr:colOff>
      <xdr:row>64</xdr:row>
      <xdr:rowOff>0</xdr:rowOff>
    </xdr:from>
    <xdr:to>
      <xdr:col>7</xdr:col>
      <xdr:colOff>581025</xdr:colOff>
      <xdr:row>82</xdr:row>
      <xdr:rowOff>66675</xdr:rowOff>
    </xdr:to>
    <xdr:graphicFrame macro="">
      <xdr:nvGraphicFramePr>
        <xdr:cNvPr id="4" name="Gráfico 3"/>
        <xdr:cNvGraphicFramePr/>
      </xdr:nvGraphicFramePr>
      <xdr:xfrm>
        <a:off x="314325" y="12001500"/>
        <a:ext cx="5410200" cy="3495675"/>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63</xdr:row>
      <xdr:rowOff>152400</xdr:rowOff>
    </xdr:from>
    <xdr:to>
      <xdr:col>14</xdr:col>
      <xdr:colOff>161925</xdr:colOff>
      <xdr:row>82</xdr:row>
      <xdr:rowOff>57150</xdr:rowOff>
    </xdr:to>
    <xdr:graphicFrame macro="">
      <xdr:nvGraphicFramePr>
        <xdr:cNvPr id="5" name="Gráfico 4"/>
        <xdr:cNvGraphicFramePr/>
      </xdr:nvGraphicFramePr>
      <xdr:xfrm>
        <a:off x="5819775" y="11963400"/>
        <a:ext cx="5324475" cy="35242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144</xdr:row>
      <xdr:rowOff>0</xdr:rowOff>
    </xdr:from>
    <xdr:to>
      <xdr:col>7</xdr:col>
      <xdr:colOff>581025</xdr:colOff>
      <xdr:row>162</xdr:row>
      <xdr:rowOff>66675</xdr:rowOff>
    </xdr:to>
    <xdr:graphicFrame macro="">
      <xdr:nvGraphicFramePr>
        <xdr:cNvPr id="14" name="Gráfico 13"/>
        <xdr:cNvGraphicFramePr/>
      </xdr:nvGraphicFramePr>
      <xdr:xfrm>
        <a:off x="314325" y="27241500"/>
        <a:ext cx="5410200" cy="3495675"/>
      </xdr:xfrm>
      <a:graphic>
        <a:graphicData uri="http://schemas.openxmlformats.org/drawingml/2006/chart">
          <c:chart xmlns:c="http://schemas.openxmlformats.org/drawingml/2006/chart" r:id="rId4"/>
        </a:graphicData>
      </a:graphic>
    </xdr:graphicFrame>
    <xdr:clientData/>
  </xdr:twoCellAnchor>
  <xdr:twoCellAnchor>
    <xdr:from>
      <xdr:col>7</xdr:col>
      <xdr:colOff>676275</xdr:colOff>
      <xdr:row>123</xdr:row>
      <xdr:rowOff>152400</xdr:rowOff>
    </xdr:from>
    <xdr:to>
      <xdr:col>14</xdr:col>
      <xdr:colOff>161925</xdr:colOff>
      <xdr:row>142</xdr:row>
      <xdr:rowOff>57150</xdr:rowOff>
    </xdr:to>
    <xdr:graphicFrame macro="">
      <xdr:nvGraphicFramePr>
        <xdr:cNvPr id="15" name="Gráfico 14"/>
        <xdr:cNvGraphicFramePr/>
      </xdr:nvGraphicFramePr>
      <xdr:xfrm>
        <a:off x="5819775" y="23393400"/>
        <a:ext cx="5324475" cy="35242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124</xdr:row>
      <xdr:rowOff>0</xdr:rowOff>
    </xdr:from>
    <xdr:to>
      <xdr:col>7</xdr:col>
      <xdr:colOff>581025</xdr:colOff>
      <xdr:row>142</xdr:row>
      <xdr:rowOff>66675</xdr:rowOff>
    </xdr:to>
    <xdr:graphicFrame macro="">
      <xdr:nvGraphicFramePr>
        <xdr:cNvPr id="16" name="Gráfico 15"/>
        <xdr:cNvGraphicFramePr/>
      </xdr:nvGraphicFramePr>
      <xdr:xfrm>
        <a:off x="314325" y="23431500"/>
        <a:ext cx="5410200" cy="3495675"/>
      </xdr:xfrm>
      <a:graphic>
        <a:graphicData uri="http://schemas.openxmlformats.org/drawingml/2006/chart">
          <c:chart xmlns:c="http://schemas.openxmlformats.org/drawingml/2006/chart" r:id="rId6"/>
        </a:graphicData>
      </a:graphic>
    </xdr:graphicFrame>
    <xdr:clientData/>
  </xdr:twoCellAnchor>
  <xdr:twoCellAnchor>
    <xdr:from>
      <xdr:col>7</xdr:col>
      <xdr:colOff>676275</xdr:colOff>
      <xdr:row>103</xdr:row>
      <xdr:rowOff>152400</xdr:rowOff>
    </xdr:from>
    <xdr:to>
      <xdr:col>14</xdr:col>
      <xdr:colOff>161925</xdr:colOff>
      <xdr:row>122</xdr:row>
      <xdr:rowOff>57150</xdr:rowOff>
    </xdr:to>
    <xdr:graphicFrame macro="">
      <xdr:nvGraphicFramePr>
        <xdr:cNvPr id="17" name="Gráfico 16"/>
        <xdr:cNvGraphicFramePr/>
      </xdr:nvGraphicFramePr>
      <xdr:xfrm>
        <a:off x="5819775" y="19583400"/>
        <a:ext cx="5324475" cy="3524250"/>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104</xdr:row>
      <xdr:rowOff>0</xdr:rowOff>
    </xdr:from>
    <xdr:to>
      <xdr:col>7</xdr:col>
      <xdr:colOff>581025</xdr:colOff>
      <xdr:row>122</xdr:row>
      <xdr:rowOff>66675</xdr:rowOff>
    </xdr:to>
    <xdr:graphicFrame macro="">
      <xdr:nvGraphicFramePr>
        <xdr:cNvPr id="18" name="Gráfico 17"/>
        <xdr:cNvGraphicFramePr/>
      </xdr:nvGraphicFramePr>
      <xdr:xfrm>
        <a:off x="314325" y="19621500"/>
        <a:ext cx="5410200" cy="3495675"/>
      </xdr:xfrm>
      <a:graphic>
        <a:graphicData uri="http://schemas.openxmlformats.org/drawingml/2006/chart">
          <c:chart xmlns:c="http://schemas.openxmlformats.org/drawingml/2006/chart" r:id="rId8"/>
        </a:graphicData>
      </a:graphic>
    </xdr:graphicFrame>
    <xdr:clientData/>
  </xdr:twoCellAnchor>
  <xdr:twoCellAnchor>
    <xdr:from>
      <xdr:col>7</xdr:col>
      <xdr:colOff>676275</xdr:colOff>
      <xdr:row>83</xdr:row>
      <xdr:rowOff>152400</xdr:rowOff>
    </xdr:from>
    <xdr:to>
      <xdr:col>14</xdr:col>
      <xdr:colOff>161925</xdr:colOff>
      <xdr:row>102</xdr:row>
      <xdr:rowOff>57150</xdr:rowOff>
    </xdr:to>
    <xdr:graphicFrame macro="">
      <xdr:nvGraphicFramePr>
        <xdr:cNvPr id="19" name="Gráfico 18"/>
        <xdr:cNvGraphicFramePr/>
      </xdr:nvGraphicFramePr>
      <xdr:xfrm>
        <a:off x="5819775" y="15773400"/>
        <a:ext cx="5324475" cy="352425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84</xdr:row>
      <xdr:rowOff>0</xdr:rowOff>
    </xdr:from>
    <xdr:to>
      <xdr:col>7</xdr:col>
      <xdr:colOff>581025</xdr:colOff>
      <xdr:row>102</xdr:row>
      <xdr:rowOff>66675</xdr:rowOff>
    </xdr:to>
    <xdr:graphicFrame macro="">
      <xdr:nvGraphicFramePr>
        <xdr:cNvPr id="20" name="Gráfico 19"/>
        <xdr:cNvGraphicFramePr/>
      </xdr:nvGraphicFramePr>
      <xdr:xfrm>
        <a:off x="314325" y="15811500"/>
        <a:ext cx="5410200" cy="3495675"/>
      </xdr:xfrm>
      <a:graphic>
        <a:graphicData uri="http://schemas.openxmlformats.org/drawingml/2006/chart">
          <c:chart xmlns:c="http://schemas.openxmlformats.org/drawingml/2006/chart" r:id="rId10"/>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66675</xdr:colOff>
      <xdr:row>2</xdr:row>
      <xdr:rowOff>85725</xdr:rowOff>
    </xdr:from>
    <xdr:ext cx="1800225" cy="590550"/>
    <xdr:sp macro="" textlink="">
      <xdr:nvSpPr>
        <xdr:cNvPr id="2" name="CustomShape 1"/>
        <xdr:cNvSpPr/>
      </xdr:nvSpPr>
      <xdr:spPr>
        <a:xfrm>
          <a:off x="8991600" y="419100"/>
          <a:ext cx="1800225" cy="590550"/>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IB 3C1</a:t>
          </a:r>
          <a:endParaRPr lang="es-PE" sz="1050" b="0" strike="noStrike" spc="-1">
            <a:solidFill>
              <a:srgbClr val="000000"/>
            </a:solidFill>
            <a:uFill>
              <a:solidFill>
                <a:srgbClr val="FFFFFF"/>
              </a:solidFill>
            </a:uFill>
            <a:latin typeface="Times New Roman"/>
          </a:endParaRPr>
        </a:p>
      </xdr:txBody>
    </xdr:sp>
    <xdr:clientData/>
  </xdr:oneCellAnchor>
  <xdr:oneCellAnchor>
    <xdr:from>
      <xdr:col>13</xdr:col>
      <xdr:colOff>123825</xdr:colOff>
      <xdr:row>2</xdr:row>
      <xdr:rowOff>104775</xdr:rowOff>
    </xdr:from>
    <xdr:ext cx="1800225" cy="571500"/>
    <xdr:sp macro="" textlink="">
      <xdr:nvSpPr>
        <xdr:cNvPr id="3" name="CustomShape 1">
          <a:hlinkClick r:id="rId1"/>
        </xdr:cNvPr>
        <xdr:cNvSpPr/>
      </xdr:nvSpPr>
      <xdr:spPr>
        <a:xfrm>
          <a:off x="10572750" y="438150"/>
          <a:ext cx="1800225" cy="571500"/>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solidFill>
                <a:schemeClr val="bg1"/>
              </a:solidFill>
              <a:effectLst/>
              <a:latin typeface="+mn-lt"/>
              <a:ea typeface="+mn-ea"/>
              <a:cs typeface="+mn-cs"/>
            </a:rPr>
            <a:t>IP 3C1</a:t>
          </a:r>
          <a:r>
            <a:rPr lang="es-PE" sz="1000" b="0" baseline="0">
              <a:solidFill>
                <a:schemeClr val="bg1"/>
              </a:solidFill>
              <a:effectLst/>
              <a:latin typeface="+mn-lt"/>
              <a:ea typeface="+mn-ea"/>
              <a:cs typeface="+mn-cs"/>
            </a:rPr>
            <a:t> </a:t>
          </a:r>
          <a:endParaRPr lang="en-US" sz="1000">
            <a:solidFill>
              <a:schemeClr val="bg1"/>
            </a:solidFill>
            <a:effectLst/>
          </a:endParaRP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5</xdr:row>
      <xdr:rowOff>19050</xdr:rowOff>
    </xdr:from>
    <xdr:to>
      <xdr:col>20</xdr:col>
      <xdr:colOff>161925</xdr:colOff>
      <xdr:row>19</xdr:row>
      <xdr:rowOff>76200</xdr:rowOff>
    </xdr:to>
    <xdr:graphicFrame macro="">
      <xdr:nvGraphicFramePr>
        <xdr:cNvPr id="2" name="Gráfico 1"/>
        <xdr:cNvGraphicFramePr/>
      </xdr:nvGraphicFramePr>
      <xdr:xfrm>
        <a:off x="13125450" y="962025"/>
        <a:ext cx="5353050" cy="28194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45</xdr:row>
      <xdr:rowOff>0</xdr:rowOff>
    </xdr:from>
    <xdr:to>
      <xdr:col>4</xdr:col>
      <xdr:colOff>200025</xdr:colOff>
      <xdr:row>61</xdr:row>
      <xdr:rowOff>9525</xdr:rowOff>
    </xdr:to>
    <xdr:graphicFrame macro="">
      <xdr:nvGraphicFramePr>
        <xdr:cNvPr id="4" name="Gráfico 3"/>
        <xdr:cNvGraphicFramePr/>
      </xdr:nvGraphicFramePr>
      <xdr:xfrm>
        <a:off x="428625" y="8667750"/>
        <a:ext cx="4953000" cy="2600325"/>
      </xdr:xfrm>
      <a:graphic>
        <a:graphicData uri="http://schemas.openxmlformats.org/drawingml/2006/chart">
          <c:chart xmlns:c="http://schemas.openxmlformats.org/drawingml/2006/chart" r:id="rId2"/>
        </a:graphicData>
      </a:graphic>
    </xdr:graphicFrame>
    <xdr:clientData/>
  </xdr:twoCellAnchor>
  <xdr:twoCellAnchor>
    <xdr:from>
      <xdr:col>4</xdr:col>
      <xdr:colOff>361950</xdr:colOff>
      <xdr:row>45</xdr:row>
      <xdr:rowOff>9525</xdr:rowOff>
    </xdr:from>
    <xdr:to>
      <xdr:col>11</xdr:col>
      <xdr:colOff>771525</xdr:colOff>
      <xdr:row>61</xdr:row>
      <xdr:rowOff>19050</xdr:rowOff>
    </xdr:to>
    <xdr:graphicFrame macro="">
      <xdr:nvGraphicFramePr>
        <xdr:cNvPr id="7" name="Gráfico 6"/>
        <xdr:cNvGraphicFramePr/>
      </xdr:nvGraphicFramePr>
      <xdr:xfrm>
        <a:off x="5543550" y="8677275"/>
        <a:ext cx="5276850" cy="2600325"/>
      </xdr:xfrm>
      <a:graphic>
        <a:graphicData uri="http://schemas.openxmlformats.org/drawingml/2006/chart">
          <c:chart xmlns:c="http://schemas.openxmlformats.org/drawingml/2006/chart" r:id="rId3"/>
        </a:graphicData>
      </a:graphic>
    </xdr:graphicFrame>
    <xdr:clientData/>
  </xdr:twoCellAnchor>
  <xdr:twoCellAnchor>
    <xdr:from>
      <xdr:col>0</xdr:col>
      <xdr:colOff>428625</xdr:colOff>
      <xdr:row>62</xdr:row>
      <xdr:rowOff>0</xdr:rowOff>
    </xdr:from>
    <xdr:to>
      <xdr:col>4</xdr:col>
      <xdr:colOff>400050</xdr:colOff>
      <xdr:row>78</xdr:row>
      <xdr:rowOff>9525</xdr:rowOff>
    </xdr:to>
    <xdr:graphicFrame macro="">
      <xdr:nvGraphicFramePr>
        <xdr:cNvPr id="8" name="Gráfico 7"/>
        <xdr:cNvGraphicFramePr/>
      </xdr:nvGraphicFramePr>
      <xdr:xfrm>
        <a:off x="428625" y="11420475"/>
        <a:ext cx="5153025" cy="2600325"/>
      </xdr:xfrm>
      <a:graphic>
        <a:graphicData uri="http://schemas.openxmlformats.org/drawingml/2006/chart">
          <c:chart xmlns:c="http://schemas.openxmlformats.org/drawingml/2006/chart" r:id="rId4"/>
        </a:graphicData>
      </a:graphic>
    </xdr:graphicFrame>
    <xdr:clientData/>
  </xdr:twoCellAnchor>
  <xdr:twoCellAnchor>
    <xdr:from>
      <xdr:col>4</xdr:col>
      <xdr:colOff>361950</xdr:colOff>
      <xdr:row>62</xdr:row>
      <xdr:rowOff>9525</xdr:rowOff>
    </xdr:from>
    <xdr:to>
      <xdr:col>11</xdr:col>
      <xdr:colOff>771525</xdr:colOff>
      <xdr:row>78</xdr:row>
      <xdr:rowOff>19050</xdr:rowOff>
    </xdr:to>
    <xdr:graphicFrame macro="">
      <xdr:nvGraphicFramePr>
        <xdr:cNvPr id="9" name="Gráfico 8"/>
        <xdr:cNvGraphicFramePr/>
      </xdr:nvGraphicFramePr>
      <xdr:xfrm>
        <a:off x="5543550" y="11430000"/>
        <a:ext cx="5276850" cy="26003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79</xdr:row>
      <xdr:rowOff>0</xdr:rowOff>
    </xdr:from>
    <xdr:to>
      <xdr:col>4</xdr:col>
      <xdr:colOff>200025</xdr:colOff>
      <xdr:row>94</xdr:row>
      <xdr:rowOff>190500</xdr:rowOff>
    </xdr:to>
    <xdr:graphicFrame macro="">
      <xdr:nvGraphicFramePr>
        <xdr:cNvPr id="10" name="Gráfico 9"/>
        <xdr:cNvGraphicFramePr/>
      </xdr:nvGraphicFramePr>
      <xdr:xfrm>
        <a:off x="428625" y="14173200"/>
        <a:ext cx="4953000" cy="2657475"/>
      </xdr:xfrm>
      <a:graphic>
        <a:graphicData uri="http://schemas.openxmlformats.org/drawingml/2006/chart">
          <c:chart xmlns:c="http://schemas.openxmlformats.org/drawingml/2006/chart" r:id="rId6"/>
        </a:graphicData>
      </a:graphic>
    </xdr:graphicFrame>
    <xdr:clientData/>
  </xdr:twoCellAnchor>
  <xdr:twoCellAnchor>
    <xdr:from>
      <xdr:col>4</xdr:col>
      <xdr:colOff>361950</xdr:colOff>
      <xdr:row>79</xdr:row>
      <xdr:rowOff>9525</xdr:rowOff>
    </xdr:from>
    <xdr:to>
      <xdr:col>11</xdr:col>
      <xdr:colOff>771525</xdr:colOff>
      <xdr:row>95</xdr:row>
      <xdr:rowOff>0</xdr:rowOff>
    </xdr:to>
    <xdr:graphicFrame macro="">
      <xdr:nvGraphicFramePr>
        <xdr:cNvPr id="11" name="Gráfico 10"/>
        <xdr:cNvGraphicFramePr/>
      </xdr:nvGraphicFramePr>
      <xdr:xfrm>
        <a:off x="5543550" y="14182725"/>
        <a:ext cx="5276850" cy="265747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96</xdr:row>
      <xdr:rowOff>0</xdr:rowOff>
    </xdr:from>
    <xdr:to>
      <xdr:col>4</xdr:col>
      <xdr:colOff>200025</xdr:colOff>
      <xdr:row>111</xdr:row>
      <xdr:rowOff>133350</xdr:rowOff>
    </xdr:to>
    <xdr:graphicFrame macro="">
      <xdr:nvGraphicFramePr>
        <xdr:cNvPr id="12" name="Gráfico 11"/>
        <xdr:cNvGraphicFramePr/>
      </xdr:nvGraphicFramePr>
      <xdr:xfrm>
        <a:off x="428625" y="17040225"/>
        <a:ext cx="4953000" cy="3048000"/>
      </xdr:xfrm>
      <a:graphic>
        <a:graphicData uri="http://schemas.openxmlformats.org/drawingml/2006/chart">
          <c:chart xmlns:c="http://schemas.openxmlformats.org/drawingml/2006/chart" r:id="rId8"/>
        </a:graphicData>
      </a:graphic>
    </xdr:graphicFrame>
    <xdr:clientData/>
  </xdr:twoCellAnchor>
  <xdr:twoCellAnchor>
    <xdr:from>
      <xdr:col>4</xdr:col>
      <xdr:colOff>361950</xdr:colOff>
      <xdr:row>96</xdr:row>
      <xdr:rowOff>9525</xdr:rowOff>
    </xdr:from>
    <xdr:to>
      <xdr:col>11</xdr:col>
      <xdr:colOff>771525</xdr:colOff>
      <xdr:row>111</xdr:row>
      <xdr:rowOff>142875</xdr:rowOff>
    </xdr:to>
    <xdr:graphicFrame macro="">
      <xdr:nvGraphicFramePr>
        <xdr:cNvPr id="13" name="Gráfico 12"/>
        <xdr:cNvGraphicFramePr/>
      </xdr:nvGraphicFramePr>
      <xdr:xfrm>
        <a:off x="5543550" y="17049750"/>
        <a:ext cx="5276850" cy="3048000"/>
      </xdr:xfrm>
      <a:graphic>
        <a:graphicData uri="http://schemas.openxmlformats.org/drawingml/2006/chart">
          <c:chart xmlns:c="http://schemas.openxmlformats.org/drawingml/2006/chart" r:id="rId9"/>
        </a:graphicData>
      </a:graphic>
    </xdr:graphicFrame>
    <xdr:clientData/>
  </xdr:twoCellAnchor>
  <xdr:twoCellAnchor>
    <xdr:from>
      <xdr:col>15</xdr:col>
      <xdr:colOff>123825</xdr:colOff>
      <xdr:row>20</xdr:row>
      <xdr:rowOff>76200</xdr:rowOff>
    </xdr:from>
    <xdr:to>
      <xdr:col>23</xdr:col>
      <xdr:colOff>381000</xdr:colOff>
      <xdr:row>48</xdr:row>
      <xdr:rowOff>114300</xdr:rowOff>
    </xdr:to>
    <xdr:graphicFrame macro="">
      <xdr:nvGraphicFramePr>
        <xdr:cNvPr id="3" name="Gráfico 2"/>
        <xdr:cNvGraphicFramePr/>
      </xdr:nvGraphicFramePr>
      <xdr:xfrm>
        <a:off x="13201650" y="3971925"/>
        <a:ext cx="8639175" cy="5295900"/>
      </xdr:xfrm>
      <a:graphic>
        <a:graphicData uri="http://schemas.openxmlformats.org/drawingml/2006/chart">
          <c:chart xmlns:c="http://schemas.openxmlformats.org/drawingml/2006/chart" r:id="rId10"/>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47625</xdr:colOff>
      <xdr:row>2</xdr:row>
      <xdr:rowOff>114300</xdr:rowOff>
    </xdr:from>
    <xdr:ext cx="1809750" cy="685800"/>
    <xdr:sp macro="" textlink="">
      <xdr:nvSpPr>
        <xdr:cNvPr id="2" name="CustomShape 1"/>
        <xdr:cNvSpPr/>
      </xdr:nvSpPr>
      <xdr:spPr>
        <a:xfrm>
          <a:off x="8067675" y="523875"/>
          <a:ext cx="1809750" cy="685800"/>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IB 3C2</a:t>
          </a:r>
          <a:r>
            <a:rPr lang="es-PE" sz="1000" b="0" strike="noStrike" spc="-1" baseline="0">
              <a:solidFill>
                <a:srgbClr val="000000"/>
              </a:solidFill>
              <a:uFill>
                <a:solidFill>
                  <a:srgbClr val="FFFFFF"/>
                </a:solidFill>
              </a:uFill>
              <a:latin typeface="Calibri"/>
              <a:ea typeface="Calibri"/>
            </a:rPr>
            <a:t> </a:t>
          </a:r>
          <a:endParaRPr lang="es-PE" sz="1050" b="0" strike="noStrike" spc="-1">
            <a:solidFill>
              <a:srgbClr val="000000"/>
            </a:solidFill>
            <a:uFill>
              <a:solidFill>
                <a:srgbClr val="FFFFFF"/>
              </a:solidFill>
            </a:uFill>
            <a:latin typeface="Times New Roman"/>
          </a:endParaRPr>
        </a:p>
      </xdr:txBody>
    </xdr:sp>
    <xdr:clientData/>
  </xdr:oneCellAnchor>
  <xdr:oneCellAnchor>
    <xdr:from>
      <xdr:col>13</xdr:col>
      <xdr:colOff>190500</xdr:colOff>
      <xdr:row>2</xdr:row>
      <xdr:rowOff>104775</xdr:rowOff>
    </xdr:from>
    <xdr:ext cx="1828800" cy="676275"/>
    <xdr:sp macro="" textlink="">
      <xdr:nvSpPr>
        <xdr:cNvPr id="3" name="CustomShape 1">
          <a:hlinkClick r:id="rId1"/>
        </xdr:cNvPr>
        <xdr:cNvSpPr/>
      </xdr:nvSpPr>
      <xdr:spPr>
        <a:xfrm>
          <a:off x="9658350" y="514350"/>
          <a:ext cx="1828800" cy="676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solidFill>
                <a:schemeClr val="bg1"/>
              </a:solidFill>
              <a:effectLst/>
              <a:latin typeface="+mn-lt"/>
              <a:ea typeface="+mn-ea"/>
              <a:cs typeface="+mn-cs"/>
            </a:rPr>
            <a:t>IP 3C2</a:t>
          </a:r>
          <a:r>
            <a:rPr lang="es-PE" sz="1000" b="0" baseline="0">
              <a:solidFill>
                <a:schemeClr val="bg1"/>
              </a:solidFill>
              <a:effectLst/>
              <a:latin typeface="+mn-lt"/>
              <a:ea typeface="+mn-ea"/>
              <a:cs typeface="+mn-cs"/>
            </a:rPr>
            <a:t> </a:t>
          </a:r>
          <a:endParaRPr lang="en-US" sz="1000">
            <a:solidFill>
              <a:schemeClr val="bg1"/>
            </a:solidFill>
            <a:effectLst/>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3</xdr:row>
      <xdr:rowOff>19050</xdr:rowOff>
    </xdr:from>
    <xdr:ext cx="1800225" cy="523875"/>
    <xdr:sp macro="" textlink="">
      <xdr:nvSpPr>
        <xdr:cNvPr id="2" name="CustomShape 1"/>
        <xdr:cNvSpPr/>
      </xdr:nvSpPr>
      <xdr:spPr>
        <a:xfrm>
          <a:off x="8658225" y="628650"/>
          <a:ext cx="1800225" cy="523875"/>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IB 3C3</a:t>
          </a:r>
          <a:r>
            <a:rPr lang="es-PE" sz="1000" b="0" strike="noStrike" spc="-1" baseline="0">
              <a:solidFill>
                <a:srgbClr val="000000"/>
              </a:solidFill>
              <a:uFill>
                <a:solidFill>
                  <a:srgbClr val="FFFFFF"/>
                </a:solidFill>
              </a:uFill>
              <a:latin typeface="Calibri"/>
              <a:ea typeface="Calibri"/>
            </a:rPr>
            <a:t> </a:t>
          </a:r>
          <a:endParaRPr lang="es-PE" sz="1050" b="0" strike="noStrike" spc="-1">
            <a:solidFill>
              <a:srgbClr val="000000"/>
            </a:solidFill>
            <a:uFill>
              <a:solidFill>
                <a:srgbClr val="FFFFFF"/>
              </a:solidFill>
            </a:uFill>
            <a:latin typeface="Times New Roman"/>
          </a:endParaRPr>
        </a:p>
      </xdr:txBody>
    </xdr:sp>
    <xdr:clientData/>
  </xdr:oneCellAnchor>
  <xdr:oneCellAnchor>
    <xdr:from>
      <xdr:col>13</xdr:col>
      <xdr:colOff>238125</xdr:colOff>
      <xdr:row>3</xdr:row>
      <xdr:rowOff>9525</xdr:rowOff>
    </xdr:from>
    <xdr:ext cx="1809750" cy="523875"/>
    <xdr:sp macro="" textlink="">
      <xdr:nvSpPr>
        <xdr:cNvPr id="3" name="CustomShape 1">
          <a:hlinkClick r:id="rId1"/>
        </xdr:cNvPr>
        <xdr:cNvSpPr/>
      </xdr:nvSpPr>
      <xdr:spPr>
        <a:xfrm>
          <a:off x="10229850" y="619125"/>
          <a:ext cx="1809750" cy="5238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solidFill>
                <a:schemeClr val="bg1"/>
              </a:solidFill>
              <a:effectLst/>
              <a:latin typeface="+mn-lt"/>
              <a:ea typeface="+mn-ea"/>
              <a:cs typeface="+mn-cs"/>
            </a:rPr>
            <a:t>IP 3C3</a:t>
          </a:r>
          <a:endParaRPr lang="en-US" sz="1000">
            <a:solidFill>
              <a:schemeClr val="bg1"/>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38100</xdr:colOff>
      <xdr:row>2</xdr:row>
      <xdr:rowOff>152400</xdr:rowOff>
    </xdr:from>
    <xdr:ext cx="1800225" cy="581025"/>
    <xdr:sp macro="" textlink="">
      <xdr:nvSpPr>
        <xdr:cNvPr id="26" name="CustomShape 1"/>
        <xdr:cNvSpPr/>
      </xdr:nvSpPr>
      <xdr:spPr>
        <a:xfrm>
          <a:off x="9534525" y="495300"/>
          <a:ext cx="1800225" cy="581025"/>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IB 3C4_3C5</a:t>
          </a:r>
          <a:r>
            <a:rPr lang="es-PE" sz="1000" b="0" strike="noStrike" spc="-1" baseline="0">
              <a:solidFill>
                <a:srgbClr val="000000"/>
              </a:solidFill>
              <a:uFill>
                <a:solidFill>
                  <a:srgbClr val="FFFFFF"/>
                </a:solidFill>
              </a:uFill>
              <a:latin typeface="Calibri"/>
              <a:ea typeface="Calibri"/>
            </a:rPr>
            <a:t> </a:t>
          </a:r>
          <a:endParaRPr lang="es-PE" sz="1050" b="0" strike="noStrike" spc="-1">
            <a:solidFill>
              <a:srgbClr val="000000"/>
            </a:solidFill>
            <a:uFill>
              <a:solidFill>
                <a:srgbClr val="FFFFFF"/>
              </a:solidFill>
            </a:uFill>
            <a:latin typeface="Times New Roman"/>
          </a:endParaRPr>
        </a:p>
      </xdr:txBody>
    </xdr:sp>
    <xdr:clientData/>
  </xdr:oneCellAnchor>
  <xdr:oneCellAnchor>
    <xdr:from>
      <xdr:col>13</xdr:col>
      <xdr:colOff>57150</xdr:colOff>
      <xdr:row>2</xdr:row>
      <xdr:rowOff>161925</xdr:rowOff>
    </xdr:from>
    <xdr:ext cx="1800225" cy="571500"/>
    <xdr:sp macro="" textlink="">
      <xdr:nvSpPr>
        <xdr:cNvPr id="27" name="CustomShape 1">
          <a:hlinkClick r:id="rId1"/>
        </xdr:cNvPr>
        <xdr:cNvSpPr/>
      </xdr:nvSpPr>
      <xdr:spPr>
        <a:xfrm>
          <a:off x="11096625" y="504825"/>
          <a:ext cx="1800225" cy="571500"/>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solidFill>
                <a:schemeClr val="bg1"/>
              </a:solidFill>
              <a:effectLst/>
              <a:latin typeface="+mn-lt"/>
              <a:ea typeface="+mn-ea"/>
              <a:cs typeface="+mn-cs"/>
            </a:rPr>
            <a:t>IP 3C4_3C5</a:t>
          </a:r>
          <a:endParaRPr lang="en-US" sz="1000">
            <a:solidFill>
              <a:schemeClr val="bg1"/>
            </a:solidFill>
            <a:effectLst/>
          </a:endParaRP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xdr:colOff>
      <xdr:row>3</xdr:row>
      <xdr:rowOff>28575</xdr:rowOff>
    </xdr:from>
    <xdr:ext cx="1800225" cy="571500"/>
    <xdr:sp macro="" textlink="">
      <xdr:nvSpPr>
        <xdr:cNvPr id="2" name="CustomShape 1"/>
        <xdr:cNvSpPr/>
      </xdr:nvSpPr>
      <xdr:spPr>
        <a:xfrm>
          <a:off x="9391650" y="609600"/>
          <a:ext cx="1800225" cy="571500"/>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IB 3C7</a:t>
          </a:r>
          <a:r>
            <a:rPr lang="es-PE" sz="1000" b="0" strike="noStrike" spc="-1" baseline="0">
              <a:solidFill>
                <a:srgbClr val="000000"/>
              </a:solidFill>
              <a:uFill>
                <a:solidFill>
                  <a:srgbClr val="FFFFFF"/>
                </a:solidFill>
              </a:uFill>
              <a:latin typeface="Calibri"/>
              <a:ea typeface="Calibri"/>
            </a:rPr>
            <a:t> </a:t>
          </a:r>
          <a:endParaRPr lang="es-PE" sz="1050" b="0" strike="noStrike" spc="-1">
            <a:solidFill>
              <a:srgbClr val="000000"/>
            </a:solidFill>
            <a:uFill>
              <a:solidFill>
                <a:srgbClr val="FFFFFF"/>
              </a:solidFill>
            </a:uFill>
            <a:latin typeface="Times New Roman"/>
          </a:endParaRPr>
        </a:p>
      </xdr:txBody>
    </xdr:sp>
    <xdr:clientData/>
  </xdr:oneCellAnchor>
  <xdr:oneCellAnchor>
    <xdr:from>
      <xdr:col>12</xdr:col>
      <xdr:colOff>895350</xdr:colOff>
      <xdr:row>3</xdr:row>
      <xdr:rowOff>19050</xdr:rowOff>
    </xdr:from>
    <xdr:ext cx="1800225" cy="581025"/>
    <xdr:sp macro="" textlink="">
      <xdr:nvSpPr>
        <xdr:cNvPr id="3" name="CustomShape 1">
          <a:hlinkClick r:id="rId1"/>
        </xdr:cNvPr>
        <xdr:cNvSpPr/>
      </xdr:nvSpPr>
      <xdr:spPr>
        <a:xfrm>
          <a:off x="10991850" y="600075"/>
          <a:ext cx="1800225" cy="58102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solidFill>
                <a:schemeClr val="bg1"/>
              </a:solidFill>
              <a:effectLst/>
              <a:latin typeface="+mn-lt"/>
              <a:ea typeface="+mn-ea"/>
              <a:cs typeface="+mn-cs"/>
            </a:rPr>
            <a:t>IP 3C7</a:t>
          </a:r>
          <a:r>
            <a:rPr lang="es-PE" sz="1000" b="0" baseline="0">
              <a:solidFill>
                <a:schemeClr val="bg1"/>
              </a:solidFill>
              <a:effectLst/>
              <a:latin typeface="+mn-lt"/>
              <a:ea typeface="+mn-ea"/>
              <a:cs typeface="+mn-cs"/>
            </a:rPr>
            <a:t> </a:t>
          </a:r>
          <a:endParaRPr lang="en-US" sz="1000">
            <a:solidFill>
              <a:schemeClr val="bg1"/>
            </a:solidFill>
            <a:effectLst/>
          </a:endParaRP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9525</xdr:colOff>
      <xdr:row>1</xdr:row>
      <xdr:rowOff>38100</xdr:rowOff>
    </xdr:from>
    <xdr:ext cx="1800225" cy="885825"/>
    <xdr:sp macro="" textlink="">
      <xdr:nvSpPr>
        <xdr:cNvPr id="8" name="CustomShape 1">
          <a:hlinkClick r:id="rId1"/>
        </xdr:cNvPr>
        <xdr:cNvSpPr/>
      </xdr:nvSpPr>
      <xdr:spPr>
        <a:xfrm>
          <a:off x="11734800" y="228600"/>
          <a:ext cx="1800225" cy="885825"/>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effectLst/>
              <a:latin typeface="+mn-lt"/>
              <a:ea typeface="+mn-ea"/>
              <a:cs typeface="+mn-cs"/>
            </a:rPr>
            <a:t>IB 3A1_3A2_3C6</a:t>
          </a:r>
          <a:r>
            <a:rPr lang="es-PE" sz="1000" b="0" baseline="0">
              <a:effectLst/>
              <a:latin typeface="+mn-lt"/>
              <a:ea typeface="+mn-ea"/>
              <a:cs typeface="+mn-cs"/>
            </a:rPr>
            <a:t> </a:t>
          </a:r>
          <a:endParaRPr lang="en-US" sz="1000">
            <a:effectLst/>
          </a:endParaRPr>
        </a:p>
      </xdr:txBody>
    </xdr:sp>
    <xdr:clientData/>
  </xdr:oneCellAnchor>
  <xdr:oneCellAnchor>
    <xdr:from>
      <xdr:col>14</xdr:col>
      <xdr:colOff>581025</xdr:colOff>
      <xdr:row>1</xdr:row>
      <xdr:rowOff>47625</xdr:rowOff>
    </xdr:from>
    <xdr:ext cx="2038350" cy="876300"/>
    <xdr:sp macro="" textlink="">
      <xdr:nvSpPr>
        <xdr:cNvPr id="9" name="CustomShape 1"/>
        <xdr:cNvSpPr/>
      </xdr:nvSpPr>
      <xdr:spPr>
        <a:xfrm>
          <a:off x="13125450" y="238125"/>
          <a:ext cx="2038350" cy="87630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IP 3A1_3A2_3C6</a:t>
          </a:r>
          <a:r>
            <a:rPr lang="es-PE" sz="1000" b="0" baseline="0">
              <a:solidFill>
                <a:schemeClr val="bg1"/>
              </a:solidFill>
              <a:effectLst/>
              <a:latin typeface="+mn-lt"/>
              <a:ea typeface="+mn-ea"/>
              <a:cs typeface="+mn-cs"/>
            </a:rPr>
            <a:t> </a:t>
          </a:r>
          <a:endParaRPr lang="en-US" sz="1000">
            <a:solidFill>
              <a:schemeClr val="bg1"/>
            </a:solidFill>
            <a:effectLst/>
          </a:endParaRPr>
        </a:p>
      </xdr:txBody>
    </xdr:sp>
    <xdr:clientData/>
  </xdr:oneCellAnchor>
  <xdr:oneCellAnchor>
    <xdr:from>
      <xdr:col>15</xdr:col>
      <xdr:colOff>95250</xdr:colOff>
      <xdr:row>134</xdr:row>
      <xdr:rowOff>133350</xdr:rowOff>
    </xdr:from>
    <xdr:ext cx="1990725" cy="276225"/>
    <xdr:sp macro="" textlink="">
      <xdr:nvSpPr>
        <xdr:cNvPr id="26" name="CustomShape 1"/>
        <xdr:cNvSpPr/>
      </xdr:nvSpPr>
      <xdr:spPr>
        <a:xfrm>
          <a:off x="13363575" y="27108150"/>
          <a:ext cx="1990725" cy="276225"/>
        </a:xfrm>
        <a:prstGeom prst="homePlate">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twoCellAnchor editAs="absolute">
    <xdr:from>
      <xdr:col>17</xdr:col>
      <xdr:colOff>180975</xdr:colOff>
      <xdr:row>1</xdr:row>
      <xdr:rowOff>66675</xdr:rowOff>
    </xdr:from>
    <xdr:to>
      <xdr:col>19</xdr:col>
      <xdr:colOff>533400</xdr:colOff>
      <xdr:row>2</xdr:row>
      <xdr:rowOff>133350</xdr:rowOff>
    </xdr:to>
    <xdr:sp macro="" textlink="">
      <xdr:nvSpPr>
        <xdr:cNvPr id="6" name="CustomShape 1">
          <a:hlinkClick r:id="rId2"/>
        </xdr:cNvPr>
        <xdr:cNvSpPr/>
      </xdr:nvSpPr>
      <xdr:spPr>
        <a:xfrm>
          <a:off x="14897100" y="257175"/>
          <a:ext cx="1800225" cy="2857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GEI 3A1_3A2 (N1)</a:t>
          </a:r>
          <a:endParaRPr lang="es-PE" sz="1050" b="0" strike="noStrike" spc="-1">
            <a:solidFill>
              <a:srgbClr val="000000"/>
            </a:solidFill>
            <a:uFill>
              <a:solidFill>
                <a:srgbClr val="FFFFFF"/>
              </a:solidFill>
            </a:uFill>
            <a:latin typeface="Times New Roman"/>
          </a:endParaRPr>
        </a:p>
      </xdr:txBody>
    </xdr:sp>
    <xdr:clientData/>
  </xdr:twoCellAnchor>
  <xdr:twoCellAnchor editAs="absolute">
    <xdr:from>
      <xdr:col>17</xdr:col>
      <xdr:colOff>190500</xdr:colOff>
      <xdr:row>2</xdr:row>
      <xdr:rowOff>161925</xdr:rowOff>
    </xdr:from>
    <xdr:to>
      <xdr:col>19</xdr:col>
      <xdr:colOff>542925</xdr:colOff>
      <xdr:row>4</xdr:row>
      <xdr:rowOff>66675</xdr:rowOff>
    </xdr:to>
    <xdr:sp macro="" textlink="">
      <xdr:nvSpPr>
        <xdr:cNvPr id="7" name="CustomShape 1">
          <a:hlinkClick r:id="rId3"/>
        </xdr:cNvPr>
        <xdr:cNvSpPr/>
      </xdr:nvSpPr>
      <xdr:spPr>
        <a:xfrm>
          <a:off x="14906625" y="571500"/>
          <a:ext cx="1800225" cy="2857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GEI 3A1 (N2)</a:t>
          </a:r>
          <a:endParaRPr lang="es-PE" sz="1050" b="0" strike="noStrike" spc="-1">
            <a:solidFill>
              <a:srgbClr val="000000"/>
            </a:solidFill>
            <a:uFill>
              <a:solidFill>
                <a:srgbClr val="FFFFFF"/>
              </a:solidFill>
            </a:uFill>
            <a:latin typeface="Times New Roman"/>
          </a:endParaRPr>
        </a:p>
      </xdr:txBody>
    </xdr:sp>
    <xdr:clientData/>
  </xdr:twoCellAnchor>
  <xdr:twoCellAnchor editAs="absolute">
    <xdr:from>
      <xdr:col>17</xdr:col>
      <xdr:colOff>190500</xdr:colOff>
      <xdr:row>4</xdr:row>
      <xdr:rowOff>95250</xdr:rowOff>
    </xdr:from>
    <xdr:to>
      <xdr:col>19</xdr:col>
      <xdr:colOff>542925</xdr:colOff>
      <xdr:row>6</xdr:row>
      <xdr:rowOff>0</xdr:rowOff>
    </xdr:to>
    <xdr:sp macro="" textlink="">
      <xdr:nvSpPr>
        <xdr:cNvPr id="10" name="CustomShape 1">
          <a:hlinkClick r:id="rId4"/>
        </xdr:cNvPr>
        <xdr:cNvSpPr/>
      </xdr:nvSpPr>
      <xdr:spPr>
        <a:xfrm>
          <a:off x="14906625" y="885825"/>
          <a:ext cx="1800225" cy="22860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GEI 3C6</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733425</xdr:colOff>
      <xdr:row>1</xdr:row>
      <xdr:rowOff>28575</xdr:rowOff>
    </xdr:from>
    <xdr:to>
      <xdr:col>16</xdr:col>
      <xdr:colOff>28575</xdr:colOff>
      <xdr:row>4</xdr:row>
      <xdr:rowOff>38100</xdr:rowOff>
    </xdr:to>
    <xdr:sp macro="" textlink="">
      <xdr:nvSpPr>
        <xdr:cNvPr id="4" name="CustomShape 1">
          <a:hlinkClick r:id="rId1"/>
        </xdr:cNvPr>
        <xdr:cNvSpPr/>
      </xdr:nvSpPr>
      <xdr:spPr>
        <a:xfrm>
          <a:off x="13115925" y="247650"/>
          <a:ext cx="1809750" cy="523875"/>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GEI 3C1</a:t>
          </a:r>
          <a:endParaRPr lang="es-PE" sz="1050" b="0" strike="noStrike" spc="-1">
            <a:solidFill>
              <a:srgbClr val="000000"/>
            </a:solidFill>
            <a:uFill>
              <a:solidFill>
                <a:srgbClr val="FFFFFF"/>
              </a:solidFill>
            </a:uFill>
            <a:latin typeface="Times New Roman"/>
          </a:endParaRPr>
        </a:p>
      </xdr:txBody>
    </xdr:sp>
    <xdr:clientData/>
  </xdr:twoCellAnchor>
  <xdr:oneCellAnchor>
    <xdr:from>
      <xdr:col>12</xdr:col>
      <xdr:colOff>0</xdr:colOff>
      <xdr:row>1</xdr:row>
      <xdr:rowOff>47625</xdr:rowOff>
    </xdr:from>
    <xdr:ext cx="1800225" cy="514350"/>
    <xdr:sp macro="" textlink="">
      <xdr:nvSpPr>
        <xdr:cNvPr id="5" name="CustomShape 1">
          <a:hlinkClick r:id="rId2"/>
        </xdr:cNvPr>
        <xdr:cNvSpPr/>
      </xdr:nvSpPr>
      <xdr:spPr>
        <a:xfrm>
          <a:off x="11544300" y="266700"/>
          <a:ext cx="1800225" cy="514350"/>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effectLst/>
              <a:latin typeface="+mn-lt"/>
              <a:ea typeface="+mn-ea"/>
              <a:cs typeface="+mn-cs"/>
            </a:rPr>
            <a:t>IB 3C1</a:t>
          </a:r>
          <a:endParaRPr lang="en-US" sz="1000">
            <a:effectLst/>
          </a:endParaRPr>
        </a:p>
      </xdr:txBody>
    </xdr:sp>
    <xdr:clientData/>
  </xdr:oneCellAnchor>
  <xdr:oneCellAnchor>
    <xdr:from>
      <xdr:col>13</xdr:col>
      <xdr:colOff>742950</xdr:colOff>
      <xdr:row>1</xdr:row>
      <xdr:rowOff>47625</xdr:rowOff>
    </xdr:from>
    <xdr:ext cx="1809750" cy="514350"/>
    <xdr:sp macro="" textlink="">
      <xdr:nvSpPr>
        <xdr:cNvPr id="6" name="CustomShape 1"/>
        <xdr:cNvSpPr/>
      </xdr:nvSpPr>
      <xdr:spPr>
        <a:xfrm>
          <a:off x="13125450" y="266700"/>
          <a:ext cx="1809750" cy="51435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solidFill>
                <a:schemeClr val="bg1"/>
              </a:solidFill>
              <a:effectLst/>
              <a:latin typeface="+mn-lt"/>
              <a:ea typeface="+mn-ea"/>
              <a:cs typeface="+mn-cs"/>
            </a:rPr>
            <a:t>IP 3C1</a:t>
          </a:r>
          <a:endParaRPr lang="en-US" sz="1000">
            <a:solidFill>
              <a:schemeClr val="bg1"/>
            </a:solidFill>
            <a:effectLst/>
          </a:endParaRPr>
        </a:p>
      </xdr:txBody>
    </xdr:sp>
    <xdr:clientData/>
  </xdr:oneCellAnchor>
  <xdr:twoCellAnchor editAs="absolute">
    <xdr:from>
      <xdr:col>15</xdr:col>
      <xdr:colOff>676275</xdr:colOff>
      <xdr:row>1</xdr:row>
      <xdr:rowOff>38100</xdr:rowOff>
    </xdr:from>
    <xdr:to>
      <xdr:col>18</xdr:col>
      <xdr:colOff>85725</xdr:colOff>
      <xdr:row>4</xdr:row>
      <xdr:rowOff>47625</xdr:rowOff>
    </xdr:to>
    <xdr:sp macro="" textlink="">
      <xdr:nvSpPr>
        <xdr:cNvPr id="7" name="CustomShape 1">
          <a:hlinkClick r:id="rId3"/>
        </xdr:cNvPr>
        <xdr:cNvSpPr/>
      </xdr:nvSpPr>
      <xdr:spPr>
        <a:xfrm>
          <a:off x="14735175" y="257175"/>
          <a:ext cx="1809750" cy="523875"/>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GEI 3C1 </a:t>
          </a:r>
          <a:endParaRPr lang="es-PE" sz="1050" b="0" strike="noStrike" spc="-1">
            <a:solidFill>
              <a:srgbClr val="000000"/>
            </a:solidFill>
            <a:uFill>
              <a:solidFill>
                <a:srgbClr val="FFFFFF"/>
              </a:solidFill>
            </a:uFill>
            <a:latin typeface="Times New Roman"/>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20Conversi&#243;n"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escargas\RAGEI%202016_GL%202006_BORRADOR1_11.07.2020_+arroz.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roncal\Documents\Sandra%20Roncal\RAGEI\RAGEI%202018\RAGEI%202016\PLANILLAS_AGRICULTURA_2016_GL2006_V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CTORES DE CONVERSIÓN"/>
      <sheetName val="3A1_3A2 INFO BASE"/>
      <sheetName val="3A1_3A2 INFO PROCESADA"/>
      <sheetName val="3A1_3A2 FACTORES DE EMISIÓN"/>
      <sheetName val="3A1_3A2 EMISIONES"/>
      <sheetName val="3C1 INFO BASE"/>
      <sheetName val="3C1 INFO PROCESADA"/>
      <sheetName val="3C1 FACTORES DE EMISIÓN"/>
      <sheetName val="3C1 EMISIONES"/>
      <sheetName val="3C2 INFO BASE"/>
      <sheetName val="3C2 INFO PROCESADA"/>
      <sheetName val="3C2 FACTORES DE EMISIÓN"/>
      <sheetName val="3C2 EMISIONES"/>
      <sheetName val="3C3 INFO BASE"/>
      <sheetName val="3C3 INFO PROCESADA"/>
      <sheetName val="3C3 FACTORES DE EMISIÓN"/>
      <sheetName val="3C3 EMISIONES"/>
      <sheetName val="3C4 INFO BASE"/>
      <sheetName val="3C4 INFO PROCESADA"/>
      <sheetName val="3C4 FACTORES DE EMISIÓN"/>
      <sheetName val="3C4 EMISIONES"/>
      <sheetName val="3C5 INFO BASE"/>
      <sheetName val="3C5 INFO PROCESADA"/>
      <sheetName val="3C5 FACTORES DE EMISIÓN"/>
      <sheetName val="3C5 EMISIONES"/>
      <sheetName val="3C6 INFO BASE"/>
      <sheetName val="3C6 INFO PROCESADA"/>
      <sheetName val="3C6 FACTORES DE EMISIÓN"/>
      <sheetName val="3C6 EMISIONES"/>
      <sheetName val="3C7 INFO BASE"/>
      <sheetName val="3C7 INFO PROCESADA"/>
      <sheetName val="3C7 FACTORES DE EMISIÓN"/>
      <sheetName val="3C7 EMIS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1">
          <cell r="C11" t="str">
            <v>Anegadizos</v>
          </cell>
        </row>
        <row r="12">
          <cell r="C12" t="str">
            <v>Expuesto a la sequía</v>
          </cell>
        </row>
        <row r="13">
          <cell r="C13" t="str">
            <v>Aguas profundas</v>
          </cell>
        </row>
      </sheetData>
      <sheetData sheetId="31">
        <row r="12">
          <cell r="B12" t="str">
            <v>Inundados permanentemente </v>
          </cell>
        </row>
        <row r="13">
          <cell r="B13" t="str">
            <v>Periodo de drenaje simple </v>
          </cell>
        </row>
        <row r="14">
          <cell r="B14" t="str">
            <v>Periodo de drenaje multiple</v>
          </cell>
        </row>
      </sheetData>
      <sheetData sheetId="3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ciones"/>
      <sheetName val="Características datos"/>
      <sheetName val="3A1_3A2_3C6 INFO BASE"/>
      <sheetName val="3C1 INFO BASE"/>
      <sheetName val="3C2 INFO BASE"/>
      <sheetName val="3C3 INFO BASE"/>
      <sheetName val="3C4_3C5 INFO BASE"/>
      <sheetName val="3C7 INFO BASE"/>
      <sheetName val="3A1_3A2_3C6 INFO PROC"/>
      <sheetName val="3C1 INFO PROC"/>
      <sheetName val="3C2 INFO PROC"/>
      <sheetName val="3C3 INFO PROC"/>
      <sheetName val="3C4_3C5 INFO PROC"/>
      <sheetName val="3C7 INFO PROC"/>
      <sheetName val="FACTORES DE CONVERSIÓN"/>
      <sheetName val="3A1_3A2 FACTORES DE EMISIÓN"/>
      <sheetName val="3C1 FACTORES DE EMISIÓN"/>
      <sheetName val="3C2 FACTORES DE EMISIÓN"/>
      <sheetName val="3C3 FACTORES DE EMISIÓN"/>
      <sheetName val="3C4 FACTORES DE EMISIÓN"/>
      <sheetName val="3C5 FACTORES DE EMISIÓN"/>
      <sheetName val="3C6 FACTORES DE EMISIÓN"/>
      <sheetName val="3C7 FACTORES DE EMISIÓN"/>
      <sheetName val="3A1 EMISIONES T1_3A2 "/>
      <sheetName val="3A1 EMISIONES T2"/>
      <sheetName val="3C1 EMISIONES"/>
      <sheetName val="3C2 EMISIONES"/>
      <sheetName val="3C3 EMISIONES"/>
      <sheetName val="3C4 EMISIONES"/>
      <sheetName val="3C5 EMISIONES"/>
      <sheetName val="3C6 EMISIONES"/>
      <sheetName val="3C7 EMISIONES"/>
      <sheetName val="RESULTADOS RAGEI 2016"/>
      <sheetName val="Recálculos RAGEI anteriores"/>
      <sheetName val="Serie Temporal"/>
      <sheetName val="Comparación GL1996 vs GL2006"/>
      <sheetName val="Incertidumbre"/>
      <sheetName val="Valores de incertidumb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0">
          <cell r="H10">
            <v>9.37200442774424</v>
          </cell>
        </row>
        <row r="14">
          <cell r="H14">
            <v>0.7518792828564053</v>
          </cell>
        </row>
        <row r="36">
          <cell r="J36">
            <v>7.684486735228903</v>
          </cell>
        </row>
        <row r="37">
          <cell r="J37">
            <v>7.062143972953771</v>
          </cell>
        </row>
      </sheetData>
      <sheetData sheetId="29" refreshError="1">
        <row r="11">
          <cell r="I11">
            <v>2.9117815718711033</v>
          </cell>
        </row>
        <row r="27">
          <cell r="J27">
            <v>5.693583228891632</v>
          </cell>
        </row>
      </sheetData>
      <sheetData sheetId="30" refreshError="1">
        <row r="11">
          <cell r="H11">
            <v>0</v>
          </cell>
        </row>
        <row r="12">
          <cell r="H12">
            <v>0</v>
          </cell>
        </row>
        <row r="13">
          <cell r="H13">
            <v>0</v>
          </cell>
        </row>
        <row r="14">
          <cell r="H14">
            <v>0</v>
          </cell>
        </row>
        <row r="15">
          <cell r="H15">
            <v>0</v>
          </cell>
        </row>
        <row r="16">
          <cell r="H16">
            <v>0</v>
          </cell>
        </row>
        <row r="17">
          <cell r="H17">
            <v>0</v>
          </cell>
        </row>
        <row r="18">
          <cell r="H18">
            <v>0</v>
          </cell>
        </row>
        <row r="19">
          <cell r="H19">
            <v>0</v>
          </cell>
        </row>
        <row r="20">
          <cell r="H20">
            <v>0</v>
          </cell>
        </row>
        <row r="21">
          <cell r="H21">
            <v>0</v>
          </cell>
        </row>
        <row r="23">
          <cell r="H23">
            <v>0.08078745774528</v>
          </cell>
        </row>
        <row r="24">
          <cell r="H24">
            <v>0.118809387071335</v>
          </cell>
        </row>
        <row r="25">
          <cell r="H25">
            <v>0</v>
          </cell>
        </row>
        <row r="26">
          <cell r="H26">
            <v>0</v>
          </cell>
        </row>
        <row r="27">
          <cell r="H27">
            <v>0</v>
          </cell>
        </row>
        <row r="28">
          <cell r="H28">
            <v>0</v>
          </cell>
        </row>
        <row r="29">
          <cell r="H29">
            <v>0.035385117072228</v>
          </cell>
        </row>
        <row r="30">
          <cell r="H30">
            <v>0.033841702278870754</v>
          </cell>
        </row>
        <row r="31">
          <cell r="H31">
            <v>0.027237592222431023</v>
          </cell>
        </row>
        <row r="32">
          <cell r="H32">
            <v>0</v>
          </cell>
        </row>
        <row r="33">
          <cell r="H33">
            <v>0</v>
          </cell>
        </row>
        <row r="35">
          <cell r="H35">
            <v>0</v>
          </cell>
        </row>
        <row r="36">
          <cell r="H36">
            <v>0</v>
          </cell>
        </row>
        <row r="37">
          <cell r="H37">
            <v>0</v>
          </cell>
        </row>
        <row r="38">
          <cell r="H38">
            <v>0</v>
          </cell>
        </row>
        <row r="39">
          <cell r="H39">
            <v>0</v>
          </cell>
        </row>
        <row r="40">
          <cell r="H40">
            <v>0</v>
          </cell>
        </row>
        <row r="41">
          <cell r="H41">
            <v>0</v>
          </cell>
        </row>
        <row r="42">
          <cell r="H42">
            <v>0</v>
          </cell>
        </row>
        <row r="43">
          <cell r="H43">
            <v>0</v>
          </cell>
        </row>
        <row r="44">
          <cell r="H44">
            <v>0</v>
          </cell>
        </row>
        <row r="45">
          <cell r="H45">
            <v>0</v>
          </cell>
        </row>
        <row r="47">
          <cell r="H47">
            <v>0</v>
          </cell>
        </row>
        <row r="48">
          <cell r="H48">
            <v>0</v>
          </cell>
        </row>
        <row r="49">
          <cell r="H49">
            <v>0</v>
          </cell>
        </row>
        <row r="50">
          <cell r="H50">
            <v>0</v>
          </cell>
        </row>
        <row r="51">
          <cell r="H51">
            <v>0</v>
          </cell>
        </row>
        <row r="52">
          <cell r="H52">
            <v>0</v>
          </cell>
        </row>
        <row r="53">
          <cell r="H53">
            <v>0</v>
          </cell>
        </row>
        <row r="54">
          <cell r="H54">
            <v>0</v>
          </cell>
        </row>
        <row r="55">
          <cell r="H55">
            <v>0</v>
          </cell>
        </row>
        <row r="56">
          <cell r="H56">
            <v>0.32886423601152204</v>
          </cell>
        </row>
        <row r="57">
          <cell r="H57">
            <v>0</v>
          </cell>
        </row>
        <row r="59">
          <cell r="H59">
            <v>0</v>
          </cell>
        </row>
        <row r="60">
          <cell r="H60">
            <v>0</v>
          </cell>
        </row>
        <row r="61">
          <cell r="H61">
            <v>0</v>
          </cell>
        </row>
        <row r="62">
          <cell r="H62">
            <v>0</v>
          </cell>
        </row>
        <row r="63">
          <cell r="H63">
            <v>0</v>
          </cell>
        </row>
        <row r="64">
          <cell r="H64">
            <v>0</v>
          </cell>
        </row>
        <row r="65">
          <cell r="H65">
            <v>0</v>
          </cell>
        </row>
        <row r="66">
          <cell r="H66">
            <v>0</v>
          </cell>
        </row>
        <row r="67">
          <cell r="H67">
            <v>0</v>
          </cell>
        </row>
        <row r="68">
          <cell r="H68">
            <v>0.05024314716842699</v>
          </cell>
        </row>
        <row r="69">
          <cell r="H69">
            <v>0</v>
          </cell>
        </row>
      </sheetData>
      <sheetData sheetId="31" refreshError="1">
        <row r="34">
          <cell r="E34">
            <v>11.536227217858508</v>
          </cell>
        </row>
        <row r="35">
          <cell r="E35">
            <v>38.87618301057348</v>
          </cell>
        </row>
        <row r="37">
          <cell r="E37">
            <v>0.6749255360393928</v>
          </cell>
        </row>
        <row r="38">
          <cell r="E38">
            <v>0.1999779366042645</v>
          </cell>
        </row>
        <row r="39">
          <cell r="E39">
            <v>0.3749586311329959</v>
          </cell>
        </row>
      </sheetData>
      <sheetData sheetId="32" refreshError="1"/>
      <sheetData sheetId="33" refreshError="1"/>
      <sheetData sheetId="34" refreshError="1"/>
      <sheetData sheetId="35" refreshError="1"/>
      <sheetData sheetId="36" refreshError="1"/>
      <sheetData sheetId="37" refreshError="1">
        <row r="9">
          <cell r="I9">
            <v>10</v>
          </cell>
        </row>
        <row r="60">
          <cell r="J60">
            <v>30</v>
          </cell>
        </row>
      </sheetData>
    </sheetDataSet>
  </externalBook>
</externalLink>
</file>

<file path=xl/persons/person.xml><?xml version="1.0" encoding="utf-8"?>
<personList xmlns="http://schemas.microsoft.com/office/spreadsheetml/2018/threadedcomments" xmlns:x="http://schemas.openxmlformats.org/spreadsheetml/2006/main">
  <person displayName="Walter Oyhantcabal" id="{CE75F348-0DC7-436C-B3D7-4B0009D54060}" userId="34390d5c5d55c5e7"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60" dT="2020-09-03T04:36:06.08" personId="{CE75F348-0DC7-436C-B3D7-4B0009D54060}" id="{10662C36-5E89-4141-BE85-D25F022B9EBA}">
    <text>Es curioso que traduzcan slope como declive y no como "pendiente". Se ve que el traductor no sabe estadística!!!</text>
  </threadedComment>
</ThreadedComments>
</file>

<file path=xl/worksheets/_rels/sheet1.xml.rels><?xml version="1.0" encoding="utf-8" standalone="yes"?><Relationships xmlns="http://schemas.openxmlformats.org/package/2006/relationships"><Relationship Id="rId1" Type="http://schemas.openxmlformats.org/officeDocument/2006/relationships/hyperlink" Target="http://infocarbono.minam.gob.pe/wp-content/uploads/2016/07/Guia-07_Portada-Original.pdf" TargetMode="External" /><Relationship Id="rId2" Type="http://schemas.openxmlformats.org/officeDocument/2006/relationships/hyperlink" Target="https://www.ipcc-nggip.iges.or.jp/public/2006gl/spanish/vol4.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12.xml" /><Relationship Id="rId4"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31" Type="http://schemas.microsoft.com/office/2017/10/relationships/threadedComment" Target="../threadedComments/threadedComment1.xml" /><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drawing" Target="../drawings/drawing15.xml" /><Relationship Id="rId4"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grolalibertad.gob.pe/sites/default/files/Cultivo-alfalfa.pdf" TargetMode="External" /><Relationship Id="rId2" Type="http://schemas.openxmlformats.org/officeDocument/2006/relationships/hyperlink" Target="https://www.ipcc-nggip.iges.or.jp/public/2006gl/spanish/pdf/4_Volume4/V4_11_Ch11_N2O&amp;CO2.pdf" TargetMode="External" /><Relationship Id="rId3" Type="http://schemas.openxmlformats.org/officeDocument/2006/relationships/drawing" Target="../drawings/drawing16.xml" /><Relationship Id="rId4"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3.vml" /><Relationship Id="rId3" Type="http://schemas.openxmlformats.org/officeDocument/2006/relationships/drawing" Target="../drawings/drawing20.xml" /><Relationship Id="rId4"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4.vml" /><Relationship Id="rId3" Type="http://schemas.openxmlformats.org/officeDocument/2006/relationships/drawing" Target="../drawings/drawing21.xml" /><Relationship Id="rId4"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5.vml" /><Relationship Id="rId3" Type="http://schemas.openxmlformats.org/officeDocument/2006/relationships/drawing" Target="../drawings/drawing22.xml" /><Relationship Id="rId4"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6.vml" /><Relationship Id="rId3" Type="http://schemas.openxmlformats.org/officeDocument/2006/relationships/drawing" Target="../drawings/drawing25.xm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http://censos.inei.gob.pe/Cenagro/redatam/#%20" TargetMode="External" /><Relationship Id="rId2" Type="http://schemas.openxmlformats.org/officeDocument/2006/relationships/hyperlink" Target="https://siea.midagri.gob.pe/portal/publicacion/boletines-anuales/5-ganadera-avicola" TargetMode="External" /><Relationship Id="rId3" Type="http://schemas.openxmlformats.org/officeDocument/2006/relationships/hyperlink" Target="https://www.inei.gob.pe/media/MenuRecursivo/publicaciones_digitales/Est/Lib1827/libro.pdf" TargetMode="External" /><Relationship Id="rId4" Type="http://schemas.openxmlformats.org/officeDocument/2006/relationships/hyperlink" Target="https://siea.midagri.gob.pe/portal/publicacion/boletines-anuales/5-ganadera-avicola" TargetMode="External" /><Relationship Id="rId5" Type="http://schemas.openxmlformats.org/officeDocument/2006/relationships/hyperlink" Target="https://siea.midagri.gob.pe/portal/publicacion/boletines-anuales/5-ganadera-avicola" TargetMode="External" /><Relationship Id="rId6" Type="http://schemas.openxmlformats.org/officeDocument/2006/relationships/drawing" Target="../drawings/drawing2.xml" /><Relationship Id="rId7"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xml.rels><?xml version="1.0" encoding="utf-8" standalone="yes"?><Relationships xmlns="http://schemas.openxmlformats.org/package/2006/relationships"><Relationship Id="rId1" Type="http://schemas.openxmlformats.org/officeDocument/2006/relationships/hyperlink" Target="https://infocarbono.minam.gob.pe/reportes-sectoriales/agricultura-2016/" TargetMode="External" /><Relationship Id="rId2" Type="http://schemas.openxmlformats.org/officeDocument/2006/relationships/hyperlink" Target="https://siea.midagri.gob.pe/portal/publicacion/boletines-anuales/4-agricola" TargetMode="External" /><Relationship Id="rId3" Type="http://schemas.openxmlformats.org/officeDocument/2006/relationships/hyperlink" Target="https://siea.midagri.gob.pe/portal/publicacion/boletines-anuales/4-agricola"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siea.midagri.gob.pe/portal/publicacion/boletines-anuales/7-insumos-servicios-agropecuarios" TargetMode="Externa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hyperlink" Target="http://www.fao.org/3/a-x4781s.pdf" TargetMode="External" /><Relationship Id="rId2" Type="http://schemas.openxmlformats.org/officeDocument/2006/relationships/hyperlink" Target="https://siea.midagri.gob.pe/portal/publicaciones/datos-estadisticas/anuarios/category/27-produccion-pecuaria" TargetMode="External" /><Relationship Id="rId3" Type="http://schemas.openxmlformats.org/officeDocument/2006/relationships/hyperlink" Target="http://siea.minagri.gob.pe/siea/?q=publicaciones/anuario-estadistico-de-insumos-y-servicios-agrarios" TargetMode="External" /><Relationship Id="rId4" Type="http://schemas.openxmlformats.org/officeDocument/2006/relationships/hyperlink" Target="https://siea.midagri.gob.pe/portal/publicacion/boletines-anuales/4-agricola" TargetMode="External" /><Relationship Id="rId5" Type="http://schemas.openxmlformats.org/officeDocument/2006/relationships/hyperlink" Target="https://siea.midagri.gob.pe/portal/publicacion/boletines-anuales/5-ganadera-avicola" TargetMode="External" /><Relationship Id="rId6" Type="http://schemas.openxmlformats.org/officeDocument/2006/relationships/hyperlink" Target="https://siea.midagri.gob.pe/portal/publicacion/boletines-anuales/4-agricola" TargetMode="External" /><Relationship Id="rId7" Type="http://schemas.openxmlformats.org/officeDocument/2006/relationships/drawing" Target="../drawings/drawing6.xml" /><Relationship Id="rId8"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siea.midagri.gob.pe/portal/publicacion/boletines-anuales/4-agricola"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sheetPr>
  <dimension ref="B2:R114"/>
  <sheetViews>
    <sheetView workbookViewId="0" topLeftCell="A1"/>
  </sheetViews>
  <sheetFormatPr defaultColWidth="9.140625" defaultRowHeight="15"/>
  <cols>
    <col min="1" max="1" width="3.28125" style="17" customWidth="1"/>
    <col min="2" max="2" width="14.7109375" style="17" customWidth="1"/>
    <col min="3" max="4" width="11.140625" style="17" customWidth="1"/>
    <col min="5" max="5" width="4.8515625" style="17" customWidth="1"/>
    <col min="6" max="18" width="11.140625" style="17" customWidth="1"/>
    <col min="19" max="19" width="3.28125" style="17" customWidth="1"/>
    <col min="20" max="1025" width="9.140625" style="17" customWidth="1"/>
    <col min="1026" max="16384" width="9.140625" style="8" customWidth="1"/>
  </cols>
  <sheetData>
    <row r="1" ht="12.75"/>
    <row r="2" spans="2:18" s="48" customFormat="1" ht="18.75">
      <c r="B2" s="1115" t="s">
        <v>1242</v>
      </c>
      <c r="C2" s="1115"/>
      <c r="D2" s="1115"/>
      <c r="E2" s="1115"/>
      <c r="F2" s="1115"/>
      <c r="G2" s="1115"/>
      <c r="H2" s="1115"/>
      <c r="I2" s="1115"/>
      <c r="J2" s="1115"/>
      <c r="K2" s="1115"/>
      <c r="L2" s="1115"/>
      <c r="M2" s="1115"/>
      <c r="N2" s="1115"/>
      <c r="O2" s="1115"/>
      <c r="P2" s="1115"/>
      <c r="Q2" s="1115"/>
      <c r="R2" s="1115"/>
    </row>
    <row r="3" spans="2:18" s="48" customFormat="1" ht="18.75">
      <c r="B3" s="1115" t="s">
        <v>545</v>
      </c>
      <c r="C3" s="1115"/>
      <c r="D3" s="1115"/>
      <c r="E3" s="1115"/>
      <c r="F3" s="1115"/>
      <c r="G3" s="1115"/>
      <c r="H3" s="1115"/>
      <c r="I3" s="1115"/>
      <c r="J3" s="1115"/>
      <c r="K3" s="1115"/>
      <c r="L3" s="1115"/>
      <c r="M3" s="1115"/>
      <c r="N3" s="1115"/>
      <c r="O3" s="1115"/>
      <c r="P3" s="1115"/>
      <c r="Q3" s="1115"/>
      <c r="R3" s="1115"/>
    </row>
    <row r="4" ht="15">
      <c r="B4" s="47"/>
    </row>
    <row r="5" spans="2:18" s="46" customFormat="1" ht="15.75">
      <c r="B5" s="1116" t="s">
        <v>544</v>
      </c>
      <c r="C5" s="1116"/>
      <c r="D5" s="1116"/>
      <c r="E5" s="1116"/>
      <c r="F5" s="1116"/>
      <c r="G5" s="1116"/>
      <c r="H5" s="1116"/>
      <c r="I5" s="1116"/>
      <c r="J5" s="1116"/>
      <c r="K5" s="1116"/>
      <c r="L5" s="1116"/>
      <c r="M5" s="1116"/>
      <c r="N5" s="1116"/>
      <c r="O5" s="1116"/>
      <c r="P5" s="1116"/>
      <c r="Q5" s="1116"/>
      <c r="R5" s="1116"/>
    </row>
    <row r="6" spans="2:12" ht="15">
      <c r="B6" s="21"/>
      <c r="C6" s="18"/>
      <c r="D6" s="18"/>
      <c r="E6" s="18"/>
      <c r="F6" s="18"/>
      <c r="G6" s="18"/>
      <c r="H6" s="18"/>
      <c r="I6" s="18"/>
      <c r="J6" s="18"/>
      <c r="K6" s="18"/>
      <c r="L6" s="18"/>
    </row>
    <row r="7" spans="2:18" ht="15">
      <c r="B7" s="1117" t="s">
        <v>543</v>
      </c>
      <c r="C7" s="1117"/>
      <c r="D7" s="1117"/>
      <c r="E7" s="1117"/>
      <c r="F7" s="1117"/>
      <c r="G7" s="1117"/>
      <c r="H7" s="1117"/>
      <c r="I7" s="1117"/>
      <c r="J7" s="1117"/>
      <c r="K7" s="1117"/>
      <c r="L7" s="1117"/>
      <c r="M7" s="1117"/>
      <c r="N7" s="1117"/>
      <c r="O7" s="1117"/>
      <c r="P7" s="1117"/>
      <c r="Q7" s="1117"/>
      <c r="R7" s="1117"/>
    </row>
    <row r="8" spans="2:18" ht="12.75" customHeight="1">
      <c r="B8" s="1118" t="s">
        <v>542</v>
      </c>
      <c r="C8" s="1118"/>
      <c r="D8" s="1118"/>
      <c r="E8" s="1118"/>
      <c r="F8" s="1118"/>
      <c r="G8" s="1118"/>
      <c r="H8" s="1118"/>
      <c r="I8" s="1118"/>
      <c r="J8" s="1118"/>
      <c r="K8" s="1118"/>
      <c r="L8" s="1118"/>
      <c r="M8" s="1118"/>
      <c r="N8" s="1118"/>
      <c r="O8" s="1118"/>
      <c r="P8" s="45"/>
      <c r="Q8" s="45"/>
      <c r="R8" s="45"/>
    </row>
    <row r="9" spans="2:15" ht="15">
      <c r="B9" s="1118"/>
      <c r="C9" s="1118"/>
      <c r="D9" s="1118"/>
      <c r="E9" s="1118"/>
      <c r="F9" s="1118"/>
      <c r="G9" s="1118"/>
      <c r="H9" s="1118"/>
      <c r="I9" s="1118"/>
      <c r="J9" s="1118"/>
      <c r="K9" s="1118"/>
      <c r="L9" s="1118"/>
      <c r="M9" s="1118"/>
      <c r="N9" s="1118"/>
      <c r="O9" s="1118"/>
    </row>
    <row r="10" spans="2:15" ht="15">
      <c r="B10" s="44"/>
      <c r="C10" s="44"/>
      <c r="D10" s="44"/>
      <c r="E10" s="44"/>
      <c r="F10" s="44"/>
      <c r="G10" s="44"/>
      <c r="H10" s="44"/>
      <c r="I10" s="44"/>
      <c r="J10" s="44"/>
      <c r="K10" s="44"/>
      <c r="L10" s="44"/>
      <c r="M10" s="44"/>
      <c r="N10" s="44"/>
      <c r="O10" s="44"/>
    </row>
    <row r="11" spans="2:15" ht="12.75" customHeight="1">
      <c r="B11" s="1120" t="s">
        <v>619</v>
      </c>
      <c r="C11" s="1120"/>
      <c r="D11" s="1120"/>
      <c r="E11" s="1120"/>
      <c r="F11" s="1120"/>
      <c r="G11" s="1120"/>
      <c r="H11" s="1120"/>
      <c r="I11" s="1120"/>
      <c r="J11" s="1120"/>
      <c r="K11" s="1120"/>
      <c r="L11" s="1120"/>
      <c r="M11" s="1120"/>
      <c r="N11" s="1120"/>
      <c r="O11" s="1120"/>
    </row>
    <row r="12" spans="2:15" ht="15">
      <c r="B12" s="1120"/>
      <c r="C12" s="1120"/>
      <c r="D12" s="1120"/>
      <c r="E12" s="1120"/>
      <c r="F12" s="1120"/>
      <c r="G12" s="1120"/>
      <c r="H12" s="1120"/>
      <c r="I12" s="1120"/>
      <c r="J12" s="1120"/>
      <c r="K12" s="1120"/>
      <c r="L12" s="1120"/>
      <c r="M12" s="1120"/>
      <c r="N12" s="1120"/>
      <c r="O12" s="1120"/>
    </row>
    <row r="13" spans="2:15" ht="15">
      <c r="B13" s="1120"/>
      <c r="C13" s="1120"/>
      <c r="D13" s="1120"/>
      <c r="E13" s="1120"/>
      <c r="F13" s="1120"/>
      <c r="G13" s="1120"/>
      <c r="H13" s="1120"/>
      <c r="I13" s="1120"/>
      <c r="J13" s="1120"/>
      <c r="K13" s="1120"/>
      <c r="L13" s="1120"/>
      <c r="M13" s="1120"/>
      <c r="N13" s="1120"/>
      <c r="O13" s="1120"/>
    </row>
    <row r="14" spans="2:15" ht="15">
      <c r="B14" s="1120"/>
      <c r="C14" s="1120"/>
      <c r="D14" s="1120"/>
      <c r="E14" s="1120"/>
      <c r="F14" s="1120"/>
      <c r="G14" s="1120"/>
      <c r="H14" s="1120"/>
      <c r="I14" s="1120"/>
      <c r="J14" s="1120"/>
      <c r="K14" s="1120"/>
      <c r="L14" s="1120"/>
      <c r="M14" s="1120"/>
      <c r="N14" s="1120"/>
      <c r="O14" s="1120"/>
    </row>
    <row r="15" spans="2:15" ht="15">
      <c r="B15" s="1120"/>
      <c r="C15" s="1120"/>
      <c r="D15" s="1120"/>
      <c r="E15" s="1120"/>
      <c r="F15" s="1120"/>
      <c r="G15" s="1120"/>
      <c r="H15" s="1120"/>
      <c r="I15" s="1120"/>
      <c r="J15" s="1120"/>
      <c r="K15" s="1120"/>
      <c r="L15" s="1120"/>
      <c r="M15" s="1120"/>
      <c r="N15" s="1120"/>
      <c r="O15" s="1120"/>
    </row>
    <row r="16" spans="2:15" ht="15">
      <c r="B16" s="1120"/>
      <c r="C16" s="1120"/>
      <c r="D16" s="1120"/>
      <c r="E16" s="1120"/>
      <c r="F16" s="1120"/>
      <c r="G16" s="1120"/>
      <c r="H16" s="1120"/>
      <c r="I16" s="1120"/>
      <c r="J16" s="1120"/>
      <c r="K16" s="1120"/>
      <c r="L16" s="1120"/>
      <c r="M16" s="1120"/>
      <c r="N16" s="1120"/>
      <c r="O16" s="1120"/>
    </row>
    <row r="17" spans="2:15" ht="15">
      <c r="B17" s="1120"/>
      <c r="C17" s="1120"/>
      <c r="D17" s="1120"/>
      <c r="E17" s="1120"/>
      <c r="F17" s="1120"/>
      <c r="G17" s="1120"/>
      <c r="H17" s="1120"/>
      <c r="I17" s="1120"/>
      <c r="J17" s="1120"/>
      <c r="K17" s="1120"/>
      <c r="L17" s="1120"/>
      <c r="M17" s="1120"/>
      <c r="N17" s="1120"/>
      <c r="O17" s="1120"/>
    </row>
    <row r="18" spans="2:15" ht="15">
      <c r="B18" s="1120"/>
      <c r="C18" s="1120"/>
      <c r="D18" s="1120"/>
      <c r="E18" s="1120"/>
      <c r="F18" s="1120"/>
      <c r="G18" s="1120"/>
      <c r="H18" s="1120"/>
      <c r="I18" s="1120"/>
      <c r="J18" s="1120"/>
      <c r="K18" s="1120"/>
      <c r="L18" s="1120"/>
      <c r="M18" s="1120"/>
      <c r="N18" s="1120"/>
      <c r="O18" s="1120"/>
    </row>
    <row r="20" spans="2:18" ht="15">
      <c r="B20" s="1117" t="s">
        <v>541</v>
      </c>
      <c r="C20" s="1117"/>
      <c r="D20" s="1117"/>
      <c r="E20" s="1117"/>
      <c r="F20" s="1117"/>
      <c r="G20" s="1117"/>
      <c r="H20" s="1117"/>
      <c r="I20" s="1117"/>
      <c r="J20" s="1117"/>
      <c r="K20" s="1117"/>
      <c r="L20" s="1117"/>
      <c r="M20" s="1117"/>
      <c r="N20" s="1117"/>
      <c r="O20" s="1117"/>
      <c r="P20" s="1117"/>
      <c r="Q20" s="1117"/>
      <c r="R20" s="1117"/>
    </row>
    <row r="21" ht="15">
      <c r="B21" s="38"/>
    </row>
    <row r="23" spans="2:14" ht="15">
      <c r="B23" s="1119" t="s">
        <v>1564</v>
      </c>
      <c r="C23" s="1119"/>
      <c r="D23" s="1119"/>
      <c r="E23" s="1119"/>
      <c r="F23" s="1119"/>
      <c r="G23" s="1119"/>
      <c r="H23" s="1119"/>
      <c r="I23" s="1119"/>
      <c r="J23" s="1119"/>
      <c r="K23" s="1119"/>
      <c r="L23" s="1119"/>
      <c r="M23" s="1119"/>
      <c r="N23" s="1119"/>
    </row>
    <row r="24" spans="2:14" ht="27.75" customHeight="1">
      <c r="B24" s="1119" t="s">
        <v>540</v>
      </c>
      <c r="C24" s="1119"/>
      <c r="D24" s="1119"/>
      <c r="E24" s="1119"/>
      <c r="F24" s="1119"/>
      <c r="G24" s="1119"/>
      <c r="H24" s="1119"/>
      <c r="I24" s="1119"/>
      <c r="J24" s="1119"/>
      <c r="K24" s="1119"/>
      <c r="L24" s="1119"/>
      <c r="M24" s="1119"/>
      <c r="N24" s="1119"/>
    </row>
    <row r="25" spans="2:14" ht="19.5" customHeight="1">
      <c r="B25" s="43"/>
      <c r="C25" s="43"/>
      <c r="D25" s="43"/>
      <c r="E25" s="43"/>
      <c r="F25" s="43"/>
      <c r="G25" s="43"/>
      <c r="H25" s="43"/>
      <c r="I25" s="43"/>
      <c r="J25" s="43"/>
      <c r="K25" s="43"/>
      <c r="L25" s="43"/>
      <c r="M25" s="43"/>
      <c r="N25" s="43"/>
    </row>
    <row r="26" spans="3:7" ht="15">
      <c r="C26"/>
      <c r="D26" s="42"/>
      <c r="E26" s="42"/>
      <c r="G26" s="41" t="s">
        <v>539</v>
      </c>
    </row>
    <row r="27" ht="12.75"/>
    <row r="28" spans="7:18" ht="12.75">
      <c r="G28" s="39"/>
      <c r="I28" s="39"/>
      <c r="J28" s="39"/>
      <c r="K28" s="39"/>
      <c r="L28" s="39"/>
      <c r="M28" s="39"/>
      <c r="N28" s="39"/>
      <c r="O28" s="39"/>
      <c r="P28" s="39"/>
      <c r="Q28" s="39"/>
      <c r="R28" s="39"/>
    </row>
    <row r="29" ht="12.75"/>
    <row r="30" ht="12.75"/>
    <row r="31" ht="12.75">
      <c r="G31" s="17" t="s">
        <v>538</v>
      </c>
    </row>
    <row r="32" spans="7:18" ht="12.75" customHeight="1">
      <c r="G32" s="1122" t="s">
        <v>537</v>
      </c>
      <c r="H32" s="1122"/>
      <c r="I32" s="1122"/>
      <c r="J32" s="1122"/>
      <c r="K32" s="1122"/>
      <c r="L32" s="1122"/>
      <c r="M32" s="1122"/>
      <c r="N32" s="1122"/>
      <c r="O32" s="1122"/>
      <c r="P32" s="1122"/>
      <c r="Q32" s="1122"/>
      <c r="R32" s="1122"/>
    </row>
    <row r="33" spans="7:18" ht="12.75">
      <c r="G33" s="1122"/>
      <c r="H33" s="1122"/>
      <c r="I33" s="1122"/>
      <c r="J33" s="1122"/>
      <c r="K33" s="1122"/>
      <c r="L33" s="1122"/>
      <c r="M33" s="1122"/>
      <c r="N33" s="1122"/>
      <c r="O33" s="1122"/>
      <c r="P33" s="1122"/>
      <c r="Q33" s="1122"/>
      <c r="R33" s="1122"/>
    </row>
    <row r="34" spans="7:18" ht="12.75">
      <c r="G34" s="40" t="s">
        <v>536</v>
      </c>
      <c r="I34" s="40"/>
      <c r="J34" s="40"/>
      <c r="K34" s="40"/>
      <c r="L34" s="40"/>
      <c r="M34" s="40"/>
      <c r="N34" s="40"/>
      <c r="O34" s="40"/>
      <c r="P34" s="40"/>
      <c r="Q34" s="40"/>
      <c r="R34" s="40"/>
    </row>
    <row r="35" spans="6:18" ht="12.75">
      <c r="F35" s="39"/>
      <c r="G35" s="39"/>
      <c r="H35" s="39"/>
      <c r="I35" s="39"/>
      <c r="J35" s="39"/>
      <c r="K35" s="39"/>
      <c r="L35" s="39"/>
      <c r="M35" s="39"/>
      <c r="N35" s="39"/>
      <c r="O35" s="39"/>
      <c r="P35" s="39"/>
      <c r="Q35" s="39"/>
      <c r="R35" s="39"/>
    </row>
    <row r="36" spans="6:18" ht="20.25" customHeight="1">
      <c r="F36" s="39"/>
      <c r="G36" s="39"/>
      <c r="H36" s="39"/>
      <c r="I36" s="39"/>
      <c r="J36" s="39"/>
      <c r="K36" s="39"/>
      <c r="L36" s="39"/>
      <c r="M36" s="39"/>
      <c r="N36" s="39"/>
      <c r="O36" s="39"/>
      <c r="P36" s="39"/>
      <c r="Q36" s="39"/>
      <c r="R36" s="39"/>
    </row>
    <row r="37" spans="2:18" ht="15">
      <c r="B37" s="1117" t="s">
        <v>535</v>
      </c>
      <c r="C37" s="1117"/>
      <c r="D37" s="1117"/>
      <c r="E37" s="1117"/>
      <c r="F37" s="1117"/>
      <c r="G37" s="1117"/>
      <c r="H37" s="1117"/>
      <c r="I37" s="1117"/>
      <c r="J37" s="1117"/>
      <c r="K37" s="1117"/>
      <c r="L37" s="1117"/>
      <c r="M37" s="1117"/>
      <c r="N37" s="1117"/>
      <c r="O37" s="1117"/>
      <c r="P37" s="1117"/>
      <c r="Q37" s="1117"/>
      <c r="R37" s="1117"/>
    </row>
    <row r="38" ht="15">
      <c r="B38" s="38"/>
    </row>
    <row r="39" spans="2:3" ht="15">
      <c r="B39" s="8" t="s">
        <v>534</v>
      </c>
      <c r="C39" s="8"/>
    </row>
    <row r="40" ht="15">
      <c r="B40" s="38"/>
    </row>
    <row r="41" spans="2:9" ht="15">
      <c r="B41" s="37" t="s">
        <v>533</v>
      </c>
      <c r="C41" s="1121" t="s">
        <v>532</v>
      </c>
      <c r="D41" s="1121"/>
      <c r="E41" s="1121"/>
      <c r="F41" s="1121"/>
      <c r="G41" s="1121"/>
      <c r="H41" s="1121"/>
      <c r="I41" s="1121"/>
    </row>
    <row r="42" spans="2:9" ht="15">
      <c r="B42" s="36"/>
      <c r="C42" s="35" t="s">
        <v>531</v>
      </c>
      <c r="D42" s="34"/>
      <c r="E42" s="34"/>
      <c r="F42" s="34"/>
      <c r="G42" s="34"/>
      <c r="H42" s="34"/>
      <c r="I42" s="33"/>
    </row>
    <row r="43" spans="2:9" ht="15">
      <c r="B43" s="32"/>
      <c r="C43" s="18" t="s">
        <v>530</v>
      </c>
      <c r="I43" s="27"/>
    </row>
    <row r="44" spans="2:9" ht="15">
      <c r="B44" s="31"/>
      <c r="C44" s="17" t="s">
        <v>529</v>
      </c>
      <c r="G44" s="30"/>
      <c r="I44" s="27"/>
    </row>
    <row r="45" spans="2:9" ht="15">
      <c r="B45" s="29"/>
      <c r="C45" s="18" t="s">
        <v>528</v>
      </c>
      <c r="I45" s="27"/>
    </row>
    <row r="46" spans="2:9" ht="15">
      <c r="B46" s="28"/>
      <c r="C46" s="17" t="s">
        <v>527</v>
      </c>
      <c r="I46" s="27"/>
    </row>
    <row r="47" spans="2:9" ht="15">
      <c r="B47" s="26"/>
      <c r="C47" s="25" t="s">
        <v>526</v>
      </c>
      <c r="D47" s="25"/>
      <c r="E47" s="25"/>
      <c r="F47" s="25"/>
      <c r="G47" s="25"/>
      <c r="H47" s="25"/>
      <c r="I47" s="24"/>
    </row>
    <row r="48" ht="15">
      <c r="H48" s="17" t="s">
        <v>525</v>
      </c>
    </row>
    <row r="49" spans="2:15" ht="15">
      <c r="B49" s="23" t="s">
        <v>524</v>
      </c>
      <c r="C49" s="23"/>
      <c r="D49" s="23"/>
      <c r="E49" s="23"/>
      <c r="F49" s="23"/>
      <c r="G49" s="23"/>
      <c r="H49" s="23"/>
      <c r="I49" s="23"/>
      <c r="J49" s="23"/>
      <c r="K49" s="23"/>
      <c r="L49" s="23"/>
      <c r="M49" s="23"/>
      <c r="N49" s="23"/>
      <c r="O49" s="23"/>
    </row>
    <row r="50" spans="2:15" ht="15">
      <c r="B50" s="23"/>
      <c r="C50" s="23"/>
      <c r="D50" s="23"/>
      <c r="E50" s="23"/>
      <c r="F50" s="23"/>
      <c r="G50" s="23"/>
      <c r="H50" s="23"/>
      <c r="I50" s="23"/>
      <c r="J50" s="23"/>
      <c r="K50" s="23"/>
      <c r="L50" s="23"/>
      <c r="M50" s="23"/>
      <c r="N50" s="23"/>
      <c r="O50" s="23"/>
    </row>
    <row r="51" spans="2:15" ht="15">
      <c r="B51" s="23"/>
      <c r="C51" s="23"/>
      <c r="D51" s="23"/>
      <c r="E51" s="23"/>
      <c r="F51" s="23"/>
      <c r="G51" s="23"/>
      <c r="H51" s="23"/>
      <c r="I51" s="23"/>
      <c r="J51" s="23"/>
      <c r="K51" s="23"/>
      <c r="L51" s="23"/>
      <c r="M51" s="23"/>
      <c r="N51" s="23"/>
      <c r="O51" s="23"/>
    </row>
    <row r="52" spans="2:15" ht="15">
      <c r="B52" s="23"/>
      <c r="C52" s="23"/>
      <c r="D52" s="23"/>
      <c r="E52" s="23"/>
      <c r="F52" s="23"/>
      <c r="G52" s="23"/>
      <c r="H52" s="23"/>
      <c r="I52" s="23"/>
      <c r="J52" s="23"/>
      <c r="K52" s="23"/>
      <c r="L52" s="23"/>
      <c r="M52" s="23"/>
      <c r="N52" s="23"/>
      <c r="O52" s="23"/>
    </row>
    <row r="53" spans="2:15" ht="15">
      <c r="B53" s="23"/>
      <c r="C53" s="23"/>
      <c r="D53" s="23"/>
      <c r="E53" s="23"/>
      <c r="F53" s="23"/>
      <c r="G53" s="23"/>
      <c r="H53" s="23"/>
      <c r="I53" s="23"/>
      <c r="J53" s="23"/>
      <c r="K53" s="23"/>
      <c r="L53" s="23"/>
      <c r="M53" s="23"/>
      <c r="N53" s="23"/>
      <c r="O53" s="23"/>
    </row>
    <row r="54" spans="2:15" ht="15">
      <c r="B54" s="23"/>
      <c r="C54" s="23"/>
      <c r="D54" s="23"/>
      <c r="E54" s="23"/>
      <c r="F54" s="23"/>
      <c r="G54" s="23"/>
      <c r="H54" s="23"/>
      <c r="I54" s="23"/>
      <c r="J54" s="23"/>
      <c r="K54" s="23"/>
      <c r="L54" s="23"/>
      <c r="M54" s="23"/>
      <c r="N54" s="23"/>
      <c r="O54" s="23"/>
    </row>
    <row r="55" spans="2:15" ht="15">
      <c r="B55" s="23"/>
      <c r="C55" s="23"/>
      <c r="D55" s="23"/>
      <c r="E55" s="23"/>
      <c r="F55" s="23"/>
      <c r="G55" s="23"/>
      <c r="H55" s="23"/>
      <c r="I55" s="23"/>
      <c r="J55" s="23"/>
      <c r="K55" s="23"/>
      <c r="L55" s="23"/>
      <c r="M55" s="23"/>
      <c r="N55" s="23"/>
      <c r="O55" s="23"/>
    </row>
    <row r="56" spans="2:15" ht="15">
      <c r="B56" s="23"/>
      <c r="C56" s="23"/>
      <c r="D56" s="23"/>
      <c r="E56" s="23"/>
      <c r="F56" s="23"/>
      <c r="G56" s="23"/>
      <c r="H56" s="23"/>
      <c r="I56" s="23"/>
      <c r="J56" s="23"/>
      <c r="K56" s="23"/>
      <c r="L56" s="23"/>
      <c r="M56" s="23"/>
      <c r="N56" s="23"/>
      <c r="O56" s="23"/>
    </row>
    <row r="57" spans="2:15" ht="15">
      <c r="B57" s="23"/>
      <c r="C57" s="23"/>
      <c r="D57" s="23"/>
      <c r="E57" s="23"/>
      <c r="F57" s="23"/>
      <c r="G57" s="23"/>
      <c r="H57" s="23"/>
      <c r="I57" s="23"/>
      <c r="J57" s="23"/>
      <c r="K57" s="23"/>
      <c r="L57" s="23"/>
      <c r="M57" s="23"/>
      <c r="N57" s="23"/>
      <c r="O57" s="23"/>
    </row>
    <row r="58" spans="2:15" ht="15">
      <c r="B58" s="23"/>
      <c r="C58" s="23"/>
      <c r="D58" s="23"/>
      <c r="E58" s="23"/>
      <c r="F58" s="23"/>
      <c r="G58" s="23"/>
      <c r="H58" s="23"/>
      <c r="I58" s="23"/>
      <c r="J58" s="23"/>
      <c r="K58" s="23"/>
      <c r="L58" s="23"/>
      <c r="M58" s="23"/>
      <c r="N58" s="23"/>
      <c r="O58" s="23"/>
    </row>
    <row r="59" spans="2:15" ht="15">
      <c r="B59" s="23"/>
      <c r="C59" s="23"/>
      <c r="D59" s="23"/>
      <c r="E59" s="23"/>
      <c r="F59" s="23"/>
      <c r="G59" s="23"/>
      <c r="H59" s="23"/>
      <c r="I59" s="23"/>
      <c r="J59" s="23"/>
      <c r="K59" s="23"/>
      <c r="L59" s="23"/>
      <c r="M59" s="23"/>
      <c r="N59" s="23"/>
      <c r="O59" s="23"/>
    </row>
    <row r="60" spans="2:15" ht="15">
      <c r="B60" s="23"/>
      <c r="C60" s="23"/>
      <c r="D60" s="23"/>
      <c r="E60" s="23"/>
      <c r="F60" s="23"/>
      <c r="G60" s="23"/>
      <c r="H60" s="23"/>
      <c r="I60" s="23"/>
      <c r="J60" s="23"/>
      <c r="K60" s="23"/>
      <c r="L60" s="23"/>
      <c r="M60" s="23"/>
      <c r="N60" s="23"/>
      <c r="O60" s="23"/>
    </row>
    <row r="61" spans="2:15" ht="15">
      <c r="B61" s="23"/>
      <c r="C61" s="23"/>
      <c r="D61" s="23"/>
      <c r="E61" s="23"/>
      <c r="F61" s="23"/>
      <c r="G61" s="23"/>
      <c r="H61" s="23"/>
      <c r="I61" s="23"/>
      <c r="J61" s="23"/>
      <c r="K61" s="23"/>
      <c r="L61" s="23"/>
      <c r="M61" s="23"/>
      <c r="N61" s="23"/>
      <c r="O61" s="23"/>
    </row>
    <row r="62" spans="2:15" ht="15">
      <c r="B62" s="23"/>
      <c r="C62" s="23"/>
      <c r="D62" s="23"/>
      <c r="E62" s="23"/>
      <c r="F62" s="23"/>
      <c r="G62" s="23"/>
      <c r="H62" s="23"/>
      <c r="I62" s="23"/>
      <c r="J62" s="23"/>
      <c r="K62" s="23"/>
      <c r="L62" s="23"/>
      <c r="M62" s="23"/>
      <c r="N62" s="23"/>
      <c r="O62" s="23"/>
    </row>
    <row r="63" spans="2:15" ht="15">
      <c r="B63" s="23"/>
      <c r="C63" s="23"/>
      <c r="D63" s="23"/>
      <c r="E63" s="23"/>
      <c r="F63" s="23"/>
      <c r="G63" s="23"/>
      <c r="H63" s="23"/>
      <c r="I63" s="23"/>
      <c r="J63" s="23"/>
      <c r="K63" s="23"/>
      <c r="L63" s="23"/>
      <c r="M63" s="23"/>
      <c r="N63" s="23"/>
      <c r="O63" s="23"/>
    </row>
    <row r="64" spans="2:15" ht="15">
      <c r="B64" s="23"/>
      <c r="C64" s="23"/>
      <c r="D64" s="23"/>
      <c r="E64" s="23"/>
      <c r="F64" s="23"/>
      <c r="G64" s="23"/>
      <c r="H64" s="23"/>
      <c r="I64" s="23"/>
      <c r="J64" s="23"/>
      <c r="K64" s="23"/>
      <c r="L64" s="23"/>
      <c r="M64" s="23"/>
      <c r="N64" s="23"/>
      <c r="O64" s="23"/>
    </row>
    <row r="65" spans="2:15" ht="15">
      <c r="B65" s="23"/>
      <c r="C65" s="23"/>
      <c r="D65" s="23"/>
      <c r="E65" s="23"/>
      <c r="F65" s="23"/>
      <c r="G65" s="23"/>
      <c r="H65" s="23"/>
      <c r="I65" s="23"/>
      <c r="J65" s="23"/>
      <c r="K65" s="23"/>
      <c r="L65" s="23"/>
      <c r="M65" s="23"/>
      <c r="N65" s="23"/>
      <c r="O65" s="23"/>
    </row>
    <row r="66" spans="2:15" ht="15">
      <c r="B66" s="23"/>
      <c r="C66" s="23"/>
      <c r="D66" s="23"/>
      <c r="E66" s="23"/>
      <c r="F66" s="23"/>
      <c r="G66" s="23"/>
      <c r="H66" s="23"/>
      <c r="I66" s="23"/>
      <c r="J66" s="23"/>
      <c r="K66" s="23"/>
      <c r="L66" s="23"/>
      <c r="M66" s="23"/>
      <c r="N66" s="23"/>
      <c r="O66" s="23"/>
    </row>
    <row r="67" spans="2:15" ht="15">
      <c r="B67" s="23"/>
      <c r="C67" s="23"/>
      <c r="D67" s="23"/>
      <c r="E67" s="23"/>
      <c r="F67" s="23"/>
      <c r="G67" s="23"/>
      <c r="H67" s="23"/>
      <c r="I67" s="23"/>
      <c r="J67" s="23"/>
      <c r="K67" s="23"/>
      <c r="L67" s="23"/>
      <c r="M67" s="23"/>
      <c r="N67" s="23"/>
      <c r="O67" s="23"/>
    </row>
    <row r="68" spans="2:15" ht="15">
      <c r="B68" s="23"/>
      <c r="C68" s="23"/>
      <c r="D68" s="23"/>
      <c r="E68" s="23"/>
      <c r="F68" s="23"/>
      <c r="G68" s="23"/>
      <c r="H68" s="23"/>
      <c r="I68" s="23"/>
      <c r="J68" s="23"/>
      <c r="K68" s="23"/>
      <c r="L68" s="23"/>
      <c r="M68" s="23"/>
      <c r="N68" s="23"/>
      <c r="O68" s="23"/>
    </row>
    <row r="69" spans="2:15" ht="15">
      <c r="B69" s="23"/>
      <c r="C69" s="23"/>
      <c r="D69" s="23"/>
      <c r="E69" s="23"/>
      <c r="F69" s="23"/>
      <c r="G69" s="23"/>
      <c r="H69" s="23"/>
      <c r="I69" s="23"/>
      <c r="J69" s="23"/>
      <c r="K69" s="23"/>
      <c r="L69" s="23"/>
      <c r="M69" s="23"/>
      <c r="N69" s="23"/>
      <c r="O69" s="23"/>
    </row>
    <row r="70" spans="2:15" ht="15">
      <c r="B70" s="23"/>
      <c r="C70" s="23"/>
      <c r="D70" s="23"/>
      <c r="E70" s="23"/>
      <c r="F70" s="23"/>
      <c r="G70" s="23"/>
      <c r="H70" s="23"/>
      <c r="I70" s="23"/>
      <c r="J70" s="23"/>
      <c r="K70" s="23"/>
      <c r="L70" s="23"/>
      <c r="M70" s="23"/>
      <c r="N70" s="23"/>
      <c r="O70" s="23"/>
    </row>
    <row r="71" spans="2:15" ht="15">
      <c r="B71" s="23"/>
      <c r="C71" s="23"/>
      <c r="D71" s="23"/>
      <c r="E71" s="23"/>
      <c r="F71" s="23"/>
      <c r="G71" s="23"/>
      <c r="H71" s="23"/>
      <c r="I71" s="23"/>
      <c r="J71" s="23"/>
      <c r="K71" s="23"/>
      <c r="L71" s="23"/>
      <c r="M71" s="23"/>
      <c r="N71" s="23"/>
      <c r="O71" s="23"/>
    </row>
    <row r="72" ht="12.75"/>
    <row r="73" spans="2:18" ht="15">
      <c r="B73" s="22"/>
      <c r="C73" s="19"/>
      <c r="D73" s="19"/>
      <c r="E73" s="19"/>
      <c r="F73" s="19"/>
      <c r="G73" s="19"/>
      <c r="H73" s="19"/>
      <c r="I73" s="19"/>
      <c r="J73" s="19"/>
      <c r="K73" s="19"/>
      <c r="L73" s="19"/>
      <c r="M73" s="19"/>
      <c r="N73" s="19"/>
      <c r="O73" s="19"/>
      <c r="P73" s="19"/>
      <c r="Q73" s="19"/>
      <c r="R73" s="19"/>
    </row>
    <row r="74" spans="2:18" ht="15">
      <c r="B74" s="1117" t="s">
        <v>523</v>
      </c>
      <c r="C74" s="1117"/>
      <c r="D74" s="1117"/>
      <c r="E74" s="1117"/>
      <c r="F74" s="1117"/>
      <c r="G74" s="1117"/>
      <c r="H74" s="1117"/>
      <c r="I74" s="1117"/>
      <c r="J74" s="1117"/>
      <c r="K74" s="1117"/>
      <c r="L74" s="1117"/>
      <c r="M74" s="1117"/>
      <c r="N74" s="1117"/>
      <c r="O74" s="1117"/>
      <c r="P74" s="1117"/>
      <c r="Q74" s="1117"/>
      <c r="R74" s="1117"/>
    </row>
    <row r="75" spans="2:18" ht="15">
      <c r="B75" s="21"/>
      <c r="C75" s="18"/>
      <c r="D75" s="19"/>
      <c r="E75" s="19"/>
      <c r="F75" s="19"/>
      <c r="G75" s="19"/>
      <c r="H75" s="19"/>
      <c r="I75" s="19"/>
      <c r="J75" s="19"/>
      <c r="K75" s="19"/>
      <c r="L75" s="19"/>
      <c r="M75" s="19"/>
      <c r="N75" s="19"/>
      <c r="O75" s="19"/>
      <c r="P75" s="19"/>
      <c r="Q75" s="19"/>
      <c r="R75" s="19"/>
    </row>
    <row r="76" spans="2:18" ht="15">
      <c r="B76" s="17" t="s">
        <v>522</v>
      </c>
      <c r="C76" s="17" t="s">
        <v>521</v>
      </c>
      <c r="D76" s="19"/>
      <c r="E76" s="19"/>
      <c r="F76" s="19"/>
      <c r="G76" s="19"/>
      <c r="H76" s="19"/>
      <c r="I76" s="19"/>
      <c r="J76" s="19"/>
      <c r="K76" s="19"/>
      <c r="L76" s="19"/>
      <c r="M76" s="19"/>
      <c r="N76" s="19"/>
      <c r="O76" s="19"/>
      <c r="P76" s="19"/>
      <c r="Q76" s="19"/>
      <c r="R76" s="19"/>
    </row>
    <row r="77" spans="2:18" ht="15">
      <c r="B77" s="17" t="s">
        <v>520</v>
      </c>
      <c r="C77" s="17" t="s">
        <v>519</v>
      </c>
      <c r="D77" s="19"/>
      <c r="E77" s="19"/>
      <c r="F77" s="19"/>
      <c r="G77" s="19"/>
      <c r="H77" s="19"/>
      <c r="I77" s="19"/>
      <c r="J77" s="19"/>
      <c r="K77" s="19"/>
      <c r="L77" s="19"/>
      <c r="M77" s="19"/>
      <c r="N77" s="19"/>
      <c r="O77" s="19"/>
      <c r="P77" s="19"/>
      <c r="Q77" s="19"/>
      <c r="R77" s="19"/>
    </row>
    <row r="78" spans="2:18" ht="15">
      <c r="B78" s="17" t="s">
        <v>1449</v>
      </c>
      <c r="C78" s="17" t="s">
        <v>518</v>
      </c>
      <c r="D78" s="19"/>
      <c r="E78" s="19"/>
      <c r="F78" s="19"/>
      <c r="G78" s="19"/>
      <c r="H78" s="19"/>
      <c r="I78" s="19"/>
      <c r="J78" s="19"/>
      <c r="K78" s="19"/>
      <c r="L78" s="19"/>
      <c r="M78" s="19"/>
      <c r="N78" s="19"/>
      <c r="O78" s="19"/>
      <c r="P78" s="19"/>
      <c r="Q78" s="19"/>
      <c r="R78" s="19"/>
    </row>
    <row r="79" spans="2:18" ht="15">
      <c r="B79" s="17" t="s">
        <v>1450</v>
      </c>
      <c r="C79" s="17" t="s">
        <v>1451</v>
      </c>
      <c r="D79" s="19"/>
      <c r="E79" s="19"/>
      <c r="F79" s="19"/>
      <c r="G79" s="19"/>
      <c r="H79" s="19"/>
      <c r="I79" s="19"/>
      <c r="J79" s="19"/>
      <c r="K79" s="19"/>
      <c r="L79" s="19"/>
      <c r="M79" s="19"/>
      <c r="N79" s="19"/>
      <c r="O79" s="19"/>
      <c r="P79" s="19"/>
      <c r="Q79" s="19"/>
      <c r="R79" s="19"/>
    </row>
    <row r="80" spans="2:18" ht="15">
      <c r="B80" s="17" t="s">
        <v>193</v>
      </c>
      <c r="C80" s="17" t="s">
        <v>517</v>
      </c>
      <c r="D80" s="19"/>
      <c r="E80" s="19"/>
      <c r="F80" s="19"/>
      <c r="G80" s="19"/>
      <c r="H80" s="19"/>
      <c r="I80" s="19"/>
      <c r="J80" s="19"/>
      <c r="K80" s="19"/>
      <c r="L80" s="19"/>
      <c r="M80" s="19"/>
      <c r="N80" s="19"/>
      <c r="O80" s="19"/>
      <c r="P80" s="19"/>
      <c r="Q80" s="19"/>
      <c r="R80" s="19"/>
    </row>
    <row r="81" spans="2:18" ht="15">
      <c r="B81" s="20" t="s">
        <v>516</v>
      </c>
      <c r="C81" s="18" t="s">
        <v>1152</v>
      </c>
      <c r="D81" s="19"/>
      <c r="E81" s="19"/>
      <c r="F81" s="19"/>
      <c r="G81" s="19"/>
      <c r="H81" s="19"/>
      <c r="I81" s="19"/>
      <c r="J81" s="19"/>
      <c r="K81" s="19"/>
      <c r="L81" s="19"/>
      <c r="M81" s="19"/>
      <c r="N81" s="19"/>
      <c r="O81" s="19"/>
      <c r="P81" s="19"/>
      <c r="Q81" s="19"/>
      <c r="R81" s="19"/>
    </row>
    <row r="82" spans="2:18" ht="15">
      <c r="B82" s="20" t="s">
        <v>515</v>
      </c>
      <c r="C82" s="18" t="s">
        <v>514</v>
      </c>
      <c r="D82" s="19"/>
      <c r="E82" s="19"/>
      <c r="F82" s="19"/>
      <c r="G82" s="19"/>
      <c r="H82" s="19"/>
      <c r="I82" s="19"/>
      <c r="J82" s="19"/>
      <c r="K82" s="19"/>
      <c r="L82" s="19"/>
      <c r="M82" s="19"/>
      <c r="N82" s="19"/>
      <c r="O82" s="19"/>
      <c r="P82" s="19"/>
      <c r="Q82" s="19"/>
      <c r="R82" s="19"/>
    </row>
    <row r="83" spans="2:3" ht="15">
      <c r="B83" s="17" t="s">
        <v>513</v>
      </c>
      <c r="C83" s="18" t="s">
        <v>512</v>
      </c>
    </row>
    <row r="84" spans="2:3" ht="15">
      <c r="B84" s="17" t="s">
        <v>511</v>
      </c>
      <c r="C84" s="18" t="s">
        <v>510</v>
      </c>
    </row>
    <row r="85" spans="2:3" ht="15">
      <c r="B85" s="17" t="s">
        <v>509</v>
      </c>
      <c r="C85" s="18" t="s">
        <v>508</v>
      </c>
    </row>
    <row r="86" spans="2:3" ht="15">
      <c r="B86" s="17" t="s">
        <v>507</v>
      </c>
      <c r="C86" s="18" t="s">
        <v>506</v>
      </c>
    </row>
    <row r="87" spans="2:3" ht="15">
      <c r="B87" s="17" t="s">
        <v>1243</v>
      </c>
      <c r="C87" s="18" t="s">
        <v>505</v>
      </c>
    </row>
    <row r="88" spans="2:3" ht="15">
      <c r="B88" s="17" t="s">
        <v>33</v>
      </c>
      <c r="C88" s="17" t="s">
        <v>504</v>
      </c>
    </row>
    <row r="89" spans="2:3" ht="15">
      <c r="B89" s="17" t="s">
        <v>90</v>
      </c>
      <c r="C89" s="17" t="s">
        <v>503</v>
      </c>
    </row>
    <row r="90" spans="2:3" ht="15">
      <c r="B90" s="17" t="s">
        <v>85</v>
      </c>
      <c r="C90" s="17" t="s">
        <v>502</v>
      </c>
    </row>
    <row r="91" spans="2:3" ht="15">
      <c r="B91" s="17" t="s">
        <v>1452</v>
      </c>
      <c r="C91" s="17" t="s">
        <v>1453</v>
      </c>
    </row>
    <row r="92" spans="2:3" ht="15">
      <c r="B92" s="17" t="s">
        <v>300</v>
      </c>
      <c r="C92" s="17" t="s">
        <v>501</v>
      </c>
    </row>
    <row r="93" spans="2:3" ht="15">
      <c r="B93" s="17" t="s">
        <v>500</v>
      </c>
      <c r="C93" s="17" t="s">
        <v>499</v>
      </c>
    </row>
    <row r="94" spans="2:3" ht="15.75">
      <c r="B94" s="17" t="s">
        <v>498</v>
      </c>
      <c r="C94" s="17" t="s">
        <v>497</v>
      </c>
    </row>
    <row r="95" spans="2:3" ht="15">
      <c r="B95" s="17" t="s">
        <v>496</v>
      </c>
      <c r="C95" s="17" t="s">
        <v>495</v>
      </c>
    </row>
    <row r="96" spans="2:3" ht="15">
      <c r="B96" s="17" t="s">
        <v>494</v>
      </c>
      <c r="C96" s="17" t="s">
        <v>493</v>
      </c>
    </row>
    <row r="97" spans="2:3" ht="15">
      <c r="B97" s="17" t="s">
        <v>492</v>
      </c>
      <c r="C97" s="17" t="s">
        <v>491</v>
      </c>
    </row>
    <row r="98" spans="2:3" ht="15">
      <c r="B98" s="17" t="s">
        <v>465</v>
      </c>
      <c r="C98" s="17" t="s">
        <v>490</v>
      </c>
    </row>
    <row r="99" spans="2:3" ht="15">
      <c r="B99" s="17" t="s">
        <v>7</v>
      </c>
      <c r="C99" s="17" t="s">
        <v>1244</v>
      </c>
    </row>
    <row r="100" spans="2:3" ht="15">
      <c r="B100" s="17" t="s">
        <v>489</v>
      </c>
      <c r="C100" s="17" t="s">
        <v>488</v>
      </c>
    </row>
    <row r="101" spans="2:3" ht="15">
      <c r="B101" s="17" t="s">
        <v>487</v>
      </c>
      <c r="C101" s="17" t="s">
        <v>486</v>
      </c>
    </row>
    <row r="102" spans="2:3" ht="15">
      <c r="B102" s="17" t="s">
        <v>485</v>
      </c>
      <c r="C102" s="17" t="s">
        <v>484</v>
      </c>
    </row>
    <row r="103" spans="2:3" ht="15">
      <c r="B103" s="17" t="s">
        <v>483</v>
      </c>
      <c r="C103" s="17" t="s">
        <v>482</v>
      </c>
    </row>
    <row r="104" spans="2:3" ht="15">
      <c r="B104" s="17" t="s">
        <v>481</v>
      </c>
      <c r="C104" s="17" t="s">
        <v>480</v>
      </c>
    </row>
    <row r="105" spans="2:3" ht="15">
      <c r="B105" s="17" t="s">
        <v>479</v>
      </c>
      <c r="C105" s="17" t="s">
        <v>478</v>
      </c>
    </row>
    <row r="106" spans="2:3" ht="15">
      <c r="B106" s="17" t="s">
        <v>477</v>
      </c>
      <c r="C106" s="17" t="s">
        <v>476</v>
      </c>
    </row>
    <row r="107" spans="2:3" ht="15">
      <c r="B107" s="17" t="s">
        <v>475</v>
      </c>
      <c r="C107" s="17" t="s">
        <v>474</v>
      </c>
    </row>
    <row r="108" spans="2:3" ht="15">
      <c r="B108" s="17" t="s">
        <v>473</v>
      </c>
      <c r="C108" s="17" t="s">
        <v>472</v>
      </c>
    </row>
    <row r="109" spans="2:3" ht="15">
      <c r="B109" s="17" t="s">
        <v>471</v>
      </c>
      <c r="C109" s="17" t="s">
        <v>470</v>
      </c>
    </row>
    <row r="110" spans="2:3" ht="15">
      <c r="B110" s="17" t="s">
        <v>469</v>
      </c>
      <c r="C110" s="17" t="s">
        <v>468</v>
      </c>
    </row>
    <row r="111" spans="2:3" ht="15">
      <c r="B111" s="17" t="s">
        <v>378</v>
      </c>
      <c r="C111" s="17" t="s">
        <v>467</v>
      </c>
    </row>
    <row r="112" spans="2:3" ht="15">
      <c r="B112" s="17" t="s">
        <v>466</v>
      </c>
      <c r="C112" s="17" t="s">
        <v>1563</v>
      </c>
    </row>
    <row r="113" spans="2:3" ht="15">
      <c r="B113" s="17" t="s">
        <v>464</v>
      </c>
      <c r="C113" s="17" t="s">
        <v>463</v>
      </c>
    </row>
    <row r="114" spans="2:3" ht="15">
      <c r="B114" s="17" t="s">
        <v>462</v>
      </c>
      <c r="C114" s="17" t="s">
        <v>461</v>
      </c>
    </row>
  </sheetData>
  <mergeCells count="13">
    <mergeCell ref="B23:N23"/>
    <mergeCell ref="B11:O18"/>
    <mergeCell ref="C41:I41"/>
    <mergeCell ref="B74:R74"/>
    <mergeCell ref="B20:R20"/>
    <mergeCell ref="B24:N24"/>
    <mergeCell ref="G32:R33"/>
    <mergeCell ref="B37:R37"/>
    <mergeCell ref="B2:R2"/>
    <mergeCell ref="B3:R3"/>
    <mergeCell ref="B5:R5"/>
    <mergeCell ref="B7:R7"/>
    <mergeCell ref="B8:O9"/>
  </mergeCells>
  <hyperlinks>
    <hyperlink ref="B24" r:id="rId1" display="http://infocarbono.minam.gob.pe/wp-content/uploads/2016/07/Guia-07_Portada-Original.pdf"/>
    <hyperlink ref="B23" r:id="rId2" display="Directrices del IPCC para los inventarios nacionales de gases de efecto invernadero - versión revisada en 2006 (GL 2006)"/>
  </hyperlinks>
  <printOptions/>
  <pageMargins left="0.7" right="0.7" top="0.75" bottom="0.75" header="0.511805555555555" footer="0.511805555555555"/>
  <pageSetup horizontalDpi="300" verticalDpi="300" orientation="portrait" paperSize="9"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336699"/>
  </sheetPr>
  <dimension ref="B1:AR51"/>
  <sheetViews>
    <sheetView workbookViewId="0" topLeftCell="A1"/>
  </sheetViews>
  <sheetFormatPr defaultColWidth="10.8515625" defaultRowHeight="15"/>
  <cols>
    <col min="1" max="1" width="2.57421875" style="0" customWidth="1"/>
    <col min="2" max="2" width="17.8515625" style="53" customWidth="1"/>
    <col min="3" max="11" width="15.57421875" style="53" customWidth="1"/>
    <col min="12" max="17" width="12.57421875" style="53" customWidth="1"/>
  </cols>
  <sheetData>
    <row r="1" spans="2:41" ht="17.45" customHeight="1">
      <c r="B1" s="302" t="s">
        <v>1032</v>
      </c>
      <c r="C1" s="302"/>
      <c r="D1" s="302"/>
      <c r="E1" s="302"/>
      <c r="F1" s="302"/>
      <c r="G1" s="302"/>
      <c r="H1" s="302"/>
      <c r="I1" s="302"/>
      <c r="R1" s="53"/>
      <c r="S1" s="53"/>
      <c r="T1" s="53"/>
      <c r="U1" s="53"/>
      <c r="V1" s="53"/>
      <c r="W1" s="53"/>
      <c r="X1" s="53"/>
      <c r="Y1" s="53"/>
      <c r="Z1" s="53"/>
      <c r="AA1" s="53"/>
      <c r="AB1" s="53"/>
      <c r="AC1" s="53"/>
      <c r="AD1" s="53"/>
      <c r="AE1" s="53"/>
      <c r="AF1" s="53"/>
      <c r="AG1" s="53"/>
      <c r="AH1" s="53"/>
      <c r="AI1" s="53"/>
      <c r="AJ1" s="53"/>
      <c r="AK1" s="53"/>
      <c r="AL1" s="53"/>
      <c r="AM1" s="53"/>
      <c r="AN1" s="53"/>
      <c r="AO1" s="53"/>
    </row>
    <row r="2" spans="2:29" ht="12.75">
      <c r="B2" s="63"/>
      <c r="C2" s="84"/>
      <c r="D2" s="84"/>
      <c r="E2" s="84"/>
      <c r="F2" s="84"/>
      <c r="G2" s="84"/>
      <c r="H2" s="85"/>
      <c r="I2" s="85"/>
      <c r="J2" s="85"/>
      <c r="R2" s="53"/>
      <c r="S2" s="53"/>
      <c r="T2" s="53"/>
      <c r="U2" s="53"/>
      <c r="V2" s="53"/>
      <c r="W2" s="53"/>
      <c r="X2" s="53"/>
      <c r="Y2" s="53"/>
      <c r="Z2" s="53"/>
      <c r="AA2" s="53"/>
      <c r="AB2" s="53"/>
      <c r="AC2" s="53"/>
    </row>
    <row r="3" spans="2:44" ht="15">
      <c r="B3" s="303" t="s">
        <v>348</v>
      </c>
      <c r="C3" s="303"/>
      <c r="D3" s="303"/>
      <c r="E3" s="303"/>
      <c r="F3" s="303"/>
      <c r="G3" s="303"/>
      <c r="H3" s="303"/>
      <c r="I3" s="30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row>
    <row r="4" spans="2:26" ht="12.75">
      <c r="B4" s="80"/>
      <c r="R4" s="53"/>
      <c r="S4" s="53"/>
      <c r="T4" s="53"/>
      <c r="U4" s="53"/>
      <c r="V4" s="53"/>
      <c r="W4" s="53"/>
      <c r="X4" s="53"/>
      <c r="Y4" s="53"/>
      <c r="Z4" s="53"/>
    </row>
    <row r="5" spans="2:28" ht="24" customHeight="1">
      <c r="B5" s="1315" t="s">
        <v>70</v>
      </c>
      <c r="C5" s="1317" t="s">
        <v>257</v>
      </c>
      <c r="D5" s="1317"/>
      <c r="E5" s="1317"/>
      <c r="F5" s="1317" t="s">
        <v>205</v>
      </c>
      <c r="G5" s="1317" t="s">
        <v>349</v>
      </c>
      <c r="H5" s="1317" t="s">
        <v>432</v>
      </c>
      <c r="I5" s="1317" t="s">
        <v>731</v>
      </c>
      <c r="J5" s="1317" t="s">
        <v>349</v>
      </c>
      <c r="K5" s="1317" t="s">
        <v>432</v>
      </c>
      <c r="R5" s="53"/>
      <c r="S5" s="53"/>
      <c r="T5" s="53"/>
      <c r="U5" s="53"/>
      <c r="V5" s="53"/>
      <c r="W5" s="53"/>
      <c r="X5" s="53"/>
      <c r="Y5" s="53"/>
      <c r="Z5" s="53"/>
      <c r="AA5" s="53"/>
      <c r="AB5" s="53"/>
    </row>
    <row r="6" spans="2:28" ht="25.5">
      <c r="B6" s="1316"/>
      <c r="C6" s="461" t="s">
        <v>730</v>
      </c>
      <c r="D6" s="461" t="s">
        <v>749</v>
      </c>
      <c r="E6" s="461" t="s">
        <v>1477</v>
      </c>
      <c r="F6" s="461" t="s">
        <v>730</v>
      </c>
      <c r="G6" s="461" t="s">
        <v>749</v>
      </c>
      <c r="H6" s="461" t="s">
        <v>1477</v>
      </c>
      <c r="I6" s="461" t="s">
        <v>730</v>
      </c>
      <c r="J6" s="461" t="s">
        <v>749</v>
      </c>
      <c r="K6" s="461" t="s">
        <v>1477</v>
      </c>
      <c r="R6" s="53"/>
      <c r="S6" s="53"/>
      <c r="T6" s="53"/>
      <c r="U6" s="53"/>
      <c r="V6" s="53"/>
      <c r="W6" s="53"/>
      <c r="X6" s="53"/>
      <c r="Y6" s="53"/>
      <c r="Z6" s="53"/>
      <c r="AA6" s="53"/>
      <c r="AB6" s="53"/>
    </row>
    <row r="7" spans="2:28" ht="15">
      <c r="B7" s="189" t="s">
        <v>2</v>
      </c>
      <c r="C7" s="479">
        <f>+SUM(C8:C31)</f>
        <v>86472.624</v>
      </c>
      <c r="D7" s="479"/>
      <c r="E7" s="479">
        <f>+SUM(E8:E31)</f>
        <v>82148.9928</v>
      </c>
      <c r="F7" s="479">
        <f>+SUM(F8:F31)</f>
        <v>414401.30000000005</v>
      </c>
      <c r="G7" s="479"/>
      <c r="H7" s="479">
        <f>+SUM(H8:H31)</f>
        <v>82880.26000000001</v>
      </c>
      <c r="I7" s="479">
        <f>+SUM(I8:I31)</f>
        <v>18874.21</v>
      </c>
      <c r="J7" s="479"/>
      <c r="K7" s="479">
        <f>+SUM(K8:K31)</f>
        <v>7549.684</v>
      </c>
      <c r="R7" s="53"/>
      <c r="S7" s="53"/>
      <c r="T7" s="53"/>
      <c r="U7" s="53"/>
      <c r="V7" s="53"/>
      <c r="W7" s="53"/>
      <c r="X7" s="53"/>
      <c r="Y7" s="53"/>
      <c r="Z7" s="53"/>
      <c r="AA7" s="53"/>
      <c r="AB7" s="53"/>
    </row>
    <row r="8" spans="2:28" ht="15">
      <c r="B8" s="78" t="s">
        <v>43</v>
      </c>
      <c r="C8" s="480">
        <f>+'IB 3C1'!C16</f>
        <v>0</v>
      </c>
      <c r="D8" s="224">
        <f>+'IB 3C1'!$D$49</f>
        <v>0.95</v>
      </c>
      <c r="E8" s="480">
        <f>+C8*D8</f>
        <v>0</v>
      </c>
      <c r="F8" s="480">
        <f>'IB 3C1'!D16</f>
        <v>52156</v>
      </c>
      <c r="G8" s="224">
        <f>'IB 3C1'!$D$50</f>
        <v>0.2</v>
      </c>
      <c r="H8" s="480">
        <f>+F8*G8</f>
        <v>10431.2</v>
      </c>
      <c r="I8" s="480">
        <f>'IB 3C1'!E16</f>
        <v>0</v>
      </c>
      <c r="J8" s="224">
        <f>'IB 3C1'!$D$51</f>
        <v>0.4</v>
      </c>
      <c r="K8" s="480">
        <f>+I8*J8</f>
        <v>0</v>
      </c>
      <c r="R8" s="53"/>
      <c r="S8" s="53"/>
      <c r="T8" s="53"/>
      <c r="U8" s="53"/>
      <c r="V8" s="53"/>
      <c r="W8" s="53"/>
      <c r="X8" s="53"/>
      <c r="Y8" s="53"/>
      <c r="Z8" s="53"/>
      <c r="AA8" s="53"/>
      <c r="AB8" s="53"/>
    </row>
    <row r="9" spans="2:28" ht="15">
      <c r="B9" s="78" t="s">
        <v>223</v>
      </c>
      <c r="C9" s="480">
        <f>+'IB 3C1'!C17</f>
        <v>7100.76</v>
      </c>
      <c r="D9" s="224">
        <f>+'IB 3C1'!$D$49</f>
        <v>0.95</v>
      </c>
      <c r="E9" s="480">
        <f aca="true" t="shared" si="0" ref="E9:E31">+C9*D9</f>
        <v>6745.722</v>
      </c>
      <c r="F9" s="480">
        <f>'IB 3C1'!D17</f>
        <v>5520</v>
      </c>
      <c r="G9" s="224">
        <f>'IB 3C1'!$D$50</f>
        <v>0.2</v>
      </c>
      <c r="H9" s="480">
        <f aca="true" t="shared" si="1" ref="H9:H31">+F9*G9</f>
        <v>1104</v>
      </c>
      <c r="I9" s="480">
        <f>'IB 3C1'!E17</f>
        <v>507</v>
      </c>
      <c r="J9" s="224">
        <f>'IB 3C1'!$D$51</f>
        <v>0.4</v>
      </c>
      <c r="K9" s="480">
        <f aca="true" t="shared" si="2" ref="K9:K31">+I9*J9</f>
        <v>202.8</v>
      </c>
      <c r="R9" s="53"/>
      <c r="S9" s="53"/>
      <c r="T9" s="53"/>
      <c r="U9" s="53"/>
      <c r="V9" s="53"/>
      <c r="W9" s="53"/>
      <c r="X9" s="53"/>
      <c r="Y9" s="53"/>
      <c r="Z9" s="53"/>
      <c r="AA9" s="53"/>
      <c r="AB9" s="53"/>
    </row>
    <row r="10" spans="2:28" ht="15">
      <c r="B10" s="78" t="s">
        <v>44</v>
      </c>
      <c r="C10" s="480">
        <f>+'IB 3C1'!C18</f>
        <v>0</v>
      </c>
      <c r="D10" s="224">
        <f>+'IB 3C1'!$D$49</f>
        <v>0.95</v>
      </c>
      <c r="E10" s="480">
        <f t="shared" si="0"/>
        <v>0</v>
      </c>
      <c r="F10" s="480">
        <f>'IB 3C1'!D18</f>
        <v>0</v>
      </c>
      <c r="G10" s="224">
        <f>'IB 3C1'!$D$50</f>
        <v>0.2</v>
      </c>
      <c r="H10" s="480">
        <f t="shared" si="1"/>
        <v>0</v>
      </c>
      <c r="I10" s="480">
        <f>'IB 3C1'!E18</f>
        <v>0</v>
      </c>
      <c r="J10" s="224">
        <f>'IB 3C1'!$D$51</f>
        <v>0.4</v>
      </c>
      <c r="K10" s="480">
        <f t="shared" si="2"/>
        <v>0</v>
      </c>
      <c r="R10" s="53"/>
      <c r="S10" s="53"/>
      <c r="T10" s="53"/>
      <c r="U10" s="53"/>
      <c r="V10" s="53"/>
      <c r="W10" s="53"/>
      <c r="X10" s="53"/>
      <c r="Y10" s="53"/>
      <c r="Z10" s="53"/>
      <c r="AA10" s="53"/>
      <c r="AB10" s="53"/>
    </row>
    <row r="11" spans="2:28" ht="15">
      <c r="B11" s="78" t="s">
        <v>45</v>
      </c>
      <c r="C11" s="480">
        <f>+'IB 3C1'!C19</f>
        <v>605.2700000000001</v>
      </c>
      <c r="D11" s="224">
        <f>+'IB 3C1'!$D$49</f>
        <v>0.95</v>
      </c>
      <c r="E11" s="480">
        <f t="shared" si="0"/>
        <v>575.0065000000001</v>
      </c>
      <c r="F11" s="480">
        <f>'IB 3C1'!D19</f>
        <v>20147</v>
      </c>
      <c r="G11" s="224">
        <f>'IB 3C1'!$D$50</f>
        <v>0.2</v>
      </c>
      <c r="H11" s="480">
        <f t="shared" si="1"/>
        <v>4029.4</v>
      </c>
      <c r="I11" s="480">
        <f>'IB 3C1'!E19</f>
        <v>443</v>
      </c>
      <c r="J11" s="224">
        <f>'IB 3C1'!$D$51</f>
        <v>0.4</v>
      </c>
      <c r="K11" s="480">
        <f t="shared" si="2"/>
        <v>177.20000000000002</v>
      </c>
      <c r="R11" s="53"/>
      <c r="S11" s="53"/>
      <c r="T11" s="53"/>
      <c r="U11" s="53"/>
      <c r="V11" s="53"/>
      <c r="W11" s="53"/>
      <c r="X11" s="53"/>
      <c r="Y11" s="53"/>
      <c r="Z11" s="53"/>
      <c r="AA11" s="53"/>
      <c r="AB11" s="53"/>
    </row>
    <row r="12" spans="2:26" ht="15">
      <c r="B12" s="78" t="s">
        <v>46</v>
      </c>
      <c r="C12" s="480">
        <f>+'IB 3C1'!C20</f>
        <v>0</v>
      </c>
      <c r="D12" s="224">
        <f>+'IB 3C1'!$D$49</f>
        <v>0.95</v>
      </c>
      <c r="E12" s="480">
        <f t="shared" si="0"/>
        <v>0</v>
      </c>
      <c r="F12" s="480">
        <f>'IB 3C1'!D20</f>
        <v>32</v>
      </c>
      <c r="G12" s="224">
        <f>'IB 3C1'!$D$50</f>
        <v>0.2</v>
      </c>
      <c r="H12" s="480">
        <f t="shared" si="1"/>
        <v>6.4</v>
      </c>
      <c r="I12" s="480">
        <f>'IB 3C1'!E20</f>
        <v>0</v>
      </c>
      <c r="J12" s="224">
        <f>'IB 3C1'!$D$51</f>
        <v>0.4</v>
      </c>
      <c r="K12" s="480">
        <f t="shared" si="2"/>
        <v>0</v>
      </c>
      <c r="R12" s="53"/>
      <c r="S12" s="53"/>
      <c r="T12" s="53"/>
      <c r="U12" s="53"/>
      <c r="V12" s="53"/>
      <c r="W12" s="53"/>
      <c r="X12" s="53"/>
      <c r="Y12" s="53"/>
      <c r="Z12" s="53"/>
    </row>
    <row r="13" spans="2:26" ht="15">
      <c r="B13" s="78" t="s">
        <v>47</v>
      </c>
      <c r="C13" s="480">
        <f>+'IB 3C1'!C21</f>
        <v>0</v>
      </c>
      <c r="D13" s="224">
        <f>+'IB 3C1'!$D$49</f>
        <v>0.95</v>
      </c>
      <c r="E13" s="480">
        <f t="shared" si="0"/>
        <v>0</v>
      </c>
      <c r="F13" s="480">
        <f>'IB 3C1'!D21</f>
        <v>22944</v>
      </c>
      <c r="G13" s="224">
        <f>'IB 3C1'!$D$50</f>
        <v>0.2</v>
      </c>
      <c r="H13" s="480">
        <f t="shared" si="1"/>
        <v>4588.8</v>
      </c>
      <c r="I13" s="480">
        <f>'IB 3C1'!E21</f>
        <v>0</v>
      </c>
      <c r="J13" s="224">
        <f>'IB 3C1'!$D$51</f>
        <v>0.4</v>
      </c>
      <c r="K13" s="480">
        <f t="shared" si="2"/>
        <v>0</v>
      </c>
      <c r="R13" s="53"/>
      <c r="S13" s="53"/>
      <c r="T13" s="53"/>
      <c r="U13" s="53"/>
      <c r="V13" s="53"/>
      <c r="W13" s="53"/>
      <c r="X13" s="53"/>
      <c r="Y13" s="53"/>
      <c r="Z13" s="53"/>
    </row>
    <row r="14" spans="2:26" ht="15">
      <c r="B14" s="78" t="s">
        <v>48</v>
      </c>
      <c r="C14" s="480">
        <f>+'IB 3C1'!C22</f>
        <v>0</v>
      </c>
      <c r="D14" s="224">
        <f>+'IB 3C1'!$D$49</f>
        <v>0.95</v>
      </c>
      <c r="E14" s="480">
        <f t="shared" si="0"/>
        <v>0</v>
      </c>
      <c r="F14" s="480">
        <f>'IB 3C1'!D22</f>
        <v>1029</v>
      </c>
      <c r="G14" s="224">
        <f>'IB 3C1'!$D$50</f>
        <v>0.2</v>
      </c>
      <c r="H14" s="480">
        <f t="shared" si="1"/>
        <v>205.8</v>
      </c>
      <c r="I14" s="480">
        <f>'IB 3C1'!E22</f>
        <v>0</v>
      </c>
      <c r="J14" s="224">
        <f>'IB 3C1'!$D$51</f>
        <v>0.4</v>
      </c>
      <c r="K14" s="480">
        <f t="shared" si="2"/>
        <v>0</v>
      </c>
      <c r="R14" s="53"/>
      <c r="S14" s="53"/>
      <c r="T14" s="53"/>
      <c r="U14" s="53"/>
      <c r="V14" s="53"/>
      <c r="W14" s="53"/>
      <c r="X14" s="53"/>
      <c r="Y14" s="53"/>
      <c r="Z14" s="53"/>
    </row>
    <row r="15" spans="2:26" ht="15">
      <c r="B15" s="78" t="s">
        <v>49</v>
      </c>
      <c r="C15" s="480">
        <f>+'IB 3C1'!C23</f>
        <v>0</v>
      </c>
      <c r="D15" s="224">
        <f>+'IB 3C1'!$D$49</f>
        <v>0.95</v>
      </c>
      <c r="E15" s="480">
        <f t="shared" si="0"/>
        <v>0</v>
      </c>
      <c r="F15" s="480">
        <f>'IB 3C1'!D23</f>
        <v>0</v>
      </c>
      <c r="G15" s="224">
        <f>'IB 3C1'!$D$50</f>
        <v>0.2</v>
      </c>
      <c r="H15" s="480">
        <f t="shared" si="1"/>
        <v>0</v>
      </c>
      <c r="I15" s="480">
        <f>'IB 3C1'!E23</f>
        <v>0</v>
      </c>
      <c r="J15" s="224">
        <f>'IB 3C1'!$D$51</f>
        <v>0.4</v>
      </c>
      <c r="K15" s="480">
        <f t="shared" si="2"/>
        <v>0</v>
      </c>
      <c r="R15" s="53"/>
      <c r="S15" s="53"/>
      <c r="T15" s="53"/>
      <c r="U15" s="53"/>
      <c r="V15" s="53"/>
      <c r="W15" s="53"/>
      <c r="X15" s="53"/>
      <c r="Y15" s="53"/>
      <c r="Z15" s="53"/>
    </row>
    <row r="16" spans="2:26" ht="15">
      <c r="B16" s="78" t="s">
        <v>50</v>
      </c>
      <c r="C16" s="480">
        <f>+'IB 3C1'!C24</f>
        <v>0</v>
      </c>
      <c r="D16" s="224">
        <f>+'IB 3C1'!$D$49</f>
        <v>0.95</v>
      </c>
      <c r="E16" s="480">
        <f t="shared" si="0"/>
        <v>0</v>
      </c>
      <c r="F16" s="480">
        <f>'IB 3C1'!D24</f>
        <v>7518.5</v>
      </c>
      <c r="G16" s="224">
        <f>'IB 3C1'!$D$50</f>
        <v>0.2</v>
      </c>
      <c r="H16" s="480">
        <f t="shared" si="1"/>
        <v>1503.7</v>
      </c>
      <c r="I16" s="480">
        <f>'IB 3C1'!E24</f>
        <v>0</v>
      </c>
      <c r="J16" s="224">
        <f>'IB 3C1'!$D$51</f>
        <v>0.4</v>
      </c>
      <c r="K16" s="480">
        <f t="shared" si="2"/>
        <v>0</v>
      </c>
      <c r="R16" s="53"/>
      <c r="S16" s="53"/>
      <c r="T16" s="53"/>
      <c r="U16" s="53"/>
      <c r="V16" s="53"/>
      <c r="W16" s="53"/>
      <c r="X16" s="53"/>
      <c r="Y16" s="53"/>
      <c r="Z16" s="53"/>
    </row>
    <row r="17" spans="2:20" ht="15">
      <c r="B17" s="78" t="s">
        <v>51</v>
      </c>
      <c r="C17" s="480">
        <f>+'IB 3C1'!C25</f>
        <v>0</v>
      </c>
      <c r="D17" s="224">
        <f>+'IB 3C1'!$D$49</f>
        <v>0.95</v>
      </c>
      <c r="E17" s="480">
        <f t="shared" si="0"/>
        <v>0</v>
      </c>
      <c r="F17" s="480">
        <f>'IB 3C1'!D25</f>
        <v>0</v>
      </c>
      <c r="G17" s="224">
        <f>'IB 3C1'!$D$50</f>
        <v>0.2</v>
      </c>
      <c r="H17" s="480">
        <f t="shared" si="1"/>
        <v>0</v>
      </c>
      <c r="I17" s="480">
        <f>'IB 3C1'!E25</f>
        <v>11175.85</v>
      </c>
      <c r="J17" s="224">
        <f>'IB 3C1'!$D$51</f>
        <v>0.4</v>
      </c>
      <c r="K17" s="480">
        <f t="shared" si="2"/>
        <v>4470.34</v>
      </c>
      <c r="R17" s="53"/>
      <c r="S17" s="53"/>
      <c r="T17" s="53"/>
    </row>
    <row r="18" spans="2:20" ht="15">
      <c r="B18" s="78" t="s">
        <v>52</v>
      </c>
      <c r="C18" s="480">
        <f>+'IB 3C1'!C26</f>
        <v>0</v>
      </c>
      <c r="D18" s="224">
        <f>+'IB 3C1'!$D$49</f>
        <v>0.95</v>
      </c>
      <c r="E18" s="480">
        <f t="shared" si="0"/>
        <v>0</v>
      </c>
      <c r="F18" s="480">
        <f>'IB 3C1'!D26</f>
        <v>663.15</v>
      </c>
      <c r="G18" s="224">
        <f>'IB 3C1'!$D$50</f>
        <v>0.2</v>
      </c>
      <c r="H18" s="480">
        <f t="shared" si="1"/>
        <v>132.63</v>
      </c>
      <c r="I18" s="480">
        <f>'IB 3C1'!E26</f>
        <v>0</v>
      </c>
      <c r="J18" s="224">
        <f>'IB 3C1'!$D$51</f>
        <v>0.4</v>
      </c>
      <c r="K18" s="480">
        <f t="shared" si="2"/>
        <v>0</v>
      </c>
      <c r="R18" s="53"/>
      <c r="S18" s="53"/>
      <c r="T18" s="53"/>
    </row>
    <row r="19" spans="2:20" ht="15">
      <c r="B19" s="78" t="s">
        <v>53</v>
      </c>
      <c r="C19" s="480">
        <f>+'IB 3C1'!C27</f>
        <v>38716.51400000001</v>
      </c>
      <c r="D19" s="224">
        <f>+'IB 3C1'!$D$49</f>
        <v>0.95</v>
      </c>
      <c r="E19" s="480">
        <f t="shared" si="0"/>
        <v>36780.68830000001</v>
      </c>
      <c r="F19" s="480">
        <f>'IB 3C1'!D27</f>
        <v>32621.5</v>
      </c>
      <c r="G19" s="224">
        <f>'IB 3C1'!$D$50</f>
        <v>0.2</v>
      </c>
      <c r="H19" s="480">
        <f t="shared" si="1"/>
        <v>6524.3</v>
      </c>
      <c r="I19" s="480">
        <f>'IB 3C1'!E27</f>
        <v>50</v>
      </c>
      <c r="J19" s="224">
        <f>'IB 3C1'!$D$51</f>
        <v>0.4</v>
      </c>
      <c r="K19" s="480">
        <f t="shared" si="2"/>
        <v>20</v>
      </c>
      <c r="R19" s="53"/>
      <c r="S19" s="53"/>
      <c r="T19" s="53"/>
    </row>
    <row r="20" spans="2:20" ht="15">
      <c r="B20" s="78" t="s">
        <v>54</v>
      </c>
      <c r="C20" s="480">
        <f>+'IB 3C1'!C28</f>
        <v>26361.909999999996</v>
      </c>
      <c r="D20" s="224">
        <f>+'IB 3C1'!$D$49</f>
        <v>0.95</v>
      </c>
      <c r="E20" s="480">
        <f t="shared" si="0"/>
        <v>25043.814499999997</v>
      </c>
      <c r="F20" s="480">
        <f>'IB 3C1'!D28</f>
        <v>47936</v>
      </c>
      <c r="G20" s="224">
        <f>'IB 3C1'!$D$50</f>
        <v>0.2</v>
      </c>
      <c r="H20" s="480">
        <f t="shared" si="1"/>
        <v>9587.2</v>
      </c>
      <c r="I20" s="480">
        <f>'IB 3C1'!E28</f>
        <v>2957</v>
      </c>
      <c r="J20" s="224">
        <f>'IB 3C1'!$D$51</f>
        <v>0.4</v>
      </c>
      <c r="K20" s="480">
        <f t="shared" si="2"/>
        <v>1182.8</v>
      </c>
      <c r="R20" s="53"/>
      <c r="S20" s="53"/>
      <c r="T20" s="53"/>
    </row>
    <row r="21" spans="2:20" ht="15">
      <c r="B21" s="78" t="s">
        <v>55</v>
      </c>
      <c r="C21" s="480">
        <f>+'IB 3C1'!C29</f>
        <v>11846.58</v>
      </c>
      <c r="D21" s="224">
        <f>+'IB 3C1'!$D$49</f>
        <v>0.95</v>
      </c>
      <c r="E21" s="480">
        <f t="shared" si="0"/>
        <v>11254.251</v>
      </c>
      <c r="F21" s="480">
        <f>'IB 3C1'!D29</f>
        <v>0</v>
      </c>
      <c r="G21" s="224">
        <f>'IB 3C1'!$D$50</f>
        <v>0.2</v>
      </c>
      <c r="H21" s="480">
        <f t="shared" si="1"/>
        <v>0</v>
      </c>
      <c r="I21" s="480">
        <f>'IB 3C1'!E29</f>
        <v>915</v>
      </c>
      <c r="J21" s="224">
        <f>'IB 3C1'!$D$51</f>
        <v>0.4</v>
      </c>
      <c r="K21" s="480">
        <f t="shared" si="2"/>
        <v>366</v>
      </c>
      <c r="R21" s="53"/>
      <c r="S21" s="53"/>
      <c r="T21" s="53"/>
    </row>
    <row r="22" spans="2:20" ht="15">
      <c r="B22" s="78" t="s">
        <v>56</v>
      </c>
      <c r="C22" s="480">
        <f>+'IB 3C1'!C30</f>
        <v>0</v>
      </c>
      <c r="D22" s="224">
        <f>+'IB 3C1'!$D$49</f>
        <v>0.95</v>
      </c>
      <c r="E22" s="480">
        <f t="shared" si="0"/>
        <v>0</v>
      </c>
      <c r="F22" s="480">
        <f>'IB 3C1'!D30</f>
        <v>35542</v>
      </c>
      <c r="G22" s="224">
        <f>'IB 3C1'!$D$50</f>
        <v>0.2</v>
      </c>
      <c r="H22" s="480">
        <f t="shared" si="1"/>
        <v>7108.400000000001</v>
      </c>
      <c r="I22" s="480">
        <f>'IB 3C1'!E30</f>
        <v>0</v>
      </c>
      <c r="J22" s="224">
        <f>'IB 3C1'!$D$51</f>
        <v>0.4</v>
      </c>
      <c r="K22" s="480">
        <f t="shared" si="2"/>
        <v>0</v>
      </c>
      <c r="R22" s="53"/>
      <c r="S22" s="53"/>
      <c r="T22" s="53"/>
    </row>
    <row r="23" spans="2:20" ht="15">
      <c r="B23" s="78" t="s">
        <v>57</v>
      </c>
      <c r="C23" s="480">
        <f>+'IB 3C1'!C31</f>
        <v>0</v>
      </c>
      <c r="D23" s="224">
        <f>+'IB 3C1'!$D$49</f>
        <v>0.95</v>
      </c>
      <c r="E23" s="480">
        <f t="shared" si="0"/>
        <v>0</v>
      </c>
      <c r="F23" s="480">
        <f>'IB 3C1'!D31</f>
        <v>2277.5</v>
      </c>
      <c r="G23" s="224">
        <f>'IB 3C1'!$D$50</f>
        <v>0.2</v>
      </c>
      <c r="H23" s="480">
        <f t="shared" si="1"/>
        <v>455.5</v>
      </c>
      <c r="I23" s="480">
        <f>'IB 3C1'!E31</f>
        <v>0</v>
      </c>
      <c r="J23" s="224">
        <f>'IB 3C1'!$D$51</f>
        <v>0.4</v>
      </c>
      <c r="K23" s="480">
        <f t="shared" si="2"/>
        <v>0</v>
      </c>
      <c r="R23" s="53"/>
      <c r="S23" s="53"/>
      <c r="T23" s="53"/>
    </row>
    <row r="24" spans="2:20" ht="15">
      <c r="B24" s="78" t="s">
        <v>58</v>
      </c>
      <c r="C24" s="480">
        <f>+'IB 3C1'!C32</f>
        <v>0</v>
      </c>
      <c r="D24" s="224">
        <f>+'IB 3C1'!$D$49</f>
        <v>0.95</v>
      </c>
      <c r="E24" s="480">
        <f t="shared" si="0"/>
        <v>0</v>
      </c>
      <c r="F24" s="480">
        <f>'IB 3C1'!D32</f>
        <v>0</v>
      </c>
      <c r="G24" s="224">
        <f>'IB 3C1'!$D$50</f>
        <v>0.2</v>
      </c>
      <c r="H24" s="480">
        <f t="shared" si="1"/>
        <v>0</v>
      </c>
      <c r="I24" s="480">
        <f>'IB 3C1'!E32</f>
        <v>0</v>
      </c>
      <c r="J24" s="224">
        <f>'IB 3C1'!$D$51</f>
        <v>0.4</v>
      </c>
      <c r="K24" s="480">
        <f t="shared" si="2"/>
        <v>0</v>
      </c>
      <c r="R24" s="53"/>
      <c r="S24" s="53"/>
      <c r="T24" s="53"/>
    </row>
    <row r="25" spans="2:20" ht="15">
      <c r="B25" s="78" t="s">
        <v>59</v>
      </c>
      <c r="C25" s="480">
        <f>+'IB 3C1'!C33</f>
        <v>0</v>
      </c>
      <c r="D25" s="224">
        <f>+'IB 3C1'!$D$49</f>
        <v>0.95</v>
      </c>
      <c r="E25" s="480">
        <f t="shared" si="0"/>
        <v>0</v>
      </c>
      <c r="F25" s="480">
        <f>'IB 3C1'!D33</f>
        <v>1261</v>
      </c>
      <c r="G25" s="224">
        <f>'IB 3C1'!$D$50</f>
        <v>0.2</v>
      </c>
      <c r="H25" s="480">
        <f t="shared" si="1"/>
        <v>252.20000000000002</v>
      </c>
      <c r="I25" s="480">
        <f>'IB 3C1'!E33</f>
        <v>0</v>
      </c>
      <c r="J25" s="224">
        <f>'IB 3C1'!$D$51</f>
        <v>0.4</v>
      </c>
      <c r="K25" s="480">
        <f t="shared" si="2"/>
        <v>0</v>
      </c>
      <c r="R25" s="53"/>
      <c r="S25" s="53"/>
      <c r="T25" s="53"/>
    </row>
    <row r="26" spans="2:20" ht="15">
      <c r="B26" s="78" t="s">
        <v>60</v>
      </c>
      <c r="C26" s="480">
        <f>+'IB 3C1'!C34</f>
        <v>1841.59</v>
      </c>
      <c r="D26" s="224">
        <f>+'IB 3C1'!$D$49</f>
        <v>0.95</v>
      </c>
      <c r="E26" s="480">
        <f t="shared" si="0"/>
        <v>1749.5104999999999</v>
      </c>
      <c r="F26" s="480">
        <f>'IB 3C1'!D34</f>
        <v>49199</v>
      </c>
      <c r="G26" s="224">
        <f>'IB 3C1'!$D$50</f>
        <v>0.2</v>
      </c>
      <c r="H26" s="480">
        <f t="shared" si="1"/>
        <v>9839.800000000001</v>
      </c>
      <c r="I26" s="480">
        <f>'IB 3C1'!E34</f>
        <v>2680</v>
      </c>
      <c r="J26" s="224">
        <f>'IB 3C1'!$D$51</f>
        <v>0.4</v>
      </c>
      <c r="K26" s="480">
        <f t="shared" si="2"/>
        <v>1072</v>
      </c>
      <c r="R26" s="53"/>
      <c r="S26" s="53"/>
      <c r="T26" s="53"/>
    </row>
    <row r="27" spans="2:20" ht="15">
      <c r="B27" s="78" t="s">
        <v>61</v>
      </c>
      <c r="C27" s="480">
        <f>+'IB 3C1'!C35</f>
        <v>0</v>
      </c>
      <c r="D27" s="224">
        <f>+'IB 3C1'!$D$49</f>
        <v>0.95</v>
      </c>
      <c r="E27" s="480">
        <f t="shared" si="0"/>
        <v>0</v>
      </c>
      <c r="F27" s="480">
        <f>'IB 3C1'!D35</f>
        <v>114</v>
      </c>
      <c r="G27" s="224">
        <f>'IB 3C1'!$D$50</f>
        <v>0.2</v>
      </c>
      <c r="H27" s="480">
        <f t="shared" si="1"/>
        <v>22.8</v>
      </c>
      <c r="I27" s="480">
        <f>'IB 3C1'!E35</f>
        <v>0</v>
      </c>
      <c r="J27" s="224">
        <f>'IB 3C1'!$D$51</f>
        <v>0.4</v>
      </c>
      <c r="K27" s="480">
        <f t="shared" si="2"/>
        <v>0</v>
      </c>
      <c r="R27" s="53"/>
      <c r="S27" s="53"/>
      <c r="T27" s="53"/>
    </row>
    <row r="28" spans="2:20" ht="15">
      <c r="B28" s="78" t="s">
        <v>62</v>
      </c>
      <c r="C28" s="480">
        <f>+'IB 3C1'!C36</f>
        <v>0</v>
      </c>
      <c r="D28" s="224">
        <f>+'IB 3C1'!$D$49</f>
        <v>0.95</v>
      </c>
      <c r="E28" s="480">
        <f t="shared" si="0"/>
        <v>0</v>
      </c>
      <c r="F28" s="480">
        <f>'IB 3C1'!D36</f>
        <v>101488</v>
      </c>
      <c r="G28" s="224">
        <f>'IB 3C1'!$D$50</f>
        <v>0.2</v>
      </c>
      <c r="H28" s="480">
        <f t="shared" si="1"/>
        <v>20297.600000000002</v>
      </c>
      <c r="I28" s="480">
        <f>'IB 3C1'!E36</f>
        <v>0</v>
      </c>
      <c r="J28" s="224">
        <f>'IB 3C1'!$D$51</f>
        <v>0.4</v>
      </c>
      <c r="K28" s="480">
        <f t="shared" si="2"/>
        <v>0</v>
      </c>
      <c r="R28" s="53"/>
      <c r="S28" s="53"/>
      <c r="T28" s="53"/>
    </row>
    <row r="29" spans="2:20" ht="15">
      <c r="B29" s="78" t="s">
        <v>63</v>
      </c>
      <c r="C29" s="480">
        <f>+'IB 3C1'!C37</f>
        <v>0</v>
      </c>
      <c r="D29" s="224">
        <f>+'IB 3C1'!$D$49</f>
        <v>0.95</v>
      </c>
      <c r="E29" s="480">
        <f t="shared" si="0"/>
        <v>0</v>
      </c>
      <c r="F29" s="480">
        <f>'IB 3C1'!D37</f>
        <v>0</v>
      </c>
      <c r="G29" s="224">
        <f>'IB 3C1'!$D$50</f>
        <v>0.2</v>
      </c>
      <c r="H29" s="480">
        <f t="shared" si="1"/>
        <v>0</v>
      </c>
      <c r="I29" s="480">
        <f>'IB 3C1'!E37</f>
        <v>0</v>
      </c>
      <c r="J29" s="224">
        <f>'IB 3C1'!$D$51</f>
        <v>0.4</v>
      </c>
      <c r="K29" s="480">
        <f t="shared" si="2"/>
        <v>0</v>
      </c>
      <c r="R29" s="53"/>
      <c r="S29" s="53"/>
      <c r="T29" s="53"/>
    </row>
    <row r="30" spans="2:20" ht="15">
      <c r="B30" s="78" t="s">
        <v>64</v>
      </c>
      <c r="C30" s="480">
        <f>+'IB 3C1'!C38</f>
        <v>0</v>
      </c>
      <c r="D30" s="224">
        <f>+'IB 3C1'!$D$49</f>
        <v>0.95</v>
      </c>
      <c r="E30" s="480">
        <f t="shared" si="0"/>
        <v>0</v>
      </c>
      <c r="F30" s="480">
        <f>'IB 3C1'!D38</f>
        <v>14232.65</v>
      </c>
      <c r="G30" s="224">
        <f>'IB 3C1'!$D$50</f>
        <v>0.2</v>
      </c>
      <c r="H30" s="480">
        <f t="shared" si="1"/>
        <v>2846.53</v>
      </c>
      <c r="I30" s="480">
        <f>'IB 3C1'!E38</f>
        <v>0</v>
      </c>
      <c r="J30" s="224">
        <f>'IB 3C1'!$D$51</f>
        <v>0.4</v>
      </c>
      <c r="K30" s="480">
        <f t="shared" si="2"/>
        <v>0</v>
      </c>
      <c r="R30" s="53"/>
      <c r="S30" s="53"/>
      <c r="T30" s="53"/>
    </row>
    <row r="31" spans="2:20" ht="15">
      <c r="B31" s="78" t="s">
        <v>65</v>
      </c>
      <c r="C31" s="480">
        <f>+'IB 3C1'!C39</f>
        <v>0</v>
      </c>
      <c r="D31" s="224">
        <f>+'IB 3C1'!$D$49</f>
        <v>0.95</v>
      </c>
      <c r="E31" s="480">
        <f t="shared" si="0"/>
        <v>0</v>
      </c>
      <c r="F31" s="480">
        <f>'IB 3C1'!D39</f>
        <v>19720</v>
      </c>
      <c r="G31" s="224">
        <f>'IB 3C1'!$D$50</f>
        <v>0.2</v>
      </c>
      <c r="H31" s="480">
        <f t="shared" si="1"/>
        <v>3944</v>
      </c>
      <c r="I31" s="480">
        <f>'IB 3C1'!E39</f>
        <v>146.36</v>
      </c>
      <c r="J31" s="224">
        <f>'IB 3C1'!$D$51</f>
        <v>0.4</v>
      </c>
      <c r="K31" s="480">
        <f t="shared" si="2"/>
        <v>58.54400000000001</v>
      </c>
      <c r="R31" s="53"/>
      <c r="S31" s="53"/>
      <c r="T31" s="53"/>
    </row>
    <row r="32" spans="18:20" ht="15">
      <c r="R32" s="53"/>
      <c r="S32" s="53"/>
      <c r="T32" s="53"/>
    </row>
    <row r="33" spans="2:44" ht="15">
      <c r="B33" s="303" t="s">
        <v>727</v>
      </c>
      <c r="C33" s="303"/>
      <c r="D33" s="303"/>
      <c r="E33" s="303"/>
      <c r="F33" s="303"/>
      <c r="G33" s="303"/>
      <c r="H33" s="303"/>
      <c r="I33" s="30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row>
    <row r="34" spans="2:44" ht="15">
      <c r="B34"/>
      <c r="C34"/>
      <c r="D34"/>
      <c r="E34"/>
      <c r="F34"/>
      <c r="G34"/>
      <c r="H34"/>
      <c r="I34"/>
      <c r="J34"/>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row>
    <row r="35" spans="2:19" ht="66" customHeight="1">
      <c r="B35" s="461" t="s">
        <v>739</v>
      </c>
      <c r="C35" s="461" t="s">
        <v>738</v>
      </c>
      <c r="D35" s="461" t="s">
        <v>730</v>
      </c>
      <c r="E35" s="461" t="s">
        <v>737</v>
      </c>
      <c r="F35" s="139" t="s">
        <v>1479</v>
      </c>
      <c r="G35" s="139" t="s">
        <v>276</v>
      </c>
      <c r="H35" s="461" t="s">
        <v>1478</v>
      </c>
      <c r="I35" s="461" t="s">
        <v>349</v>
      </c>
      <c r="J35" s="461" t="s">
        <v>744</v>
      </c>
      <c r="S35" s="53"/>
    </row>
    <row r="36" spans="2:19" ht="15">
      <c r="B36" s="478" t="s">
        <v>257</v>
      </c>
      <c r="C36" s="227"/>
      <c r="D36" s="227"/>
      <c r="E36" s="228"/>
      <c r="F36" s="227"/>
      <c r="G36" s="227"/>
      <c r="H36" s="228"/>
      <c r="I36" s="228"/>
      <c r="J36" s="222">
        <f>'3C1 FE'!D19</f>
        <v>6.5</v>
      </c>
      <c r="S36" s="53"/>
    </row>
    <row r="37" spans="2:19" ht="15">
      <c r="B37" s="478" t="s">
        <v>205</v>
      </c>
      <c r="C37" s="227"/>
      <c r="D37" s="227"/>
      <c r="E37" s="228"/>
      <c r="F37" s="227"/>
      <c r="G37" s="227"/>
      <c r="H37" s="228"/>
      <c r="I37" s="228"/>
      <c r="J37" s="222">
        <f>'3C1 FE'!D18</f>
        <v>5.5</v>
      </c>
      <c r="S37" s="53"/>
    </row>
    <row r="38" spans="2:19" ht="15" customHeight="1">
      <c r="B38" s="478" t="s">
        <v>212</v>
      </c>
      <c r="C38" s="222">
        <f>'IB 3C1'!$C$62</f>
        <v>56409.701</v>
      </c>
      <c r="D38" s="222">
        <f>'IB 3C1'!E15</f>
        <v>18874.21</v>
      </c>
      <c r="E38" s="223">
        <f>'3C1 FE'!$C$24</f>
        <v>0.25</v>
      </c>
      <c r="F38" s="108">
        <f>C38/D38*E38</f>
        <v>0.7471796302997583</v>
      </c>
      <c r="G38" s="222">
        <f>'3C4 FE'!C27</f>
        <v>0.94</v>
      </c>
      <c r="H38" s="108">
        <f>F38*G38</f>
        <v>0.7023488524817728</v>
      </c>
      <c r="I38" s="223">
        <f>'IB 3C1'!D51</f>
        <v>0.4</v>
      </c>
      <c r="J38" s="229">
        <f>H38*I38</f>
        <v>0.2809395409927091</v>
      </c>
      <c r="S38" s="53"/>
    </row>
    <row r="39" ht="15">
      <c r="L39"/>
    </row>
    <row r="40" spans="2:44" ht="15">
      <c r="B40" s="303" t="s">
        <v>750</v>
      </c>
      <c r="C40" s="303"/>
      <c r="D40" s="303"/>
      <c r="E40" s="303"/>
      <c r="F40" s="303"/>
      <c r="G40" s="303"/>
      <c r="H40" s="303"/>
      <c r="I40" s="30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row>
    <row r="41" spans="2:44" ht="15">
      <c r="B41"/>
      <c r="C41"/>
      <c r="D41"/>
      <c r="E41"/>
      <c r="F41"/>
      <c r="G41"/>
      <c r="H41"/>
      <c r="I41"/>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row>
    <row r="42" spans="2:5" ht="25.5">
      <c r="B42" s="75" t="s">
        <v>1467</v>
      </c>
      <c r="C42" s="75" t="s">
        <v>751</v>
      </c>
      <c r="D42" s="75" t="s">
        <v>349</v>
      </c>
      <c r="E42" s="461" t="s">
        <v>432</v>
      </c>
    </row>
    <row r="43" spans="2:5" ht="15">
      <c r="B43" s="189" t="s">
        <v>649</v>
      </c>
      <c r="C43" s="193"/>
      <c r="D43" s="190"/>
      <c r="E43" s="98">
        <f>SUM(E44,E48)</f>
        <v>2861557.912796</v>
      </c>
    </row>
    <row r="44" spans="2:5" ht="25.5">
      <c r="B44" s="191" t="s">
        <v>647</v>
      </c>
      <c r="C44" s="188"/>
      <c r="D44" s="187"/>
      <c r="E44" s="188">
        <f>SUM(E45:E47)</f>
        <v>2861557.912796</v>
      </c>
    </row>
    <row r="45" spans="2:5" ht="15">
      <c r="B45" s="192" t="s">
        <v>644</v>
      </c>
      <c r="C45" s="186">
        <f>'IB 3C1'!C99</f>
        <v>2662266.4899999998</v>
      </c>
      <c r="D45" s="462">
        <f>'IB 3C1'!$D$111</f>
        <v>0.1166</v>
      </c>
      <c r="E45" s="99">
        <f aca="true" t="shared" si="3" ref="E45:E47">+C45*D45</f>
        <v>310420.27273399994</v>
      </c>
    </row>
    <row r="46" spans="2:5" ht="15">
      <c r="B46" s="192" t="s">
        <v>645</v>
      </c>
      <c r="C46" s="186">
        <f>'IB 3C1'!C100</f>
        <v>19073256.39</v>
      </c>
      <c r="D46" s="462">
        <f>'IB 3C1'!$D$111</f>
        <v>0.1166</v>
      </c>
      <c r="E46" s="99">
        <f t="shared" si="3"/>
        <v>2223941.695074</v>
      </c>
    </row>
    <row r="47" spans="2:5" ht="15">
      <c r="B47" s="192" t="s">
        <v>646</v>
      </c>
      <c r="C47" s="186">
        <f>'IB 3C1'!C101</f>
        <v>2806140.18</v>
      </c>
      <c r="D47" s="462">
        <f>'IB 3C1'!$D$111</f>
        <v>0.1166</v>
      </c>
      <c r="E47" s="99">
        <f t="shared" si="3"/>
        <v>327195.94498800003</v>
      </c>
    </row>
    <row r="48" spans="2:5" ht="25.5">
      <c r="B48" s="191" t="s">
        <v>648</v>
      </c>
      <c r="C48" s="188"/>
      <c r="D48" s="463"/>
      <c r="E48" s="188">
        <f>+SUM(E49:E51)</f>
        <v>0</v>
      </c>
    </row>
    <row r="49" spans="2:5" ht="15">
      <c r="B49" s="192" t="s">
        <v>644</v>
      </c>
      <c r="C49" s="186">
        <f>'IB 3C1'!D99</f>
        <v>39475.85999999994</v>
      </c>
      <c r="D49" s="464" t="s">
        <v>378</v>
      </c>
      <c r="E49" s="99" t="s">
        <v>378</v>
      </c>
    </row>
    <row r="50" spans="2:5" ht="15">
      <c r="B50" s="192" t="s">
        <v>645</v>
      </c>
      <c r="C50" s="186">
        <f>'IB 3C1'!D100</f>
        <v>33562.17000000179</v>
      </c>
      <c r="D50" s="464" t="s">
        <v>378</v>
      </c>
      <c r="E50" s="99" t="s">
        <v>378</v>
      </c>
    </row>
    <row r="51" spans="2:5" ht="15">
      <c r="B51" s="192" t="s">
        <v>646</v>
      </c>
      <c r="C51" s="186">
        <f>'IB 3C1'!D101</f>
        <v>1424.7599999997765</v>
      </c>
      <c r="D51" s="464" t="s">
        <v>378</v>
      </c>
      <c r="E51" s="99" t="s">
        <v>378</v>
      </c>
    </row>
  </sheetData>
  <mergeCells count="4">
    <mergeCell ref="B5:B6"/>
    <mergeCell ref="C5:E5"/>
    <mergeCell ref="F5:H5"/>
    <mergeCell ref="I5:K5"/>
  </mergeCells>
  <printOptions/>
  <pageMargins left="0.7" right="0.7" top="0.75" bottom="0.75" header="0.3" footer="0.3"/>
  <pageSetup horizontalDpi="600" verticalDpi="600" orientation="portrait" paperSize="0" copie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336699"/>
  </sheetPr>
  <dimension ref="B1:AL10"/>
  <sheetViews>
    <sheetView workbookViewId="0" topLeftCell="A1"/>
  </sheetViews>
  <sheetFormatPr defaultColWidth="10.8515625" defaultRowHeight="15"/>
  <cols>
    <col min="1" max="1" width="1.8515625" style="0" customWidth="1"/>
    <col min="2" max="2" width="18.140625" style="53" customWidth="1"/>
    <col min="3" max="3" width="15.57421875" style="53" customWidth="1"/>
    <col min="4" max="8" width="8.00390625" style="53" customWidth="1"/>
    <col min="9" max="10" width="8.00390625" style="0" customWidth="1"/>
  </cols>
  <sheetData>
    <row r="1" spans="2:38" ht="17.45" customHeight="1">
      <c r="B1" s="302" t="s">
        <v>1033</v>
      </c>
      <c r="C1" s="302"/>
      <c r="D1" s="302"/>
      <c r="E1" s="302"/>
      <c r="F1" s="302"/>
      <c r="G1" s="302"/>
      <c r="H1" s="302"/>
      <c r="I1" s="302"/>
      <c r="J1" s="302"/>
      <c r="K1" s="53"/>
      <c r="L1" t="s">
        <v>695</v>
      </c>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ht="12.75">
      <c r="B2" s="80"/>
    </row>
    <row r="3" spans="2:15" ht="38.25">
      <c r="B3" s="54" t="s">
        <v>1034</v>
      </c>
      <c r="C3" s="54" t="s">
        <v>1475</v>
      </c>
      <c r="I3" s="53"/>
      <c r="J3" s="53"/>
      <c r="K3" s="53"/>
      <c r="L3" s="53"/>
      <c r="M3" s="53"/>
      <c r="N3" s="53"/>
      <c r="O3" s="53"/>
    </row>
    <row r="4" spans="2:15" ht="14.25">
      <c r="B4" s="56" t="s">
        <v>1476</v>
      </c>
      <c r="C4" s="57" t="str">
        <f>'IB 3C2'!C12</f>
        <v>NE</v>
      </c>
      <c r="I4" s="53"/>
      <c r="J4" s="53"/>
      <c r="K4" s="53"/>
      <c r="L4" s="53"/>
      <c r="M4" s="53"/>
      <c r="N4" s="53"/>
      <c r="O4" s="53"/>
    </row>
    <row r="5" spans="2:15" ht="15">
      <c r="B5" s="56" t="s">
        <v>158</v>
      </c>
      <c r="C5" s="57" t="str">
        <f>'IB 3C2'!C13</f>
        <v>NE</v>
      </c>
      <c r="I5" s="53"/>
      <c r="J5" s="53"/>
      <c r="K5" s="53"/>
      <c r="L5" s="53"/>
      <c r="M5" s="53"/>
      <c r="N5" s="53"/>
      <c r="O5" s="53"/>
    </row>
    <row r="6" spans="2:15" ht="15">
      <c r="B6" s="80" t="s">
        <v>377</v>
      </c>
      <c r="I6" s="53"/>
      <c r="J6" s="53"/>
      <c r="K6" s="53"/>
      <c r="L6" s="53"/>
      <c r="M6" s="53"/>
      <c r="N6" s="53"/>
      <c r="O6" s="53"/>
    </row>
    <row r="7" spans="9:15" ht="15">
      <c r="I7" s="53"/>
      <c r="J7" s="53"/>
      <c r="K7" s="53"/>
      <c r="L7" s="53"/>
      <c r="M7" s="53"/>
      <c r="N7" s="53"/>
      <c r="O7" s="53"/>
    </row>
    <row r="8" spans="9:15" ht="15">
      <c r="I8" s="53"/>
      <c r="J8" s="53"/>
      <c r="K8" s="53"/>
      <c r="L8" s="53"/>
      <c r="M8" s="53"/>
      <c r="N8" s="53"/>
      <c r="O8" s="53"/>
    </row>
    <row r="9" spans="9:15" ht="15">
      <c r="I9" s="53"/>
      <c r="J9" s="53"/>
      <c r="K9" s="53"/>
      <c r="L9" s="53"/>
      <c r="M9" s="53"/>
      <c r="N9" s="53"/>
      <c r="O9" s="53"/>
    </row>
    <row r="10" spans="9:15" ht="15">
      <c r="I10" s="53"/>
      <c r="J10" s="53"/>
      <c r="K10" s="53"/>
      <c r="L10" s="53"/>
      <c r="M10" s="53"/>
      <c r="N10" s="53"/>
      <c r="O10" s="53"/>
    </row>
  </sheetData>
  <printOptions/>
  <pageMargins left="0.7" right="0.7" top="0.75" bottom="0.75" header="0.3" footer="0.3"/>
  <pageSetup horizontalDpi="600" verticalDpi="600" orientation="portrait" paperSize="0" copie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336699"/>
  </sheetPr>
  <dimension ref="B2:AL15"/>
  <sheetViews>
    <sheetView workbookViewId="0" topLeftCell="A1"/>
  </sheetViews>
  <sheetFormatPr defaultColWidth="10.8515625" defaultRowHeight="15"/>
  <cols>
    <col min="1" max="1" width="2.140625" style="0" customWidth="1"/>
    <col min="2" max="2" width="14.7109375" style="53" customWidth="1"/>
    <col min="3" max="3" width="16.7109375" style="53" customWidth="1"/>
    <col min="4" max="5" width="9.8515625" style="53" customWidth="1"/>
    <col min="6" max="10" width="9.8515625" style="0" customWidth="1"/>
  </cols>
  <sheetData>
    <row r="1" ht="15"/>
    <row r="2" spans="2:38" ht="17.45" customHeight="1">
      <c r="B2" s="302" t="s">
        <v>1035</v>
      </c>
      <c r="C2" s="302"/>
      <c r="D2" s="302"/>
      <c r="E2" s="302"/>
      <c r="F2" s="302"/>
      <c r="G2" s="302"/>
      <c r="H2" s="302"/>
      <c r="I2" s="302"/>
      <c r="J2" s="302"/>
      <c r="K2" s="53"/>
      <c r="L2" t="s">
        <v>695</v>
      </c>
      <c r="M2" s="53"/>
      <c r="N2" s="53"/>
      <c r="O2" s="53"/>
      <c r="P2" s="53"/>
      <c r="Q2" s="53"/>
      <c r="R2" s="53"/>
      <c r="S2" s="53"/>
      <c r="T2" s="53"/>
      <c r="U2" s="53"/>
      <c r="V2" s="53"/>
      <c r="W2" s="53"/>
      <c r="X2" s="53"/>
      <c r="Y2" s="53"/>
      <c r="Z2" s="53"/>
      <c r="AA2" s="53"/>
      <c r="AB2" s="53"/>
      <c r="AC2" s="53"/>
      <c r="AD2" s="53"/>
      <c r="AE2" s="53"/>
      <c r="AF2" s="53"/>
      <c r="AG2" s="53"/>
      <c r="AH2" s="53"/>
      <c r="AI2" s="53"/>
      <c r="AJ2" s="53"/>
      <c r="AK2" s="53"/>
      <c r="AL2" s="53"/>
    </row>
    <row r="3" ht="12.75">
      <c r="B3" s="80"/>
    </row>
    <row r="4" spans="2:14" ht="38.25">
      <c r="B4" s="308" t="s">
        <v>1034</v>
      </c>
      <c r="C4" s="54" t="s">
        <v>1475</v>
      </c>
      <c r="F4" s="53"/>
      <c r="G4" s="53"/>
      <c r="H4" s="53"/>
      <c r="I4" s="53"/>
      <c r="J4" s="53"/>
      <c r="K4" s="53"/>
      <c r="L4" s="53"/>
      <c r="M4" s="53"/>
      <c r="N4" s="53"/>
    </row>
    <row r="5" spans="2:14" ht="12.75">
      <c r="B5" s="56" t="s">
        <v>160</v>
      </c>
      <c r="C5" s="57">
        <f>'IB 3C3'!C12</f>
        <v>399004</v>
      </c>
      <c r="F5" s="53"/>
      <c r="G5" s="53"/>
      <c r="H5" s="53"/>
      <c r="I5" s="53"/>
      <c r="J5" s="53"/>
      <c r="K5" s="53"/>
      <c r="L5" s="53"/>
      <c r="M5" s="53"/>
      <c r="N5" s="53"/>
    </row>
    <row r="6" spans="6:14" ht="15">
      <c r="F6" s="53"/>
      <c r="G6" s="53"/>
      <c r="H6" s="53"/>
      <c r="I6" s="53"/>
      <c r="J6" s="53"/>
      <c r="K6" s="53"/>
      <c r="L6" s="53"/>
      <c r="M6" s="53"/>
      <c r="N6" s="53"/>
    </row>
    <row r="7" spans="6:14" ht="15">
      <c r="F7" s="53"/>
      <c r="G7" s="53"/>
      <c r="H7" s="53"/>
      <c r="I7" s="53"/>
      <c r="J7" s="53"/>
      <c r="K7" s="53"/>
      <c r="L7" s="53"/>
      <c r="M7" s="53"/>
      <c r="N7" s="53"/>
    </row>
    <row r="8" spans="6:14" ht="15">
      <c r="F8" s="53"/>
      <c r="G8" s="53"/>
      <c r="H8" s="53"/>
      <c r="I8" s="53"/>
      <c r="J8" s="53"/>
      <c r="K8" s="53"/>
      <c r="L8" s="53"/>
      <c r="M8" s="53"/>
      <c r="N8" s="53"/>
    </row>
    <row r="9" spans="6:14" ht="15">
      <c r="F9" s="53"/>
      <c r="G9" s="53"/>
      <c r="H9" s="53"/>
      <c r="I9" s="53"/>
      <c r="J9" s="53"/>
      <c r="K9" s="53"/>
      <c r="L9" s="53"/>
      <c r="M9" s="53"/>
      <c r="N9" s="53"/>
    </row>
    <row r="10" spans="6:14" ht="15">
      <c r="F10" s="53"/>
      <c r="G10" s="53"/>
      <c r="H10" s="53"/>
      <c r="I10" s="53"/>
      <c r="J10" s="53"/>
      <c r="K10" s="53"/>
      <c r="L10" s="53"/>
      <c r="M10" s="53"/>
      <c r="N10" s="53"/>
    </row>
    <row r="11" spans="6:14" ht="15">
      <c r="F11" s="53"/>
      <c r="G11" s="53"/>
      <c r="H11" s="53"/>
      <c r="I11" s="53"/>
      <c r="J11" s="53"/>
      <c r="K11" s="53"/>
      <c r="L11" s="53"/>
      <c r="M11" s="53"/>
      <c r="N11" s="53"/>
    </row>
    <row r="12" spans="6:10" ht="15">
      <c r="F12" s="53"/>
      <c r="G12" s="53"/>
      <c r="H12" s="53"/>
      <c r="I12" s="53"/>
      <c r="J12" s="53"/>
    </row>
    <row r="13" spans="6:10" ht="15">
      <c r="F13" s="53"/>
      <c r="G13" s="53"/>
      <c r="H13" s="53"/>
      <c r="I13" s="53"/>
      <c r="J13" s="53"/>
    </row>
    <row r="14" spans="6:10" ht="15">
      <c r="F14" s="53"/>
      <c r="G14" s="53"/>
      <c r="H14" s="53"/>
      <c r="I14" s="53"/>
      <c r="J14" s="53"/>
    </row>
    <row r="15" spans="6:10" ht="15">
      <c r="F15" s="53"/>
      <c r="G15" s="53"/>
      <c r="H15" s="53"/>
      <c r="I15" s="53"/>
      <c r="J15" s="53"/>
    </row>
  </sheetData>
  <printOptions/>
  <pageMargins left="0.7" right="0.7" top="0.75" bottom="0.75" header="0.3" footer="0.3"/>
  <pageSetup horizontalDpi="600" verticalDpi="600" orientation="portrait" paperSize="0" copies="0"/>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336699"/>
  </sheetPr>
  <dimension ref="A1:BD202"/>
  <sheetViews>
    <sheetView workbookViewId="0" topLeftCell="A67">
      <selection activeCell="H91" sqref="H91"/>
    </sheetView>
  </sheetViews>
  <sheetFormatPr defaultColWidth="10.8515625" defaultRowHeight="15"/>
  <cols>
    <col min="1" max="1" width="2.140625" style="0" customWidth="1"/>
    <col min="2" max="2" width="29.28125" style="53" customWidth="1"/>
    <col min="3" max="3" width="16.00390625" style="53" bestFit="1" customWidth="1"/>
    <col min="4" max="4" width="18.8515625" style="53" bestFit="1" customWidth="1"/>
    <col min="5" max="5" width="17.28125" style="53" customWidth="1"/>
    <col min="6" max="6" width="14.140625" style="53" bestFit="1" customWidth="1"/>
    <col min="7" max="7" width="13.7109375" style="53" bestFit="1" customWidth="1"/>
    <col min="8" max="8" width="18.140625" style="53" bestFit="1" customWidth="1"/>
    <col min="9" max="9" width="11.57421875" style="53" bestFit="1" customWidth="1"/>
    <col min="10" max="10" width="13.57421875" style="53" bestFit="1" customWidth="1"/>
    <col min="11" max="13" width="11.57421875" style="53" bestFit="1" customWidth="1"/>
    <col min="14" max="16" width="10.8515625" style="53" customWidth="1"/>
    <col min="17" max="17" width="16.28125" style="53" bestFit="1" customWidth="1"/>
    <col min="18" max="19" width="13.7109375" style="53" bestFit="1" customWidth="1"/>
    <col min="20" max="56" width="10.8515625" style="53" customWidth="1"/>
  </cols>
  <sheetData>
    <row r="1" s="53" customFormat="1" ht="12.75">
      <c r="A1" s="70"/>
    </row>
    <row r="2" spans="1:17" s="53" customFormat="1" ht="17.45" customHeight="1">
      <c r="A2" s="70"/>
      <c r="B2" s="302" t="s">
        <v>1054</v>
      </c>
      <c r="C2" s="347"/>
      <c r="D2" s="347"/>
      <c r="E2" s="347"/>
      <c r="F2" s="347"/>
      <c r="G2" s="347"/>
      <c r="H2" s="347"/>
      <c r="I2" s="347"/>
      <c r="J2" s="347"/>
      <c r="L2" s="113"/>
      <c r="M2" s="113"/>
      <c r="N2" s="113"/>
      <c r="O2" s="113"/>
      <c r="P2" s="113"/>
      <c r="Q2" s="113"/>
    </row>
    <row r="3" spans="1:17" s="53" customFormat="1" ht="15">
      <c r="A3" s="70"/>
      <c r="L3" t="s">
        <v>695</v>
      </c>
      <c r="P3" s="113"/>
      <c r="Q3" s="113"/>
    </row>
    <row r="4" spans="1:17" s="53" customFormat="1" ht="15">
      <c r="A4" s="70"/>
      <c r="B4" s="303" t="s">
        <v>1055</v>
      </c>
      <c r="C4" s="348"/>
      <c r="D4" s="348"/>
      <c r="E4" s="348"/>
      <c r="F4" s="348"/>
      <c r="G4" s="348"/>
      <c r="H4" s="348"/>
      <c r="I4" s="348"/>
      <c r="J4" s="348"/>
      <c r="K4" s="113"/>
      <c r="L4" s="111"/>
      <c r="M4" s="3"/>
      <c r="N4" s="3"/>
      <c r="O4" s="3"/>
      <c r="P4" s="113"/>
      <c r="Q4" s="113"/>
    </row>
    <row r="5" spans="12:17" ht="15">
      <c r="L5" s="111"/>
      <c r="M5" s="3"/>
      <c r="N5" s="3"/>
      <c r="O5" s="3"/>
      <c r="P5" s="113"/>
      <c r="Q5" s="113"/>
    </row>
    <row r="6" spans="2:17" ht="15">
      <c r="B6" s="80" t="s">
        <v>179</v>
      </c>
      <c r="C6" s="80"/>
      <c r="L6" s="111"/>
      <c r="M6" s="3"/>
      <c r="N6" s="3"/>
      <c r="O6" s="3"/>
      <c r="P6" s="113"/>
      <c r="Q6" s="113"/>
    </row>
    <row r="7" spans="2:17" ht="39">
      <c r="B7" s="308" t="s">
        <v>172</v>
      </c>
      <c r="C7" s="54" t="s">
        <v>700</v>
      </c>
      <c r="D7" s="100"/>
      <c r="O7" s="1"/>
      <c r="P7" s="113"/>
      <c r="Q7" s="113"/>
    </row>
    <row r="8" spans="2:17" ht="15">
      <c r="B8" s="56" t="s">
        <v>160</v>
      </c>
      <c r="C8" s="101">
        <f>'IB 3C4_3C5'!C14*'IB 3C4_3C5'!C27*'F. de Conversión'!$C$17</f>
        <v>183541840</v>
      </c>
      <c r="O8" s="1"/>
      <c r="P8" s="113"/>
      <c r="Q8" s="113"/>
    </row>
    <row r="9" spans="2:17" ht="15">
      <c r="B9" s="56" t="s">
        <v>176</v>
      </c>
      <c r="C9" s="101">
        <f>'IB 3C4_3C5'!C15*'IB 3C4_3C5'!C28*'F. de Conversión'!$C$17</f>
        <v>34151220</v>
      </c>
      <c r="O9" s="1"/>
      <c r="P9" s="113"/>
      <c r="Q9" s="113"/>
    </row>
    <row r="10" spans="2:3" ht="15">
      <c r="B10" s="56" t="s">
        <v>250</v>
      </c>
      <c r="C10" s="101">
        <f>'IB 3C4_3C5'!C16*'IB 3C4_3C5'!C29*'F. de Conversión'!$C$17</f>
        <v>55500689.99999999</v>
      </c>
    </row>
    <row r="11" spans="2:3" ht="15">
      <c r="B11" s="56" t="s">
        <v>251</v>
      </c>
      <c r="C11" s="101">
        <f>'IB 3C4_3C5'!C17*'IB 3C4_3C5'!C30*'F. de Conversión'!$C$17</f>
        <v>56727895.00000001</v>
      </c>
    </row>
    <row r="12" spans="2:3" ht="15">
      <c r="B12" s="959" t="s">
        <v>2</v>
      </c>
      <c r="C12" s="102">
        <f>SUM(C8:C11)</f>
        <v>329921645</v>
      </c>
    </row>
    <row r="14" spans="2:3" ht="15">
      <c r="B14" s="80" t="s">
        <v>709</v>
      </c>
      <c r="C14" s="80"/>
    </row>
    <row r="15" spans="2:5" ht="39">
      <c r="B15" s="54" t="s">
        <v>172</v>
      </c>
      <c r="C15" s="54" t="s">
        <v>700</v>
      </c>
      <c r="D15" s="100"/>
      <c r="E15"/>
    </row>
    <row r="16" spans="2:5" ht="15">
      <c r="B16" s="959" t="s">
        <v>2</v>
      </c>
      <c r="C16" s="102">
        <f>C12-E20</f>
        <v>252085747</v>
      </c>
      <c r="D16" s="100"/>
      <c r="E16" s="80"/>
    </row>
    <row r="18" ht="15">
      <c r="B18" s="80" t="s">
        <v>453</v>
      </c>
    </row>
    <row r="19" spans="2:6" ht="25.5">
      <c r="B19" s="308" t="s">
        <v>70</v>
      </c>
      <c r="C19" s="308" t="s">
        <v>450</v>
      </c>
      <c r="D19" s="308" t="s">
        <v>451</v>
      </c>
      <c r="E19" s="308" t="s">
        <v>452</v>
      </c>
      <c r="F19" s="80"/>
    </row>
    <row r="20" spans="2:6" ht="15">
      <c r="B20" s="435" t="s">
        <v>124</v>
      </c>
      <c r="C20" s="71">
        <f>SUM(C21:C44)</f>
        <v>414401.30000000005</v>
      </c>
      <c r="D20" s="71"/>
      <c r="E20" s="71">
        <f>SUM(E21:E44)</f>
        <v>77835898</v>
      </c>
      <c r="F20" s="80"/>
    </row>
    <row r="21" spans="2:5" ht="15">
      <c r="B21" s="81" t="s">
        <v>43</v>
      </c>
      <c r="C21" s="79">
        <f>'IB 3C4_3C5'!E76</f>
        <v>52156</v>
      </c>
      <c r="D21" s="79">
        <f>'IB 3C4_3C5'!C40</f>
        <v>150</v>
      </c>
      <c r="E21" s="79">
        <f aca="true" t="shared" si="0" ref="E21:E44">C21*D21</f>
        <v>7823400</v>
      </c>
    </row>
    <row r="22" spans="2:5" ht="15">
      <c r="B22" s="81" t="s">
        <v>223</v>
      </c>
      <c r="C22" s="79">
        <f>'IB 3C4_3C5'!E77</f>
        <v>5520</v>
      </c>
      <c r="D22" s="79">
        <f>'IB 3C4_3C5'!C41</f>
        <v>280</v>
      </c>
      <c r="E22" s="79">
        <f t="shared" si="0"/>
        <v>1545600</v>
      </c>
    </row>
    <row r="23" spans="2:5" ht="15">
      <c r="B23" s="81" t="s">
        <v>44</v>
      </c>
      <c r="C23" s="79">
        <f>'IB 3C4_3C5'!E78</f>
        <v>0</v>
      </c>
      <c r="D23" s="79">
        <f>'IB 3C4_3C5'!C42</f>
        <v>0</v>
      </c>
      <c r="E23" s="79">
        <f t="shared" si="0"/>
        <v>0</v>
      </c>
    </row>
    <row r="24" spans="2:5" ht="15">
      <c r="B24" s="81" t="s">
        <v>45</v>
      </c>
      <c r="C24" s="79">
        <f>'IB 3C4_3C5'!E79</f>
        <v>20147</v>
      </c>
      <c r="D24" s="79">
        <f>'IB 3C4_3C5'!C43</f>
        <v>280</v>
      </c>
      <c r="E24" s="79">
        <f t="shared" si="0"/>
        <v>5641160</v>
      </c>
    </row>
    <row r="25" spans="2:5" ht="15">
      <c r="B25" s="81" t="s">
        <v>46</v>
      </c>
      <c r="C25" s="79">
        <f>'IB 3C4_3C5'!E80</f>
        <v>32</v>
      </c>
      <c r="D25" s="79">
        <f>'IB 3C4_3C5'!C44</f>
        <v>0</v>
      </c>
      <c r="E25" s="79">
        <f t="shared" si="0"/>
        <v>0</v>
      </c>
    </row>
    <row r="26" spans="2:5" ht="15">
      <c r="B26" s="81" t="s">
        <v>47</v>
      </c>
      <c r="C26" s="79">
        <f>'IB 3C4_3C5'!E81</f>
        <v>22944</v>
      </c>
      <c r="D26" s="79">
        <f>'IB 3C4_3C5'!C45</f>
        <v>150</v>
      </c>
      <c r="E26" s="79">
        <f t="shared" si="0"/>
        <v>3441600</v>
      </c>
    </row>
    <row r="27" spans="2:5" ht="15">
      <c r="B27" s="81" t="s">
        <v>48</v>
      </c>
      <c r="C27" s="79">
        <f>'IB 3C4_3C5'!E82</f>
        <v>1029</v>
      </c>
      <c r="D27" s="79">
        <f>'IB 3C4_3C5'!C46</f>
        <v>0</v>
      </c>
      <c r="E27" s="79">
        <f t="shared" si="0"/>
        <v>0</v>
      </c>
    </row>
    <row r="28" spans="2:5" ht="15">
      <c r="B28" s="81" t="s">
        <v>49</v>
      </c>
      <c r="C28" s="79">
        <f>'IB 3C4_3C5'!E83</f>
        <v>0</v>
      </c>
      <c r="D28" s="79">
        <f>'IB 3C4_3C5'!C47</f>
        <v>0</v>
      </c>
      <c r="E28" s="79">
        <f t="shared" si="0"/>
        <v>0</v>
      </c>
    </row>
    <row r="29" spans="2:5" ht="15">
      <c r="B29" s="81" t="s">
        <v>50</v>
      </c>
      <c r="C29" s="79">
        <f>'IB 3C4_3C5'!E84</f>
        <v>7518.5</v>
      </c>
      <c r="D29" s="79">
        <f>'IB 3C4_3C5'!C48</f>
        <v>120</v>
      </c>
      <c r="E29" s="79">
        <f t="shared" si="0"/>
        <v>902220</v>
      </c>
    </row>
    <row r="30" spans="2:5" ht="15">
      <c r="B30" s="81" t="s">
        <v>51</v>
      </c>
      <c r="C30" s="79">
        <f>'IB 3C4_3C5'!E85</f>
        <v>0</v>
      </c>
      <c r="D30" s="79">
        <f>'IB 3C4_3C5'!C49</f>
        <v>0</v>
      </c>
      <c r="E30" s="79">
        <f t="shared" si="0"/>
        <v>0</v>
      </c>
    </row>
    <row r="31" spans="2:5" ht="15">
      <c r="B31" s="81" t="s">
        <v>52</v>
      </c>
      <c r="C31" s="79">
        <f>'IB 3C4_3C5'!E86</f>
        <v>663.15</v>
      </c>
      <c r="D31" s="79">
        <f>'IB 3C4_3C5'!C50</f>
        <v>80</v>
      </c>
      <c r="E31" s="79">
        <f t="shared" si="0"/>
        <v>53052</v>
      </c>
    </row>
    <row r="32" spans="2:5" ht="15">
      <c r="B32" s="81" t="s">
        <v>53</v>
      </c>
      <c r="C32" s="79">
        <f>'IB 3C4_3C5'!E87</f>
        <v>32621.5</v>
      </c>
      <c r="D32" s="79">
        <f>'IB 3C4_3C5'!C51</f>
        <v>280</v>
      </c>
      <c r="E32" s="79">
        <f t="shared" si="0"/>
        <v>9134020</v>
      </c>
    </row>
    <row r="33" spans="2:5" ht="15">
      <c r="B33" s="81" t="s">
        <v>54</v>
      </c>
      <c r="C33" s="79">
        <f>'IB 3C4_3C5'!E88</f>
        <v>47936</v>
      </c>
      <c r="D33" s="79">
        <f>'IB 3C4_3C5'!C52</f>
        <v>280</v>
      </c>
      <c r="E33" s="79">
        <f t="shared" si="0"/>
        <v>13422080</v>
      </c>
    </row>
    <row r="34" spans="2:5" ht="15">
      <c r="B34" s="82" t="s">
        <v>55</v>
      </c>
      <c r="C34" s="79">
        <f>'IB 3C4_3C5'!E89</f>
        <v>0</v>
      </c>
      <c r="D34" s="79">
        <f>'IB 3C4_3C5'!C53</f>
        <v>0</v>
      </c>
      <c r="E34" s="79">
        <f t="shared" si="0"/>
        <v>0</v>
      </c>
    </row>
    <row r="35" spans="2:5" ht="15">
      <c r="B35" s="83" t="s">
        <v>56</v>
      </c>
      <c r="C35" s="79">
        <f>'IB 3C4_3C5'!E90</f>
        <v>35542</v>
      </c>
      <c r="D35" s="79">
        <f>'IB 3C4_3C5'!C54</f>
        <v>32</v>
      </c>
      <c r="E35" s="79">
        <f t="shared" si="0"/>
        <v>1137344</v>
      </c>
    </row>
    <row r="36" spans="2:5" ht="15">
      <c r="B36" s="83" t="s">
        <v>57</v>
      </c>
      <c r="C36" s="79">
        <f>'IB 3C4_3C5'!E91</f>
        <v>2277.5</v>
      </c>
      <c r="D36" s="79">
        <f>'IB 3C4_3C5'!C55</f>
        <v>32</v>
      </c>
      <c r="E36" s="79">
        <f t="shared" si="0"/>
        <v>72880</v>
      </c>
    </row>
    <row r="37" spans="2:5" ht="15">
      <c r="B37" s="83" t="s">
        <v>58</v>
      </c>
      <c r="C37" s="79">
        <f>'IB 3C4_3C5'!E92</f>
        <v>0</v>
      </c>
      <c r="D37" s="79">
        <f>'IB 3C4_3C5'!C56</f>
        <v>0</v>
      </c>
      <c r="E37" s="79">
        <f t="shared" si="0"/>
        <v>0</v>
      </c>
    </row>
    <row r="38" spans="2:5" ht="15">
      <c r="B38" s="83" t="s">
        <v>59</v>
      </c>
      <c r="C38" s="79">
        <f>'IB 3C4_3C5'!E93</f>
        <v>1261</v>
      </c>
      <c r="D38" s="79">
        <f>'IB 3C4_3C5'!C57</f>
        <v>80</v>
      </c>
      <c r="E38" s="79">
        <f t="shared" si="0"/>
        <v>100880</v>
      </c>
    </row>
    <row r="39" spans="2:5" ht="15">
      <c r="B39" s="83" t="s">
        <v>60</v>
      </c>
      <c r="C39" s="79">
        <f>'IB 3C4_3C5'!E94</f>
        <v>49199</v>
      </c>
      <c r="D39" s="79">
        <f>'IB 3C4_3C5'!C58</f>
        <v>280</v>
      </c>
      <c r="E39" s="79">
        <f t="shared" si="0"/>
        <v>13775720</v>
      </c>
    </row>
    <row r="40" spans="2:5" ht="15">
      <c r="B40" s="83" t="s">
        <v>61</v>
      </c>
      <c r="C40" s="79">
        <f>'IB 3C4_3C5'!E95</f>
        <v>114</v>
      </c>
      <c r="D40" s="79">
        <f>'IB 3C4_3C5'!C59</f>
        <v>0</v>
      </c>
      <c r="E40" s="79">
        <f t="shared" si="0"/>
        <v>0</v>
      </c>
    </row>
    <row r="41" spans="2:5" ht="15">
      <c r="B41" s="83" t="s">
        <v>62</v>
      </c>
      <c r="C41" s="79">
        <f>'IB 3C4_3C5'!E96</f>
        <v>101488</v>
      </c>
      <c r="D41" s="79">
        <f>'IB 3C4_3C5'!C60</f>
        <v>150</v>
      </c>
      <c r="E41" s="79">
        <f t="shared" si="0"/>
        <v>15223200</v>
      </c>
    </row>
    <row r="42" spans="2:5" ht="15">
      <c r="B42" s="83" t="s">
        <v>63</v>
      </c>
      <c r="C42" s="79">
        <f>'IB 3C4_3C5'!E97</f>
        <v>0</v>
      </c>
      <c r="D42" s="79">
        <f>'IB 3C4_3C5'!C61</f>
        <v>0</v>
      </c>
      <c r="E42" s="79">
        <f t="shared" si="0"/>
        <v>0</v>
      </c>
    </row>
    <row r="43" spans="2:5" ht="15">
      <c r="B43" s="83" t="s">
        <v>64</v>
      </c>
      <c r="C43" s="79">
        <f>'IB 3C4_3C5'!E98</f>
        <v>14232.65</v>
      </c>
      <c r="D43" s="79">
        <f>'IB 3C4_3C5'!C62</f>
        <v>280</v>
      </c>
      <c r="E43" s="79">
        <f t="shared" si="0"/>
        <v>3985142</v>
      </c>
    </row>
    <row r="44" spans="2:5" ht="15">
      <c r="B44" s="83" t="s">
        <v>65</v>
      </c>
      <c r="C44" s="79">
        <f>'IB 3C4_3C5'!E99</f>
        <v>19720</v>
      </c>
      <c r="D44" s="79">
        <f>'IB 3C4_3C5'!C63</f>
        <v>80</v>
      </c>
      <c r="E44" s="79">
        <f t="shared" si="0"/>
        <v>1577600</v>
      </c>
    </row>
    <row r="45" spans="2:5" ht="15">
      <c r="B45" s="103"/>
      <c r="C45" s="84"/>
      <c r="D45" s="84"/>
      <c r="E45" s="84"/>
    </row>
    <row r="46" ht="15">
      <c r="B46" s="80" t="s">
        <v>197</v>
      </c>
    </row>
    <row r="47" spans="2:7" ht="15">
      <c r="B47" s="54" t="s">
        <v>185</v>
      </c>
      <c r="C47" s="54" t="s">
        <v>181</v>
      </c>
      <c r="D47" s="54" t="s">
        <v>182</v>
      </c>
      <c r="E47" s="54" t="s">
        <v>183</v>
      </c>
      <c r="F47" s="54" t="s">
        <v>184</v>
      </c>
      <c r="G47" s="54" t="s">
        <v>180</v>
      </c>
    </row>
    <row r="48" spans="2:7" ht="15">
      <c r="B48" s="56">
        <v>2019</v>
      </c>
      <c r="C48" s="57">
        <f>G57</f>
        <v>84043470.37422732</v>
      </c>
      <c r="D48" s="104" t="s">
        <v>378</v>
      </c>
      <c r="E48" s="104" t="s">
        <v>378</v>
      </c>
      <c r="F48" s="104" t="s">
        <v>378</v>
      </c>
      <c r="G48" s="57">
        <f>SUM(C48:F48)</f>
        <v>84043470.37422732</v>
      </c>
    </row>
    <row r="49" ht="15.75">
      <c r="B49" s="53" t="s">
        <v>1480</v>
      </c>
    </row>
    <row r="50" ht="15.75">
      <c r="B50" s="53" t="s">
        <v>1481</v>
      </c>
    </row>
    <row r="51" ht="15.75">
      <c r="B51" s="53" t="s">
        <v>1482</v>
      </c>
    </row>
    <row r="52" ht="15.75">
      <c r="B52" s="53" t="s">
        <v>1483</v>
      </c>
    </row>
    <row r="53" ht="15.75">
      <c r="B53" s="53" t="s">
        <v>1484</v>
      </c>
    </row>
    <row r="55" ht="15">
      <c r="B55" s="80" t="s">
        <v>196</v>
      </c>
    </row>
    <row r="56" spans="2:7" ht="15">
      <c r="B56" s="54" t="s">
        <v>185</v>
      </c>
      <c r="C56" s="54" t="s">
        <v>189</v>
      </c>
      <c r="D56" s="54" t="s">
        <v>190</v>
      </c>
      <c r="E56" s="54" t="s">
        <v>191</v>
      </c>
      <c r="F56" s="54" t="s">
        <v>192</v>
      </c>
      <c r="G56" s="54" t="s">
        <v>181</v>
      </c>
    </row>
    <row r="57" spans="2:7" ht="15">
      <c r="B57" s="56">
        <v>2019</v>
      </c>
      <c r="C57" s="101">
        <f>+'GEI 3C6'!I146</f>
        <v>84043470.37422732</v>
      </c>
      <c r="D57" s="57" t="s">
        <v>378</v>
      </c>
      <c r="E57" s="57" t="s">
        <v>378</v>
      </c>
      <c r="F57" s="57" t="s">
        <v>378</v>
      </c>
      <c r="G57" s="1064">
        <f>C57*(1-SUM(D57:F57))</f>
        <v>84043470.37422732</v>
      </c>
    </row>
    <row r="58" ht="15.75">
      <c r="B58" s="53" t="s">
        <v>1485</v>
      </c>
    </row>
    <row r="59" ht="15.75">
      <c r="B59" s="53" t="s">
        <v>1486</v>
      </c>
    </row>
    <row r="60" ht="15">
      <c r="B60" s="53" t="s">
        <v>186</v>
      </c>
    </row>
    <row r="61" ht="15">
      <c r="B61" s="53" t="s">
        <v>187</v>
      </c>
    </row>
    <row r="62" ht="15">
      <c r="B62" s="53" t="s">
        <v>188</v>
      </c>
    </row>
    <row r="64" ht="15">
      <c r="B64" s="80" t="s">
        <v>198</v>
      </c>
    </row>
    <row r="65" spans="2:56" s="327" customFormat="1" ht="25.5">
      <c r="B65" s="308" t="s">
        <v>267</v>
      </c>
      <c r="C65" s="308" t="s">
        <v>743</v>
      </c>
      <c r="D65" s="308" t="s">
        <v>239</v>
      </c>
      <c r="E65" s="308" t="s">
        <v>240</v>
      </c>
      <c r="F65" s="308" t="s">
        <v>241</v>
      </c>
      <c r="G65" s="308" t="s">
        <v>242</v>
      </c>
      <c r="H65" s="308" t="s">
        <v>263</v>
      </c>
      <c r="I65" s="308" t="s">
        <v>264</v>
      </c>
      <c r="J65" s="308" t="s">
        <v>244</v>
      </c>
      <c r="K65" s="308" t="s">
        <v>243</v>
      </c>
      <c r="L65" s="308" t="s">
        <v>245</v>
      </c>
      <c r="M65" s="308" t="s">
        <v>246</v>
      </c>
      <c r="N65" s="308" t="s">
        <v>269</v>
      </c>
      <c r="O65" s="308" t="s">
        <v>247</v>
      </c>
      <c r="P65" s="308" t="s">
        <v>268</v>
      </c>
      <c r="Q65" s="308" t="s">
        <v>248</v>
      </c>
      <c r="R65" s="328"/>
      <c r="S65" s="53"/>
      <c r="T65" s="53"/>
      <c r="U65" s="53"/>
      <c r="V65" s="53"/>
      <c r="W65" s="53"/>
      <c r="X65" s="53"/>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8"/>
      <c r="AY65" s="328"/>
      <c r="AZ65" s="328"/>
      <c r="BA65" s="328"/>
      <c r="BB65" s="328"/>
      <c r="BC65" s="328"/>
      <c r="BD65" s="328"/>
    </row>
    <row r="66" spans="2:56" ht="15">
      <c r="B66" s="106" t="s">
        <v>235</v>
      </c>
      <c r="C66" s="102"/>
      <c r="D66" s="102"/>
      <c r="E66" s="102"/>
      <c r="F66" s="102"/>
      <c r="G66" s="102"/>
      <c r="H66" s="102"/>
      <c r="I66" s="102"/>
      <c r="J66" s="102"/>
      <c r="K66" s="102"/>
      <c r="L66" s="102"/>
      <c r="M66" s="102"/>
      <c r="N66" s="102"/>
      <c r="O66" s="102"/>
      <c r="P66" s="102"/>
      <c r="Q66" s="71">
        <f>SUM(Q67:Q84)</f>
        <v>248751043.72685575</v>
      </c>
      <c r="Y66"/>
      <c r="Z66"/>
      <c r="AA66"/>
      <c r="AB66"/>
      <c r="AC66"/>
      <c r="AD66"/>
      <c r="AE66"/>
      <c r="AF66"/>
      <c r="AG66"/>
      <c r="AH66"/>
      <c r="AI66"/>
      <c r="AJ66"/>
      <c r="AK66"/>
      <c r="AL66"/>
      <c r="AM66"/>
      <c r="AN66"/>
      <c r="AO66"/>
      <c r="AP66"/>
      <c r="AQ66"/>
      <c r="AR66"/>
      <c r="AS66"/>
      <c r="AT66"/>
      <c r="AU66"/>
      <c r="AV66"/>
      <c r="AW66"/>
      <c r="AX66"/>
      <c r="AY66"/>
      <c r="AZ66"/>
      <c r="BA66"/>
      <c r="BB66"/>
      <c r="BC66"/>
      <c r="BD66"/>
    </row>
    <row r="67" spans="2:56" ht="15">
      <c r="B67" s="105" t="str">
        <f>B121</f>
        <v>Arroz cáscara</v>
      </c>
      <c r="C67" s="470">
        <f>G121</f>
        <v>6853.1706543874225</v>
      </c>
      <c r="D67" s="470">
        <f>C121</f>
        <v>414401.30000000005</v>
      </c>
      <c r="E67" s="470">
        <f>D67*'IB 3C1'!D50</f>
        <v>82880.26000000001</v>
      </c>
      <c r="F67" s="470">
        <f>'3C1 FE'!D32</f>
        <v>0.8</v>
      </c>
      <c r="G67" s="470">
        <f>1/'3C4 FE'!$C$56</f>
        <v>1</v>
      </c>
      <c r="H67" s="470">
        <f>'3C4 FE'!D21</f>
        <v>0.95</v>
      </c>
      <c r="I67" s="470">
        <f>'3C4 FE'!E21</f>
        <v>2.46</v>
      </c>
      <c r="J67" s="470">
        <f>(C67/1000)*H67+I67</f>
        <v>8.970512121668051</v>
      </c>
      <c r="K67" s="470">
        <f>J67*1000/C67</f>
        <v>1.3089579369988547</v>
      </c>
      <c r="L67" s="470">
        <f>'3C4 FE'!F21</f>
        <v>0.007</v>
      </c>
      <c r="M67" s="470">
        <v>0</v>
      </c>
      <c r="N67" s="470">
        <f>'3C4 FE'!G21</f>
        <v>0.16</v>
      </c>
      <c r="O67" s="470">
        <f>N67*(J67*1000+C67)/C67</f>
        <v>0.3694332699198168</v>
      </c>
      <c r="P67" s="470">
        <f>'3C4 FE'!H21</f>
        <v>0.009</v>
      </c>
      <c r="Q67" s="470">
        <f>C67*G67*((D67-E67*F67)*K67*L67*(1-M67)+D67*O67*P67)</f>
        <v>31300855.070110194</v>
      </c>
      <c r="Y67"/>
      <c r="Z67"/>
      <c r="AA67"/>
      <c r="AB67"/>
      <c r="AC67"/>
      <c r="AD67"/>
      <c r="AE67"/>
      <c r="AF67"/>
      <c r="AG67"/>
      <c r="AH67"/>
      <c r="AI67"/>
      <c r="AJ67"/>
      <c r="AK67"/>
      <c r="AL67"/>
      <c r="AM67"/>
      <c r="AN67"/>
      <c r="AO67"/>
      <c r="AP67"/>
      <c r="AQ67"/>
      <c r="AR67"/>
      <c r="AS67"/>
      <c r="AT67"/>
      <c r="AU67"/>
      <c r="AV67"/>
      <c r="AW67"/>
      <c r="AX67"/>
      <c r="AY67"/>
      <c r="AZ67"/>
      <c r="BA67"/>
      <c r="BB67"/>
      <c r="BC67"/>
      <c r="BD67"/>
    </row>
    <row r="68" spans="2:56" ht="15">
      <c r="B68" s="105" t="str">
        <f>B120</f>
        <v>Caña para azúcar</v>
      </c>
      <c r="C68" s="470">
        <f>G120</f>
        <v>113476.55290303206</v>
      </c>
      <c r="D68" s="470">
        <f>C120</f>
        <v>86472.624</v>
      </c>
      <c r="E68" s="470">
        <f>D68*'IB 3C1'!D49</f>
        <v>82148.99279999999</v>
      </c>
      <c r="F68" s="470">
        <f>'3C1 FE'!D33</f>
        <v>0.8</v>
      </c>
      <c r="G68" s="470">
        <f>1/'3C4 FE'!$C$56</f>
        <v>1</v>
      </c>
      <c r="H68" s="470">
        <f>'3C4 FE'!D20</f>
        <v>0.3</v>
      </c>
      <c r="I68" s="470">
        <f>'3C4 FE'!E20</f>
        <v>0</v>
      </c>
      <c r="J68" s="470">
        <f aca="true" t="shared" si="1" ref="J68:J100">(C68/1000)*H68+I68</f>
        <v>34.04296587090962</v>
      </c>
      <c r="K68" s="470">
        <f aca="true" t="shared" si="2" ref="K68:K84">J68*1000/C68</f>
        <v>0.3</v>
      </c>
      <c r="L68" s="470">
        <f>'3C4 FE'!F20</f>
        <v>0.015</v>
      </c>
      <c r="M68" s="470">
        <v>0</v>
      </c>
      <c r="N68" s="470">
        <f>'3C4 FE'!G20</f>
        <v>0.54</v>
      </c>
      <c r="O68" s="470">
        <f aca="true" t="shared" si="3" ref="O68:O84">N68*(J68*1000+C68)/C68</f>
        <v>0.702</v>
      </c>
      <c r="P68" s="470">
        <f>'3C4 FE'!H20</f>
        <v>0.012</v>
      </c>
      <c r="Q68" s="470">
        <f aca="true" t="shared" si="4" ref="Q68:Q84">C68*G68*((D68-E68*F68)*K68*L68*(1-M68)+D68*O68*P68)</f>
        <v>93259095.73516798</v>
      </c>
      <c r="Y68"/>
      <c r="Z68"/>
      <c r="AA68"/>
      <c r="AB68"/>
      <c r="AC68"/>
      <c r="AD68"/>
      <c r="AE68"/>
      <c r="AF68"/>
      <c r="AG68"/>
      <c r="AH68"/>
      <c r="AI68"/>
      <c r="AJ68"/>
      <c r="AK68"/>
      <c r="AL68"/>
      <c r="AM68"/>
      <c r="AN68"/>
      <c r="AO68"/>
      <c r="AP68"/>
      <c r="AQ68"/>
      <c r="AR68"/>
      <c r="AS68"/>
      <c r="AT68"/>
      <c r="AU68"/>
      <c r="AV68"/>
      <c r="AW68"/>
      <c r="AX68"/>
      <c r="AY68"/>
      <c r="AZ68"/>
      <c r="BA68"/>
      <c r="BB68"/>
      <c r="BC68"/>
      <c r="BD68"/>
    </row>
    <row r="69" spans="2:56" ht="15" customHeight="1">
      <c r="B69" s="105" t="str">
        <f aca="true" t="shared" si="5" ref="B69:B76">B122</f>
        <v>Banana / plátano</v>
      </c>
      <c r="C69" s="470">
        <f aca="true" t="shared" si="6" ref="C69:C84">G122</f>
        <v>12069.280389921956</v>
      </c>
      <c r="D69" s="470">
        <f aca="true" t="shared" si="7" ref="D69:D84">C122</f>
        <v>175407.40999999997</v>
      </c>
      <c r="E69" s="470">
        <v>0</v>
      </c>
      <c r="F69" s="470">
        <f>'3C1 FE'!$D$34</f>
        <v>0.85</v>
      </c>
      <c r="G69" s="470">
        <f>1/'3C4 FE'!$C$56</f>
        <v>1</v>
      </c>
      <c r="H69" s="470">
        <f>'3C4 FE'!D22</f>
        <v>1.07</v>
      </c>
      <c r="I69" s="470">
        <f>'3C4 FE'!E22</f>
        <v>1.54</v>
      </c>
      <c r="J69" s="470">
        <f t="shared" si="1"/>
        <v>14.454130017216496</v>
      </c>
      <c r="K69" s="470">
        <f t="shared" si="2"/>
        <v>1.1975966710729438</v>
      </c>
      <c r="L69" s="470">
        <f>'3C4 FE'!F22</f>
        <v>0.016</v>
      </c>
      <c r="M69" s="470">
        <v>0</v>
      </c>
      <c r="N69" s="470">
        <f>'3C4 FE'!G22</f>
        <v>0.2</v>
      </c>
      <c r="O69" s="470">
        <f t="shared" si="3"/>
        <v>0.4395193342145888</v>
      </c>
      <c r="P69" s="470">
        <f>'3C4 FE'!H22</f>
        <v>0.014</v>
      </c>
      <c r="Q69" s="470">
        <f t="shared" si="4"/>
        <v>53592511.788844176</v>
      </c>
      <c r="Y69"/>
      <c r="Z69"/>
      <c r="AA69"/>
      <c r="AB69"/>
      <c r="AC69"/>
      <c r="AD69"/>
      <c r="AE69"/>
      <c r="AF69"/>
      <c r="AG69"/>
      <c r="AH69"/>
      <c r="AI69"/>
      <c r="AJ69"/>
      <c r="AK69"/>
      <c r="AL69"/>
      <c r="AM69"/>
      <c r="AN69"/>
      <c r="AO69"/>
      <c r="AP69"/>
      <c r="AQ69"/>
      <c r="AR69"/>
      <c r="AS69"/>
      <c r="AT69"/>
      <c r="AU69"/>
      <c r="AV69"/>
      <c r="AW69"/>
      <c r="AX69"/>
      <c r="AY69"/>
      <c r="AZ69"/>
      <c r="BA69"/>
      <c r="BB69"/>
      <c r="BC69"/>
      <c r="BD69"/>
    </row>
    <row r="70" spans="2:56" ht="15" customHeight="1">
      <c r="B70" s="105" t="str">
        <f t="shared" si="5"/>
        <v>Maíz a. duro</v>
      </c>
      <c r="C70" s="470">
        <f t="shared" si="6"/>
        <v>4343.275930846903</v>
      </c>
      <c r="D70" s="470">
        <f t="shared" si="7"/>
        <v>254544.83899999998</v>
      </c>
      <c r="E70" s="470">
        <v>0</v>
      </c>
      <c r="F70" s="470">
        <f>'3C1 FE'!D31</f>
        <v>0.8</v>
      </c>
      <c r="G70" s="470">
        <f>1/'3C4 FE'!$C$56</f>
        <v>1</v>
      </c>
      <c r="H70" s="470">
        <f>'3C4 FE'!D23</f>
        <v>1.03</v>
      </c>
      <c r="I70" s="470">
        <f>'3C4 FE'!E23</f>
        <v>0.61</v>
      </c>
      <c r="J70" s="470">
        <f t="shared" si="1"/>
        <v>5.08357420877231</v>
      </c>
      <c r="K70" s="470">
        <f t="shared" si="2"/>
        <v>1.1704469828102897</v>
      </c>
      <c r="L70" s="470">
        <f>'3C4 FE'!F23</f>
        <v>0.006</v>
      </c>
      <c r="M70" s="470">
        <v>0</v>
      </c>
      <c r="N70" s="470">
        <f>'3C4 FE'!G23</f>
        <v>0.22</v>
      </c>
      <c r="O70" s="470">
        <f t="shared" si="3"/>
        <v>0.47749833621826376</v>
      </c>
      <c r="P70" s="470">
        <f>'3C4 FE'!H23</f>
        <v>0.007</v>
      </c>
      <c r="Q70" s="470">
        <f t="shared" si="4"/>
        <v>11459301.78974141</v>
      </c>
      <c r="Y70"/>
      <c r="Z70"/>
      <c r="AA70"/>
      <c r="AB70"/>
      <c r="AC70"/>
      <c r="AD70"/>
      <c r="AE70"/>
      <c r="AF70"/>
      <c r="AG70"/>
      <c r="AH70"/>
      <c r="AI70"/>
      <c r="AJ70"/>
      <c r="AK70"/>
      <c r="AL70"/>
      <c r="AM70"/>
      <c r="AN70"/>
      <c r="AO70"/>
      <c r="AP70"/>
      <c r="AQ70"/>
      <c r="AR70"/>
      <c r="AS70"/>
      <c r="AT70"/>
      <c r="AU70"/>
      <c r="AV70"/>
      <c r="AW70"/>
      <c r="AX70"/>
      <c r="AY70"/>
      <c r="AZ70"/>
      <c r="BA70"/>
      <c r="BB70"/>
      <c r="BC70"/>
      <c r="BD70"/>
    </row>
    <row r="71" spans="2:56" ht="15" customHeight="1">
      <c r="B71" s="105" t="str">
        <f t="shared" si="5"/>
        <v>Cebolla de cabeza</v>
      </c>
      <c r="C71" s="470">
        <f t="shared" si="6"/>
        <v>38014.569218154094</v>
      </c>
      <c r="D71" s="470">
        <f t="shared" si="7"/>
        <v>15732</v>
      </c>
      <c r="E71" s="470">
        <v>0</v>
      </c>
      <c r="F71" s="470">
        <f>'3C1 FE'!$D$34</f>
        <v>0.85</v>
      </c>
      <c r="G71" s="470">
        <f>1/'3C4 FE'!$C$56</f>
        <v>1</v>
      </c>
      <c r="H71" s="470">
        <f>'3C4 FE'!D24</f>
        <v>1.07</v>
      </c>
      <c r="I71" s="470">
        <f>'3C4 FE'!E24</f>
        <v>1.54</v>
      </c>
      <c r="J71" s="470">
        <f t="shared" si="1"/>
        <v>42.21558906342488</v>
      </c>
      <c r="K71" s="470">
        <f t="shared" si="2"/>
        <v>1.1105107839355592</v>
      </c>
      <c r="L71" s="470">
        <f>'3C4 FE'!F24</f>
        <v>0.016</v>
      </c>
      <c r="M71" s="470">
        <v>0</v>
      </c>
      <c r="N71" s="470">
        <f>'3C4 FE'!G24</f>
        <v>0.2</v>
      </c>
      <c r="O71" s="470">
        <f t="shared" si="3"/>
        <v>0.4221021567871119</v>
      </c>
      <c r="P71" s="470">
        <f>'3C4 FE'!H24</f>
        <v>0.014</v>
      </c>
      <c r="Q71" s="470">
        <f t="shared" si="4"/>
        <v>14160276.734573044</v>
      </c>
      <c r="Y71"/>
      <c r="Z71"/>
      <c r="AA71"/>
      <c r="AB71"/>
      <c r="AC71"/>
      <c r="AD71"/>
      <c r="AE71"/>
      <c r="AF71"/>
      <c r="AG71"/>
      <c r="AH71"/>
      <c r="AI71"/>
      <c r="AJ71"/>
      <c r="AK71"/>
      <c r="AL71"/>
      <c r="AM71"/>
      <c r="AN71"/>
      <c r="AO71"/>
      <c r="AP71"/>
      <c r="AQ71"/>
      <c r="AR71"/>
      <c r="AS71"/>
      <c r="AT71"/>
      <c r="AU71"/>
      <c r="AV71"/>
      <c r="AW71"/>
      <c r="AX71"/>
      <c r="AY71"/>
      <c r="AZ71"/>
      <c r="BA71"/>
      <c r="BB71"/>
      <c r="BC71"/>
      <c r="BD71"/>
    </row>
    <row r="72" spans="2:56" ht="15" customHeight="1">
      <c r="B72" s="105" t="str">
        <f t="shared" si="5"/>
        <v>Quinua</v>
      </c>
      <c r="C72" s="470">
        <f t="shared" si="6"/>
        <v>1213.1634669318591</v>
      </c>
      <c r="D72" s="470">
        <f t="shared" si="7"/>
        <v>64858.5</v>
      </c>
      <c r="E72" s="470">
        <v>0</v>
      </c>
      <c r="F72" s="470">
        <f>'3C1 FE'!$D$34</f>
        <v>0.85</v>
      </c>
      <c r="G72" s="470">
        <f>1/'3C4 FE'!$C$56</f>
        <v>1</v>
      </c>
      <c r="H72" s="470">
        <f>'3C4 FE'!D25</f>
        <v>1.09</v>
      </c>
      <c r="I72" s="470">
        <f>'3C4 FE'!E25</f>
        <v>0.88</v>
      </c>
      <c r="J72" s="470">
        <f t="shared" si="1"/>
        <v>2.2023481789557264</v>
      </c>
      <c r="K72" s="470">
        <f t="shared" si="2"/>
        <v>1.8153762777950744</v>
      </c>
      <c r="L72" s="470">
        <f>'3C4 FE'!F25</f>
        <v>0.006</v>
      </c>
      <c r="M72" s="470">
        <v>0</v>
      </c>
      <c r="N72" s="470">
        <f>'3C4 FE'!G25</f>
        <v>0.22</v>
      </c>
      <c r="O72" s="470">
        <f t="shared" si="3"/>
        <v>0.6193827811149163</v>
      </c>
      <c r="P72" s="470">
        <f>'3C4 FE'!H25</f>
        <v>0.009</v>
      </c>
      <c r="Q72" s="470">
        <f t="shared" si="4"/>
        <v>1295665.4211167037</v>
      </c>
      <c r="Y72"/>
      <c r="Z72"/>
      <c r="AA72"/>
      <c r="AB72"/>
      <c r="AC72"/>
      <c r="AD72"/>
      <c r="AE72"/>
      <c r="AF72"/>
      <c r="AG72"/>
      <c r="AH72"/>
      <c r="AI72"/>
      <c r="AJ72"/>
      <c r="AK72"/>
      <c r="AL72"/>
      <c r="AM72"/>
      <c r="AN72"/>
      <c r="AO72"/>
      <c r="AP72"/>
      <c r="AQ72"/>
      <c r="AR72"/>
      <c r="AS72"/>
      <c r="AT72"/>
      <c r="AU72"/>
      <c r="AV72"/>
      <c r="AW72"/>
      <c r="AX72"/>
      <c r="AY72"/>
      <c r="AZ72"/>
      <c r="BA72"/>
      <c r="BB72"/>
      <c r="BC72"/>
      <c r="BD72"/>
    </row>
    <row r="73" spans="2:56" ht="15" customHeight="1">
      <c r="B73" s="105" t="str">
        <f t="shared" si="5"/>
        <v>Alcachofa</v>
      </c>
      <c r="C73" s="470">
        <f t="shared" si="6"/>
        <v>16008.687648701765</v>
      </c>
      <c r="D73" s="470">
        <f t="shared" si="7"/>
        <v>7733.599999999999</v>
      </c>
      <c r="E73" s="470">
        <v>0</v>
      </c>
      <c r="F73" s="470">
        <f>'3C1 FE'!$D$34</f>
        <v>0.85</v>
      </c>
      <c r="G73" s="470">
        <f>1/'3C4 FE'!$C$56</f>
        <v>1</v>
      </c>
      <c r="H73" s="470">
        <f>'3C4 FE'!D26</f>
        <v>1.07</v>
      </c>
      <c r="I73" s="470">
        <f>'3C4 FE'!E26</f>
        <v>1.54</v>
      </c>
      <c r="J73" s="470">
        <f t="shared" si="1"/>
        <v>18.66929578411089</v>
      </c>
      <c r="K73" s="470">
        <f t="shared" si="2"/>
        <v>1.1661977667248002</v>
      </c>
      <c r="L73" s="470">
        <f>'3C4 FE'!F26</f>
        <v>0.016</v>
      </c>
      <c r="M73" s="470">
        <v>0</v>
      </c>
      <c r="N73" s="470">
        <f>'3C4 FE'!G26</f>
        <v>0.2</v>
      </c>
      <c r="O73" s="470">
        <f t="shared" si="3"/>
        <v>0.4332395533449601</v>
      </c>
      <c r="P73" s="470">
        <f>'3C4 FE'!H26</f>
        <v>0.014</v>
      </c>
      <c r="Q73" s="470">
        <f t="shared" si="4"/>
        <v>3061013.6815087995</v>
      </c>
      <c r="Y73"/>
      <c r="Z73"/>
      <c r="AA73"/>
      <c r="AB73"/>
      <c r="AC73"/>
      <c r="AD73"/>
      <c r="AE73"/>
      <c r="AF73"/>
      <c r="AG73"/>
      <c r="AH73"/>
      <c r="AI73"/>
      <c r="AJ73"/>
      <c r="AK73"/>
      <c r="AL73"/>
      <c r="AM73"/>
      <c r="AN73"/>
      <c r="AO73"/>
      <c r="AP73"/>
      <c r="AQ73"/>
      <c r="AR73"/>
      <c r="AS73"/>
      <c r="AT73"/>
      <c r="AU73"/>
      <c r="AV73"/>
      <c r="AW73"/>
      <c r="AX73"/>
      <c r="AY73"/>
      <c r="AZ73"/>
      <c r="BA73"/>
      <c r="BB73"/>
      <c r="BC73"/>
      <c r="BD73"/>
    </row>
    <row r="74" spans="2:56" ht="15">
      <c r="B74" s="105" t="str">
        <f t="shared" si="5"/>
        <v>Algodón</v>
      </c>
      <c r="C74" s="470">
        <f t="shared" si="6"/>
        <v>2809.395409927091</v>
      </c>
      <c r="D74" s="470">
        <f t="shared" si="7"/>
        <v>18874.21</v>
      </c>
      <c r="E74" s="470">
        <f>D74*'IB 3C1'!D51</f>
        <v>7549.684</v>
      </c>
      <c r="F74" s="470">
        <f>'3C1 FE'!$D$34</f>
        <v>0.85</v>
      </c>
      <c r="G74" s="470">
        <f>1/'3C4 FE'!$C$56</f>
        <v>1</v>
      </c>
      <c r="H74" s="470">
        <f>'3C4 FE'!D27</f>
        <v>1.07</v>
      </c>
      <c r="I74" s="470">
        <f>'3C4 FE'!E27</f>
        <v>1.54</v>
      </c>
      <c r="J74" s="470">
        <f t="shared" si="1"/>
        <v>4.546053088621987</v>
      </c>
      <c r="K74" s="470">
        <f t="shared" si="2"/>
        <v>1.6181606450122183</v>
      </c>
      <c r="L74" s="470">
        <f>'3C4 FE'!F27</f>
        <v>0.016</v>
      </c>
      <c r="M74" s="470">
        <v>0</v>
      </c>
      <c r="N74" s="470">
        <f>'3C4 FE'!G27</f>
        <v>0.2</v>
      </c>
      <c r="O74" s="470">
        <f t="shared" si="3"/>
        <v>0.5236321290024437</v>
      </c>
      <c r="P74" s="470">
        <f>'3C4 FE'!H27</f>
        <v>0.014</v>
      </c>
      <c r="Q74" s="470">
        <f t="shared" si="4"/>
        <v>1294800.559527088</v>
      </c>
      <c r="Y74"/>
      <c r="Z74"/>
      <c r="AA74"/>
      <c r="AB74"/>
      <c r="AC74"/>
      <c r="AD74"/>
      <c r="AE74"/>
      <c r="AF74"/>
      <c r="AG74"/>
      <c r="AH74"/>
      <c r="AI74"/>
      <c r="AJ74"/>
      <c r="AK74"/>
      <c r="AL74"/>
      <c r="AM74"/>
      <c r="AN74"/>
      <c r="AO74"/>
      <c r="AP74"/>
      <c r="AQ74"/>
      <c r="AR74"/>
      <c r="AS74"/>
      <c r="AT74"/>
      <c r="AU74"/>
      <c r="AV74"/>
      <c r="AW74"/>
      <c r="AX74"/>
      <c r="AY74"/>
      <c r="AZ74"/>
      <c r="BA74"/>
      <c r="BB74"/>
      <c r="BC74"/>
      <c r="BD74"/>
    </row>
    <row r="75" spans="2:56" ht="15">
      <c r="B75" s="105" t="str">
        <f t="shared" si="5"/>
        <v>Piña</v>
      </c>
      <c r="C75" s="470">
        <f t="shared" si="6"/>
        <v>33525.791928802246</v>
      </c>
      <c r="D75" s="470">
        <f t="shared" si="7"/>
        <v>15847.239</v>
      </c>
      <c r="E75" s="470">
        <v>0</v>
      </c>
      <c r="F75" s="470">
        <f>'3C1 FE'!$D$34</f>
        <v>0.85</v>
      </c>
      <c r="G75" s="470">
        <f>1/'3C4 FE'!$C$56</f>
        <v>1</v>
      </c>
      <c r="H75" s="470">
        <f>'3C4 FE'!D28</f>
        <v>1.07</v>
      </c>
      <c r="I75" s="470">
        <f>'3C4 FE'!E28</f>
        <v>1.54</v>
      </c>
      <c r="J75" s="470">
        <f t="shared" si="1"/>
        <v>37.412597363818406</v>
      </c>
      <c r="K75" s="470">
        <f t="shared" si="2"/>
        <v>1.115934783681485</v>
      </c>
      <c r="L75" s="470">
        <f>'3C4 FE'!F28</f>
        <v>0.016</v>
      </c>
      <c r="M75" s="470">
        <v>0</v>
      </c>
      <c r="N75" s="470">
        <f>'3C4 FE'!G28</f>
        <v>0.2</v>
      </c>
      <c r="O75" s="470">
        <f t="shared" si="3"/>
        <v>0.42318695673629697</v>
      </c>
      <c r="P75" s="470">
        <f>'3C4 FE'!H28</f>
        <v>0.014</v>
      </c>
      <c r="Q75" s="470">
        <f t="shared" si="4"/>
        <v>12633879.258869765</v>
      </c>
      <c r="Y75"/>
      <c r="Z75"/>
      <c r="AA75"/>
      <c r="AB75"/>
      <c r="AC75"/>
      <c r="AD75"/>
      <c r="AE75"/>
      <c r="AF75"/>
      <c r="AG75"/>
      <c r="AH75"/>
      <c r="AI75"/>
      <c r="AJ75"/>
      <c r="AK75"/>
      <c r="AL75"/>
      <c r="AM75"/>
      <c r="AN75"/>
      <c r="AO75"/>
      <c r="AP75"/>
      <c r="AQ75"/>
      <c r="AR75"/>
      <c r="AS75"/>
      <c r="AT75"/>
      <c r="AU75"/>
      <c r="AV75"/>
      <c r="AW75"/>
      <c r="AX75"/>
      <c r="AY75"/>
      <c r="AZ75"/>
      <c r="BA75"/>
      <c r="BB75"/>
      <c r="BC75"/>
      <c r="BD75"/>
    </row>
    <row r="76" spans="2:56" ht="15">
      <c r="B76" s="105" t="str">
        <f t="shared" si="5"/>
        <v>Maíz choclo</v>
      </c>
      <c r="C76" s="470">
        <f t="shared" si="6"/>
        <v>8268.517981544128</v>
      </c>
      <c r="D76" s="470">
        <f t="shared" si="7"/>
        <v>43883.05</v>
      </c>
      <c r="E76" s="470">
        <v>0</v>
      </c>
      <c r="F76" s="470">
        <f>'3C1 FE'!D31</f>
        <v>0.8</v>
      </c>
      <c r="G76" s="470">
        <f>1/'3C4 FE'!$C$56</f>
        <v>1</v>
      </c>
      <c r="H76" s="470">
        <f>'3C4 FE'!D29</f>
        <v>1.03</v>
      </c>
      <c r="I76" s="470">
        <f>'3C4 FE'!E29</f>
        <v>0.61</v>
      </c>
      <c r="J76" s="470">
        <f t="shared" si="1"/>
        <v>9.126573520990453</v>
      </c>
      <c r="K76" s="470">
        <f t="shared" si="2"/>
        <v>1.1037738009836298</v>
      </c>
      <c r="L76" s="470">
        <f>'3C4 FE'!F29</f>
        <v>0.006</v>
      </c>
      <c r="M76" s="470">
        <v>0</v>
      </c>
      <c r="N76" s="470">
        <f>'3C4 FE'!G29</f>
        <v>0.22</v>
      </c>
      <c r="O76" s="470">
        <f t="shared" si="3"/>
        <v>0.46283023621639857</v>
      </c>
      <c r="P76" s="470">
        <f>'3C4 FE'!H29</f>
        <v>0.007</v>
      </c>
      <c r="Q76" s="470">
        <f t="shared" si="4"/>
        <v>3578569.7849486633</v>
      </c>
      <c r="Y76"/>
      <c r="Z76"/>
      <c r="AA76"/>
      <c r="AB76"/>
      <c r="AC76"/>
      <c r="AD76"/>
      <c r="AE76"/>
      <c r="AF76"/>
      <c r="AG76"/>
      <c r="AH76"/>
      <c r="AI76"/>
      <c r="AJ76"/>
      <c r="AK76"/>
      <c r="AL76"/>
      <c r="AM76"/>
      <c r="AN76"/>
      <c r="AO76"/>
      <c r="AP76"/>
      <c r="AQ76"/>
      <c r="AR76"/>
      <c r="AS76"/>
      <c r="AT76"/>
      <c r="AU76"/>
      <c r="AV76"/>
      <c r="AW76"/>
      <c r="AX76"/>
      <c r="AY76"/>
      <c r="AZ76"/>
      <c r="BA76"/>
      <c r="BB76"/>
      <c r="BC76"/>
      <c r="BD76"/>
    </row>
    <row r="77" spans="2:56" ht="15">
      <c r="B77" s="105" t="str">
        <f aca="true" t="shared" si="8" ref="B77:B84">B130</f>
        <v>Espárrago</v>
      </c>
      <c r="C77" s="470">
        <f t="shared" si="6"/>
        <v>10579.796260281859</v>
      </c>
      <c r="D77" s="470">
        <f t="shared" si="7"/>
        <v>31700.25</v>
      </c>
      <c r="E77" s="470">
        <v>0</v>
      </c>
      <c r="F77" s="470">
        <f>'3C1 FE'!$D$34</f>
        <v>0.85</v>
      </c>
      <c r="G77" s="470">
        <f>1/'3C4 FE'!$C$56</f>
        <v>1</v>
      </c>
      <c r="H77" s="470">
        <f>'3C4 FE'!D30</f>
        <v>1.07</v>
      </c>
      <c r="I77" s="470">
        <f>'3C4 FE'!E30</f>
        <v>1.54</v>
      </c>
      <c r="J77" s="470">
        <f t="shared" si="1"/>
        <v>12.860381998501587</v>
      </c>
      <c r="K77" s="470">
        <f t="shared" si="2"/>
        <v>1.2155604590214453</v>
      </c>
      <c r="L77" s="470">
        <f>'3C4 FE'!F30</f>
        <v>0.016</v>
      </c>
      <c r="M77" s="470">
        <v>0</v>
      </c>
      <c r="N77" s="470">
        <f>'3C4 FE'!G30</f>
        <v>0.2</v>
      </c>
      <c r="O77" s="470">
        <f t="shared" si="3"/>
        <v>0.4431120918042891</v>
      </c>
      <c r="P77" s="470">
        <f>'3C4 FE'!H30</f>
        <v>0.014</v>
      </c>
      <c r="Q77" s="470">
        <f t="shared" si="4"/>
        <v>8603403.821542399</v>
      </c>
      <c r="Y77"/>
      <c r="Z77"/>
      <c r="AA77"/>
      <c r="AB77"/>
      <c r="AC77"/>
      <c r="AD77"/>
      <c r="AE77"/>
      <c r="AF77"/>
      <c r="AG77"/>
      <c r="AH77"/>
      <c r="AI77"/>
      <c r="AJ77"/>
      <c r="AK77"/>
      <c r="AL77"/>
      <c r="AM77"/>
      <c r="AN77"/>
      <c r="AO77"/>
      <c r="AP77"/>
      <c r="AQ77"/>
      <c r="AR77"/>
      <c r="AS77"/>
      <c r="AT77"/>
      <c r="AU77"/>
      <c r="AV77"/>
      <c r="AW77"/>
      <c r="AX77"/>
      <c r="AY77"/>
      <c r="AZ77"/>
      <c r="BA77"/>
      <c r="BB77"/>
      <c r="BC77"/>
      <c r="BD77"/>
    </row>
    <row r="78" spans="2:56" ht="15">
      <c r="B78" s="105" t="str">
        <f t="shared" si="8"/>
        <v>Maíz amiláceo</v>
      </c>
      <c r="C78" s="470">
        <f t="shared" si="6"/>
        <v>1342.7470558027167</v>
      </c>
      <c r="D78" s="470">
        <f t="shared" si="7"/>
        <v>197745.75</v>
      </c>
      <c r="E78" s="470">
        <v>0</v>
      </c>
      <c r="F78" s="470">
        <f>'3C1 FE'!D31</f>
        <v>0.8</v>
      </c>
      <c r="G78" s="470">
        <f>1/'3C4 FE'!$C$56</f>
        <v>1</v>
      </c>
      <c r="H78" s="470">
        <f>'3C4 FE'!D31</f>
        <v>1.03</v>
      </c>
      <c r="I78" s="470">
        <f>'3C4 FE'!E31</f>
        <v>0.61</v>
      </c>
      <c r="J78" s="470">
        <f t="shared" si="1"/>
        <v>1.993029467476798</v>
      </c>
      <c r="K78" s="470">
        <f t="shared" si="2"/>
        <v>1.4842925619265885</v>
      </c>
      <c r="L78" s="470">
        <f>'3C4 FE'!F31</f>
        <v>0.006</v>
      </c>
      <c r="M78" s="470">
        <v>0</v>
      </c>
      <c r="N78" s="470">
        <f>'3C4 FE'!G31</f>
        <v>0.22</v>
      </c>
      <c r="O78" s="470">
        <f t="shared" si="3"/>
        <v>0.5465443636238494</v>
      </c>
      <c r="P78" s="470">
        <f>'3C4 FE'!H31</f>
        <v>0.007</v>
      </c>
      <c r="Q78" s="470">
        <f t="shared" si="4"/>
        <v>3380517.5117693827</v>
      </c>
      <c r="Y78"/>
      <c r="Z78"/>
      <c r="AA78"/>
      <c r="AB78"/>
      <c r="AC78"/>
      <c r="AD78"/>
      <c r="AE78"/>
      <c r="AF78"/>
      <c r="AG78"/>
      <c r="AH78"/>
      <c r="AI78"/>
      <c r="AJ78"/>
      <c r="AK78"/>
      <c r="AL78"/>
      <c r="AM78"/>
      <c r="AN78"/>
      <c r="AO78"/>
      <c r="AP78"/>
      <c r="AQ78"/>
      <c r="AR78"/>
      <c r="AS78"/>
      <c r="AT78"/>
      <c r="AU78"/>
      <c r="AV78"/>
      <c r="AW78"/>
      <c r="AX78"/>
      <c r="AY78"/>
      <c r="AZ78"/>
      <c r="BA78"/>
      <c r="BB78"/>
      <c r="BC78"/>
      <c r="BD78"/>
    </row>
    <row r="79" spans="2:56" ht="15">
      <c r="B79" s="105" t="str">
        <f t="shared" si="8"/>
        <v>Tomate</v>
      </c>
      <c r="C79" s="470">
        <f t="shared" si="6"/>
        <v>39338.329543145526</v>
      </c>
      <c r="D79" s="470">
        <f t="shared" si="7"/>
        <v>4822.9800000000005</v>
      </c>
      <c r="E79" s="470">
        <v>0</v>
      </c>
      <c r="F79" s="470">
        <f>'3C1 FE'!$D$34</f>
        <v>0.85</v>
      </c>
      <c r="G79" s="470">
        <f>1/'3C4 FE'!$C$56</f>
        <v>1</v>
      </c>
      <c r="H79" s="470">
        <f>'3C4 FE'!D32</f>
        <v>1.07</v>
      </c>
      <c r="I79" s="470">
        <f>'3C4 FE'!E32</f>
        <v>1.54</v>
      </c>
      <c r="J79" s="470">
        <f t="shared" si="1"/>
        <v>43.63201261116571</v>
      </c>
      <c r="K79" s="470">
        <f t="shared" si="2"/>
        <v>1.1091475697591826</v>
      </c>
      <c r="L79" s="470">
        <f>'3C4 FE'!F32</f>
        <v>0.016</v>
      </c>
      <c r="M79" s="470">
        <v>0</v>
      </c>
      <c r="N79" s="470">
        <f>'3C4 FE'!G32</f>
        <v>0.2</v>
      </c>
      <c r="O79" s="470">
        <f t="shared" si="3"/>
        <v>0.4218295139518366</v>
      </c>
      <c r="P79" s="470">
        <f>'3C4 FE'!H32</f>
        <v>0.014</v>
      </c>
      <c r="Q79" s="470">
        <f t="shared" si="4"/>
        <v>4487441.229183922</v>
      </c>
      <c r="Y79"/>
      <c r="Z79"/>
      <c r="AA79"/>
      <c r="AB79"/>
      <c r="AC79"/>
      <c r="AD79"/>
      <c r="AE79"/>
      <c r="AF79"/>
      <c r="AG79"/>
      <c r="AH79"/>
      <c r="AI79"/>
      <c r="AJ79"/>
      <c r="AK79"/>
      <c r="AL79"/>
      <c r="AM79"/>
      <c r="AN79"/>
      <c r="AO79"/>
      <c r="AP79"/>
      <c r="AQ79"/>
      <c r="AR79"/>
      <c r="AS79"/>
      <c r="AT79"/>
      <c r="AU79"/>
      <c r="AV79"/>
      <c r="AW79"/>
      <c r="AX79"/>
      <c r="AY79"/>
      <c r="AZ79"/>
      <c r="BA79"/>
      <c r="BB79"/>
      <c r="BC79"/>
      <c r="BD79"/>
    </row>
    <row r="80" spans="2:56" ht="15">
      <c r="B80" s="105" t="str">
        <f t="shared" si="8"/>
        <v>Trigo</v>
      </c>
      <c r="C80" s="470">
        <f t="shared" si="6"/>
        <v>1390.4602469574554</v>
      </c>
      <c r="D80" s="470">
        <f t="shared" si="7"/>
        <v>120634.301</v>
      </c>
      <c r="E80" s="470">
        <v>0</v>
      </c>
      <c r="F80" s="470">
        <f>'3C1 FE'!D30</f>
        <v>0.9</v>
      </c>
      <c r="G80" s="470">
        <f>1/'3C4 FE'!$C$56</f>
        <v>1</v>
      </c>
      <c r="H80" s="470">
        <f>'3C4 FE'!D33</f>
        <v>1.51</v>
      </c>
      <c r="I80" s="470">
        <f>'3C4 FE'!E33</f>
        <v>0.52</v>
      </c>
      <c r="J80" s="470">
        <f t="shared" si="1"/>
        <v>2.6195949729057575</v>
      </c>
      <c r="K80" s="470">
        <f t="shared" si="2"/>
        <v>1.883976890844482</v>
      </c>
      <c r="L80" s="470">
        <f>'3C4 FE'!F33</f>
        <v>0.006</v>
      </c>
      <c r="M80" s="470">
        <v>0</v>
      </c>
      <c r="N80" s="470">
        <f>'3C4 FE'!G33</f>
        <v>0.24</v>
      </c>
      <c r="O80" s="470">
        <f t="shared" si="3"/>
        <v>0.6921544538026757</v>
      </c>
      <c r="P80" s="470">
        <f>'3C4 FE'!H33</f>
        <v>0.009</v>
      </c>
      <c r="Q80" s="470">
        <f t="shared" si="4"/>
        <v>2940978.5009439364</v>
      </c>
      <c r="R80"/>
      <c r="Y80"/>
      <c r="Z80"/>
      <c r="AA80"/>
      <c r="AB80"/>
      <c r="AC80"/>
      <c r="AD80"/>
      <c r="AE80"/>
      <c r="AF80"/>
      <c r="AG80"/>
      <c r="AH80"/>
      <c r="AI80"/>
      <c r="AJ80"/>
      <c r="AK80"/>
      <c r="AL80"/>
      <c r="AM80"/>
      <c r="AN80"/>
      <c r="AO80"/>
      <c r="AP80"/>
      <c r="AQ80"/>
      <c r="AR80"/>
      <c r="AS80"/>
      <c r="AT80"/>
      <c r="AU80"/>
      <c r="AV80"/>
      <c r="AW80"/>
      <c r="AX80"/>
      <c r="AY80"/>
      <c r="AZ80"/>
      <c r="BA80"/>
      <c r="BB80"/>
      <c r="BC80"/>
      <c r="BD80"/>
    </row>
    <row r="81" spans="2:56" ht="15">
      <c r="B81" s="105" t="str">
        <f t="shared" si="8"/>
        <v>Cebada grano</v>
      </c>
      <c r="C81" s="470">
        <f t="shared" si="6"/>
        <v>1411.8912265230879</v>
      </c>
      <c r="D81" s="470">
        <f t="shared" si="7"/>
        <v>132563.75</v>
      </c>
      <c r="E81" s="470">
        <v>0</v>
      </c>
      <c r="F81" s="470">
        <f>'3C1 FE'!$D$34</f>
        <v>0.85</v>
      </c>
      <c r="G81" s="470">
        <f>1/'3C4 FE'!$C$56</f>
        <v>1</v>
      </c>
      <c r="H81" s="470">
        <f>'3C4 FE'!D34</f>
        <v>0.98</v>
      </c>
      <c r="I81" s="470">
        <f>'3C4 FE'!E34</f>
        <v>0.59</v>
      </c>
      <c r="J81" s="470">
        <f t="shared" si="1"/>
        <v>1.973653401992626</v>
      </c>
      <c r="K81" s="470">
        <f t="shared" si="2"/>
        <v>1.3978792168380627</v>
      </c>
      <c r="L81" s="470">
        <f>'3C4 FE'!F34</f>
        <v>0.007</v>
      </c>
      <c r="M81" s="470">
        <v>0</v>
      </c>
      <c r="N81" s="470">
        <f>'3C4 FE'!G34</f>
        <v>0.022</v>
      </c>
      <c r="O81" s="470">
        <f t="shared" si="3"/>
        <v>0.05275334277043738</v>
      </c>
      <c r="P81" s="470">
        <f>'3C4 FE'!H34</f>
        <v>0.014</v>
      </c>
      <c r="Q81" s="470">
        <f t="shared" si="4"/>
        <v>1969674.824637307</v>
      </c>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2:56" ht="15">
      <c r="B82" s="105" t="str">
        <f t="shared" si="8"/>
        <v>Palma aceitera</v>
      </c>
      <c r="C82" s="470">
        <f t="shared" si="6"/>
        <v>11724.442381186143</v>
      </c>
      <c r="D82" s="470">
        <f t="shared" si="7"/>
        <v>74739.39</v>
      </c>
      <c r="E82" s="470">
        <v>0</v>
      </c>
      <c r="F82" s="470">
        <f>'3C1 FE'!$D$34</f>
        <v>0.85</v>
      </c>
      <c r="G82" s="470">
        <f>1/'3C4 FE'!C61</f>
        <v>0.04</v>
      </c>
      <c r="H82" s="470">
        <f>'3C4 FE'!D35</f>
        <v>1.07</v>
      </c>
      <c r="I82" s="470">
        <f>'3C4 FE'!E35</f>
        <v>1.54</v>
      </c>
      <c r="J82" s="470">
        <f t="shared" si="1"/>
        <v>14.085153347869174</v>
      </c>
      <c r="K82" s="470">
        <f t="shared" si="2"/>
        <v>1.2013495303172106</v>
      </c>
      <c r="L82" s="470">
        <f>'3C4 FE'!F35</f>
        <v>0.016</v>
      </c>
      <c r="M82" s="470">
        <v>0</v>
      </c>
      <c r="N82" s="470">
        <f>'3C4 FE'!G35</f>
        <v>0.2</v>
      </c>
      <c r="O82" s="470">
        <f t="shared" si="3"/>
        <v>0.4402699060634422</v>
      </c>
      <c r="P82" s="470">
        <f>'3C4 FE'!H35</f>
        <v>0.014</v>
      </c>
      <c r="Q82" s="470">
        <f t="shared" si="4"/>
        <v>889785.3577216222</v>
      </c>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2:56" ht="15">
      <c r="B83" s="105" t="str">
        <f t="shared" si="8"/>
        <v>Café pergamino</v>
      </c>
      <c r="C83" s="470">
        <f t="shared" si="6"/>
        <v>779.4118292768735</v>
      </c>
      <c r="D83" s="470">
        <f t="shared" si="7"/>
        <v>438177.09699999995</v>
      </c>
      <c r="E83" s="470">
        <v>0</v>
      </c>
      <c r="F83" s="470">
        <f>'3C1 FE'!$D$34</f>
        <v>0.85</v>
      </c>
      <c r="G83" s="470">
        <f>1/'3C4 FE'!C62</f>
        <v>0.03333333333333333</v>
      </c>
      <c r="H83" s="470">
        <f>'3C4 FE'!D36</f>
        <v>1.07</v>
      </c>
      <c r="I83" s="470">
        <f>'3C4 FE'!E36</f>
        <v>1.54</v>
      </c>
      <c r="J83" s="470">
        <f t="shared" si="1"/>
        <v>2.3739706573262547</v>
      </c>
      <c r="K83" s="470">
        <f t="shared" si="2"/>
        <v>3.0458488929129914</v>
      </c>
      <c r="L83" s="470">
        <f>'3C4 FE'!F36</f>
        <v>0.016</v>
      </c>
      <c r="M83" s="470">
        <v>0</v>
      </c>
      <c r="N83" s="470">
        <f>'3C4 FE'!G36</f>
        <v>0.2</v>
      </c>
      <c r="O83" s="470">
        <f t="shared" si="3"/>
        <v>0.8091697785825983</v>
      </c>
      <c r="P83" s="470">
        <f>'3C4 FE'!H36</f>
        <v>0.014</v>
      </c>
      <c r="Q83" s="470">
        <f t="shared" si="4"/>
        <v>683746.1696745174</v>
      </c>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2:56" ht="15">
      <c r="B84" s="105" t="str">
        <f t="shared" si="8"/>
        <v>Cacao</v>
      </c>
      <c r="C84" s="470">
        <f t="shared" si="6"/>
        <v>783.8544387273757</v>
      </c>
      <c r="D84" s="470">
        <f t="shared" si="7"/>
        <v>170017.2</v>
      </c>
      <c r="E84" s="470">
        <v>0</v>
      </c>
      <c r="F84" s="470">
        <f>'3C1 FE'!$D$34</f>
        <v>0.85</v>
      </c>
      <c r="G84" s="470">
        <f>1/'3C4 FE'!C63</f>
        <v>0.02</v>
      </c>
      <c r="H84" s="470">
        <f>'3C4 FE'!D37</f>
        <v>1.07</v>
      </c>
      <c r="I84" s="470">
        <f>'3C4 FE'!E37</f>
        <v>1.54</v>
      </c>
      <c r="J84" s="470">
        <f t="shared" si="1"/>
        <v>2.3787242494382923</v>
      </c>
      <c r="K84" s="470">
        <f t="shared" si="2"/>
        <v>3.034650480898293</v>
      </c>
      <c r="L84" s="470">
        <f>'3C4 FE'!F37</f>
        <v>0.016</v>
      </c>
      <c r="M84" s="470">
        <v>0</v>
      </c>
      <c r="N84" s="470">
        <f>'3C4 FE'!G37</f>
        <v>0.2</v>
      </c>
      <c r="O84" s="470">
        <f t="shared" si="3"/>
        <v>0.8069300961796585</v>
      </c>
      <c r="P84" s="470">
        <f>'3C4 FE'!H37</f>
        <v>0.014</v>
      </c>
      <c r="Q84" s="470">
        <f t="shared" si="4"/>
        <v>159526.4869748416</v>
      </c>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2:56" ht="18.75" customHeight="1">
      <c r="B85" s="106" t="s">
        <v>236</v>
      </c>
      <c r="C85" s="981"/>
      <c r="D85" s="981"/>
      <c r="E85" s="981"/>
      <c r="F85" s="981"/>
      <c r="G85" s="981"/>
      <c r="H85" s="981"/>
      <c r="I85" s="981"/>
      <c r="J85" s="981"/>
      <c r="K85" s="981"/>
      <c r="L85" s="981"/>
      <c r="M85" s="981"/>
      <c r="N85" s="981"/>
      <c r="O85" s="981"/>
      <c r="P85" s="981"/>
      <c r="Q85" s="471">
        <f>SUM(Q86:Q94)</f>
        <v>4648029.289709592</v>
      </c>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2:56" ht="15">
      <c r="B86" s="105" t="str">
        <f>B139</f>
        <v>Arveja gr. Verde</v>
      </c>
      <c r="C86" s="470">
        <f aca="true" t="shared" si="9" ref="C86:C94">G139</f>
        <v>3427.924475210133</v>
      </c>
      <c r="D86" s="470">
        <f aca="true" t="shared" si="10" ref="D86:D94">C139</f>
        <v>33903.57</v>
      </c>
      <c r="E86" s="470">
        <v>0</v>
      </c>
      <c r="F86" s="470">
        <f>'3C1 FE'!$D$34</f>
        <v>0.85</v>
      </c>
      <c r="G86" s="470">
        <f>1/'3C4 FE'!$C$56</f>
        <v>1</v>
      </c>
      <c r="H86" s="470">
        <f>'3C4 FE'!D38</f>
        <v>0.36</v>
      </c>
      <c r="I86" s="470">
        <f>'3C4 FE'!E38</f>
        <v>0.68</v>
      </c>
      <c r="J86" s="470">
        <f t="shared" si="1"/>
        <v>1.9140528110756478</v>
      </c>
      <c r="K86" s="470">
        <f aca="true" t="shared" si="11" ref="K86:K94">J86*1000/C86</f>
        <v>0.5583707648513218</v>
      </c>
      <c r="L86" s="470">
        <f>'3C4 FE'!F38</f>
        <v>0.01</v>
      </c>
      <c r="M86" s="470">
        <v>0</v>
      </c>
      <c r="N86" s="470">
        <f>'3C4 FE'!G38</f>
        <v>0.19</v>
      </c>
      <c r="O86" s="470">
        <f aca="true" t="shared" si="12" ref="O86:O94">N86*(J86*1000+C86)/C86</f>
        <v>0.2960904453217511</v>
      </c>
      <c r="P86" s="470">
        <f>'3C4 FE'!H38</f>
        <v>0.01</v>
      </c>
      <c r="Q86" s="470">
        <f>C86*G86*((D86-E86*F86)*K86*L86*(1-M86)+D86*O86*P86)</f>
        <v>993045.2262816</v>
      </c>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2:56" ht="15">
      <c r="B87" s="105" t="str">
        <f aca="true" t="shared" si="13" ref="B87:B94">B140</f>
        <v>Arveja grano seco</v>
      </c>
      <c r="C87" s="470">
        <f t="shared" si="9"/>
        <v>1017.0435090369085</v>
      </c>
      <c r="D87" s="470">
        <f t="shared" si="10"/>
        <v>44359.75</v>
      </c>
      <c r="E87" s="470">
        <v>0</v>
      </c>
      <c r="F87" s="470">
        <f>'3C1 FE'!$D$34</f>
        <v>0.85</v>
      </c>
      <c r="G87" s="470">
        <f>1/'3C4 FE'!$C$56</f>
        <v>1</v>
      </c>
      <c r="H87" s="470">
        <f>'3C4 FE'!D39</f>
        <v>0.36</v>
      </c>
      <c r="I87" s="470">
        <f>'3C4 FE'!E39</f>
        <v>0.68</v>
      </c>
      <c r="J87" s="470">
        <f t="shared" si="1"/>
        <v>1.046135663253287</v>
      </c>
      <c r="K87" s="470">
        <f t="shared" si="11"/>
        <v>1.0286046309306152</v>
      </c>
      <c r="L87" s="470">
        <f>'3C4 FE'!F39</f>
        <v>0.01</v>
      </c>
      <c r="M87" s="470">
        <v>0</v>
      </c>
      <c r="N87" s="470">
        <f>'3C4 FE'!G39</f>
        <v>0.19</v>
      </c>
      <c r="O87" s="470">
        <f t="shared" si="12"/>
        <v>0.3854348798768168</v>
      </c>
      <c r="P87" s="470">
        <f>'3C4 FE'!H39</f>
        <v>0.01</v>
      </c>
      <c r="Q87" s="470">
        <f aca="true" t="shared" si="14" ref="Q87:Q94">C87*G87*((D87-E87*F87)*K87*L87*(1-M87)+D87*O87*P87)</f>
        <v>637955.1782272</v>
      </c>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2:56" ht="15">
      <c r="B88" s="105" t="str">
        <f t="shared" si="13"/>
        <v>Frijol grano seco</v>
      </c>
      <c r="C88" s="470">
        <f t="shared" si="9"/>
        <v>1071.9051285345702</v>
      </c>
      <c r="D88" s="470">
        <f t="shared" si="10"/>
        <v>71994.25</v>
      </c>
      <c r="E88" s="470">
        <v>0</v>
      </c>
      <c r="F88" s="470">
        <f>'3C1 FE'!$D$34</f>
        <v>0.85</v>
      </c>
      <c r="G88" s="470">
        <f>1/'3C4 FE'!$C$56</f>
        <v>1</v>
      </c>
      <c r="H88" s="470">
        <f>'3C4 FE'!D40</f>
        <v>0.36</v>
      </c>
      <c r="I88" s="470">
        <f>'3C4 FE'!E40</f>
        <v>0.68</v>
      </c>
      <c r="J88" s="470">
        <f t="shared" si="1"/>
        <v>1.0658858462724452</v>
      </c>
      <c r="K88" s="470">
        <f t="shared" si="11"/>
        <v>0.9943845009209406</v>
      </c>
      <c r="L88" s="470">
        <f>'3C4 FE'!F40</f>
        <v>0.01</v>
      </c>
      <c r="M88" s="470">
        <v>0</v>
      </c>
      <c r="N88" s="470">
        <f>'3C4 FE'!G40</f>
        <v>0.19</v>
      </c>
      <c r="O88" s="470">
        <f t="shared" si="12"/>
        <v>0.37893305517497866</v>
      </c>
      <c r="P88" s="470">
        <f>'3C4 FE'!H40</f>
        <v>0.01</v>
      </c>
      <c r="Q88" s="470">
        <f t="shared" si="14"/>
        <v>1059802.9708671998</v>
      </c>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2:56" ht="15">
      <c r="B89" s="105" t="str">
        <f t="shared" si="13"/>
        <v>Haba grano seco</v>
      </c>
      <c r="C89" s="470">
        <f t="shared" si="9"/>
        <v>1341.4314471828623</v>
      </c>
      <c r="D89" s="470">
        <f t="shared" si="10"/>
        <v>55841.25</v>
      </c>
      <c r="E89" s="470">
        <v>0</v>
      </c>
      <c r="F89" s="470">
        <f>'3C1 FE'!$D$34</f>
        <v>0.85</v>
      </c>
      <c r="G89" s="470">
        <f>1/'3C4 FE'!$C$56</f>
        <v>1</v>
      </c>
      <c r="H89" s="470">
        <f>'3C4 FE'!D41</f>
        <v>0.36</v>
      </c>
      <c r="I89" s="470">
        <f>'3C4 FE'!E41</f>
        <v>0.68</v>
      </c>
      <c r="J89" s="470">
        <f t="shared" si="1"/>
        <v>1.1629153209858305</v>
      </c>
      <c r="K89" s="470">
        <f t="shared" si="11"/>
        <v>0.8669211709834795</v>
      </c>
      <c r="L89" s="470">
        <f>'3C4 FE'!F41</f>
        <v>0.01</v>
      </c>
      <c r="M89" s="470">
        <v>0</v>
      </c>
      <c r="N89" s="470">
        <f>'3C4 FE'!G41</f>
        <v>0.19</v>
      </c>
      <c r="O89" s="470">
        <f t="shared" si="12"/>
        <v>0.3547150224868611</v>
      </c>
      <c r="P89" s="470">
        <f>'3C4 FE'!H41</f>
        <v>0.01</v>
      </c>
      <c r="Q89" s="470">
        <f t="shared" si="14"/>
        <v>915093.5742192002</v>
      </c>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2:56" ht="15">
      <c r="B90" s="105" t="str">
        <f t="shared" si="13"/>
        <v>Pallar grano seco</v>
      </c>
      <c r="C90" s="470">
        <f t="shared" si="9"/>
        <v>1291.8702205327245</v>
      </c>
      <c r="D90" s="470">
        <f t="shared" si="10"/>
        <v>5629.55</v>
      </c>
      <c r="E90" s="470">
        <v>0</v>
      </c>
      <c r="F90" s="470">
        <f>'3C1 FE'!$D$34</f>
        <v>0.85</v>
      </c>
      <c r="G90" s="470">
        <f>1/'3C4 FE'!$C$56</f>
        <v>1</v>
      </c>
      <c r="H90" s="470">
        <f>'3C4 FE'!D42</f>
        <v>0.36</v>
      </c>
      <c r="I90" s="470">
        <f>'3C4 FE'!E42</f>
        <v>0.68</v>
      </c>
      <c r="J90" s="470">
        <f t="shared" si="1"/>
        <v>1.1450732793917808</v>
      </c>
      <c r="K90" s="470">
        <f t="shared" si="11"/>
        <v>0.8863686624184205</v>
      </c>
      <c r="L90" s="470">
        <f>'3C4 FE'!F42</f>
        <v>0.01</v>
      </c>
      <c r="M90" s="470">
        <v>0</v>
      </c>
      <c r="N90" s="470">
        <f>'3C4 FE'!G42</f>
        <v>0.19</v>
      </c>
      <c r="O90" s="470">
        <f t="shared" si="12"/>
        <v>0.3584100458594999</v>
      </c>
      <c r="P90" s="470">
        <f>'3C4 FE'!H42</f>
        <v>0.01</v>
      </c>
      <c r="Q90" s="470">
        <f t="shared" si="14"/>
        <v>90528.373832</v>
      </c>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2:56" ht="15">
      <c r="B91" s="105" t="str">
        <f t="shared" si="13"/>
        <v>frijol castilla /caupi</v>
      </c>
      <c r="C91" s="470">
        <f t="shared" si="9"/>
        <v>1227.4647451220012</v>
      </c>
      <c r="D91" s="470">
        <f t="shared" si="10"/>
        <v>15792.849999999999</v>
      </c>
      <c r="E91" s="470">
        <v>0</v>
      </c>
      <c r="F91" s="470">
        <f>'3C1 FE'!$D$34</f>
        <v>0.85</v>
      </c>
      <c r="G91" s="470">
        <f>1/'3C4 FE'!$C$56</f>
        <v>1</v>
      </c>
      <c r="H91" s="470">
        <f>'3C4 FE'!D43</f>
        <v>0.36</v>
      </c>
      <c r="I91" s="470">
        <f>'3C4 FE'!E43</f>
        <v>0.68</v>
      </c>
      <c r="J91" s="470">
        <f t="shared" si="1"/>
        <v>1.1218873082439205</v>
      </c>
      <c r="K91" s="470">
        <f t="shared" si="11"/>
        <v>0.9139873977662901</v>
      </c>
      <c r="L91" s="470">
        <f>'3C4 FE'!F43</f>
        <v>0.01</v>
      </c>
      <c r="M91" s="470">
        <v>0</v>
      </c>
      <c r="N91" s="470">
        <f>'3C4 FE'!G43</f>
        <v>0.19</v>
      </c>
      <c r="O91" s="470">
        <f t="shared" si="12"/>
        <v>0.3636576055755951</v>
      </c>
      <c r="P91" s="470">
        <f>'3C4 FE'!H43</f>
        <v>0.01</v>
      </c>
      <c r="Q91" s="470">
        <f t="shared" si="14"/>
        <v>247673.61245439993</v>
      </c>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2:56" ht="15">
      <c r="B92" s="105" t="str">
        <f t="shared" si="13"/>
        <v>tarwi</v>
      </c>
      <c r="C92" s="470">
        <f t="shared" si="9"/>
        <v>1241.7395468005127</v>
      </c>
      <c r="D92" s="470">
        <f t="shared" si="10"/>
        <v>11904.25</v>
      </c>
      <c r="E92" s="470">
        <v>0</v>
      </c>
      <c r="F92" s="470">
        <f>'3C1 FE'!$D$34</f>
        <v>0.85</v>
      </c>
      <c r="G92" s="470">
        <f>1/'3C4 FE'!$C$56</f>
        <v>1</v>
      </c>
      <c r="H92" s="470">
        <f>'3C4 FE'!D44</f>
        <v>0.36</v>
      </c>
      <c r="I92" s="470">
        <f>'3C4 FE'!E44</f>
        <v>0.68</v>
      </c>
      <c r="J92" s="470">
        <f t="shared" si="1"/>
        <v>1.1270262368481847</v>
      </c>
      <c r="K92" s="470">
        <f t="shared" si="11"/>
        <v>0.907618863997768</v>
      </c>
      <c r="L92" s="470">
        <f>'3C4 FE'!F44</f>
        <v>0.01</v>
      </c>
      <c r="M92" s="470">
        <v>0</v>
      </c>
      <c r="N92" s="470">
        <f>'3C4 FE'!G44</f>
        <v>0.19</v>
      </c>
      <c r="O92" s="470">
        <f t="shared" si="12"/>
        <v>0.3624475841595759</v>
      </c>
      <c r="P92" s="470">
        <f>'3C4 FE'!H44</f>
        <v>0.01</v>
      </c>
      <c r="Q92" s="470">
        <f t="shared" si="14"/>
        <v>187740.94295200004</v>
      </c>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2:56" ht="15">
      <c r="B93" s="105" t="str">
        <f t="shared" si="13"/>
        <v>Haba grano verde</v>
      </c>
      <c r="C93" s="470">
        <f t="shared" si="9"/>
        <v>4800.557051720034</v>
      </c>
      <c r="D93" s="470">
        <f t="shared" si="10"/>
        <v>13025.9</v>
      </c>
      <c r="E93" s="470">
        <v>0</v>
      </c>
      <c r="F93" s="470">
        <f>'3C1 FE'!$D$34</f>
        <v>0.85</v>
      </c>
      <c r="G93" s="470">
        <f>1/'3C4 FE'!$C$56</f>
        <v>1</v>
      </c>
      <c r="H93" s="470">
        <f>'3C4 FE'!D45</f>
        <v>0.36</v>
      </c>
      <c r="I93" s="470">
        <f>'3C4 FE'!E45</f>
        <v>0.68</v>
      </c>
      <c r="J93" s="470">
        <f t="shared" si="1"/>
        <v>2.4082005386192122</v>
      </c>
      <c r="K93" s="470">
        <f t="shared" si="11"/>
        <v>0.5016502278118654</v>
      </c>
      <c r="L93" s="470">
        <f>'3C4 FE'!F45</f>
        <v>0.01</v>
      </c>
      <c r="M93" s="470">
        <v>0</v>
      </c>
      <c r="N93" s="470">
        <f>'3C4 FE'!G45</f>
        <v>0.19</v>
      </c>
      <c r="O93" s="470">
        <f t="shared" si="12"/>
        <v>0.28531354328425446</v>
      </c>
      <c r="P93" s="470">
        <f>'3C4 FE'!H45</f>
        <v>0.01</v>
      </c>
      <c r="Q93" s="470">
        <f t="shared" si="14"/>
        <v>492100.8494023999</v>
      </c>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2:56" ht="15">
      <c r="B94" s="105" t="str">
        <f t="shared" si="13"/>
        <v>Soya</v>
      </c>
      <c r="C94" s="470">
        <f t="shared" si="9"/>
        <v>1697.8537624889339</v>
      </c>
      <c r="D94" s="470">
        <f t="shared" si="10"/>
        <v>790.7</v>
      </c>
      <c r="E94" s="470">
        <v>0</v>
      </c>
      <c r="F94" s="470">
        <f>'3C1 FE'!$D$34</f>
        <v>0.85</v>
      </c>
      <c r="G94" s="470">
        <f>1/'3C4 FE'!$C$56</f>
        <v>1</v>
      </c>
      <c r="H94" s="470">
        <f>'3C4 FE'!D46</f>
        <v>0.93</v>
      </c>
      <c r="I94" s="470">
        <f>'3C4 FE'!E46</f>
        <v>1.35</v>
      </c>
      <c r="J94" s="470">
        <f t="shared" si="1"/>
        <v>2.9290039991147085</v>
      </c>
      <c r="K94" s="470">
        <f t="shared" si="11"/>
        <v>1.725121482088655</v>
      </c>
      <c r="L94" s="470">
        <f>'3C4 FE'!F46</f>
        <v>0.008</v>
      </c>
      <c r="M94" s="470">
        <v>0</v>
      </c>
      <c r="N94" s="470">
        <f>'3C4 FE'!G46</f>
        <v>0.19</v>
      </c>
      <c r="O94" s="470">
        <f t="shared" si="12"/>
        <v>0.5177730815968444</v>
      </c>
      <c r="P94" s="470">
        <f>'3C4 FE'!H46</f>
        <v>0.008</v>
      </c>
      <c r="Q94" s="470">
        <f t="shared" si="14"/>
        <v>24088.561473592003</v>
      </c>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2:56" ht="15">
      <c r="B95" s="106" t="s">
        <v>237</v>
      </c>
      <c r="C95" s="981"/>
      <c r="D95" s="981"/>
      <c r="E95" s="981"/>
      <c r="F95" s="981"/>
      <c r="G95" s="981"/>
      <c r="H95" s="981"/>
      <c r="I95" s="981"/>
      <c r="J95" s="981"/>
      <c r="K95" s="981"/>
      <c r="L95" s="981"/>
      <c r="M95" s="981"/>
      <c r="N95" s="981"/>
      <c r="O95" s="981"/>
      <c r="P95" s="981"/>
      <c r="Q95" s="471">
        <f>SUM(Q96:Q98)</f>
        <v>23252519.60992107</v>
      </c>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2:56" ht="15">
      <c r="B96" s="105" t="str">
        <f>B149</f>
        <v>Papa</v>
      </c>
      <c r="C96" s="470">
        <f>G149</f>
        <v>3580.053449992051</v>
      </c>
      <c r="D96" s="470">
        <f>C149</f>
        <v>331176.85</v>
      </c>
      <c r="E96" s="470">
        <v>0</v>
      </c>
      <c r="F96" s="470">
        <f>'3C1 FE'!$D$34</f>
        <v>0.85</v>
      </c>
      <c r="G96" s="470">
        <f>1/'3C4 FE'!$C$56</f>
        <v>1</v>
      </c>
      <c r="H96" s="470">
        <f>'3C4 FE'!D47</f>
        <v>0.1</v>
      </c>
      <c r="I96" s="470">
        <f>'3C4 FE'!E47</f>
        <v>1.06</v>
      </c>
      <c r="J96" s="470">
        <f t="shared" si="1"/>
        <v>1.4180053449992052</v>
      </c>
      <c r="K96" s="470">
        <f>J96*1000/C96</f>
        <v>0.396084964877369</v>
      </c>
      <c r="L96" s="470">
        <f>'3C4 FE'!F47</f>
        <v>0.019</v>
      </c>
      <c r="M96" s="470">
        <v>0</v>
      </c>
      <c r="N96" s="470">
        <f>'3C4 FE'!G47</f>
        <v>0.2</v>
      </c>
      <c r="O96" s="470">
        <f>N96*(J96*1000+C96)/C96</f>
        <v>0.2792169929754738</v>
      </c>
      <c r="P96" s="470">
        <f>'3C4 FE'!H47</f>
        <v>0.014</v>
      </c>
      <c r="Q96" s="470">
        <f>C96*G96*((D96-E96*F96)*K96*L96*(1-M96)+D96*O96*P96)</f>
        <v>13557276.155311998</v>
      </c>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2:56" ht="15">
      <c r="B97" s="105" t="str">
        <f>B150</f>
        <v>Yuca</v>
      </c>
      <c r="C97" s="470">
        <f>G150</f>
        <v>2712.452641289397</v>
      </c>
      <c r="D97" s="470">
        <f>C150</f>
        <v>103567.21999999999</v>
      </c>
      <c r="E97" s="470">
        <v>0</v>
      </c>
      <c r="F97" s="470">
        <f>'3C1 FE'!$D$34</f>
        <v>0.85</v>
      </c>
      <c r="G97" s="470">
        <f>1/'3C4 FE'!$C$56</f>
        <v>1</v>
      </c>
      <c r="H97" s="470">
        <f>'3C4 FE'!D48</f>
        <v>0.1</v>
      </c>
      <c r="I97" s="470">
        <f>'3C4 FE'!E48</f>
        <v>1.06</v>
      </c>
      <c r="J97" s="470">
        <f t="shared" si="1"/>
        <v>1.3312452641289398</v>
      </c>
      <c r="K97" s="470">
        <f>J97*1000/C97</f>
        <v>0.49079023311393793</v>
      </c>
      <c r="L97" s="470">
        <f>'3C4 FE'!F48</f>
        <v>0.019</v>
      </c>
      <c r="M97" s="470">
        <v>0</v>
      </c>
      <c r="N97" s="470">
        <f>'3C4 FE'!G48</f>
        <v>0.2</v>
      </c>
      <c r="O97" s="470">
        <f>N97*(J97*1000+C97)/C97</f>
        <v>0.2981580466227876</v>
      </c>
      <c r="P97" s="470">
        <f>'3C4 FE'!H48</f>
        <v>0.014</v>
      </c>
      <c r="Q97" s="470">
        <f>C97*G97*((D97-E97*F97)*K97*L97*(1-M97)+D97*O97*P97)</f>
        <v>3792218.7933712</v>
      </c>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2:56" ht="15">
      <c r="B98" s="105" t="str">
        <f>B151</f>
        <v>Camote</v>
      </c>
      <c r="C98" s="470">
        <f>G151</f>
        <v>66217.31203999999</v>
      </c>
      <c r="D98" s="470">
        <f>C151</f>
        <v>16728.6</v>
      </c>
      <c r="E98" s="470">
        <v>0</v>
      </c>
      <c r="F98" s="470">
        <f>'3C1 FE'!$D$34</f>
        <v>0.85</v>
      </c>
      <c r="G98" s="470">
        <f>1/'3C4 FE'!$C$56</f>
        <v>1</v>
      </c>
      <c r="H98" s="470">
        <f>'3C4 FE'!D49</f>
        <v>0.1</v>
      </c>
      <c r="I98" s="470">
        <f>'3C4 FE'!E49</f>
        <v>1.06</v>
      </c>
      <c r="J98" s="470">
        <f t="shared" si="1"/>
        <v>7.681731204</v>
      </c>
      <c r="K98" s="470">
        <f>J98*1000/C98</f>
        <v>0.11600789834778683</v>
      </c>
      <c r="L98" s="470">
        <f>'3C4 FE'!F49</f>
        <v>0.019</v>
      </c>
      <c r="M98" s="470">
        <v>0</v>
      </c>
      <c r="N98" s="470">
        <f>'3C4 FE'!G49</f>
        <v>0.2</v>
      </c>
      <c r="O98" s="470">
        <f>N98*(J98*1000+C98)/C98</f>
        <v>0.22320157966955737</v>
      </c>
      <c r="P98" s="470">
        <f>'3C4 FE'!H49</f>
        <v>0.014</v>
      </c>
      <c r="Q98" s="470">
        <f>C98*G98*((D98-E98*F98)*K98*L98*(1-M98)+D98*O98*P98)</f>
        <v>5903024.661237872</v>
      </c>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row>
    <row r="99" spans="2:56" ht="15">
      <c r="B99" s="106" t="s">
        <v>238</v>
      </c>
      <c r="C99" s="981"/>
      <c r="D99" s="981"/>
      <c r="E99" s="981"/>
      <c r="F99" s="981"/>
      <c r="G99" s="981"/>
      <c r="H99" s="981"/>
      <c r="I99" s="981"/>
      <c r="J99" s="981"/>
      <c r="K99" s="981"/>
      <c r="L99" s="981"/>
      <c r="M99" s="981"/>
      <c r="N99" s="981"/>
      <c r="O99" s="981"/>
      <c r="P99" s="981"/>
      <c r="Q99" s="471">
        <f>SUM(Q100)</f>
        <v>90501079.0207356</v>
      </c>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row>
    <row r="100" spans="2:56" ht="15">
      <c r="B100" s="105" t="str">
        <f>B153</f>
        <v>Alfalfa</v>
      </c>
      <c r="C100" s="470">
        <f>G153</f>
        <v>34080.91526473792</v>
      </c>
      <c r="D100" s="470">
        <f>C153</f>
        <v>180841.51299999998</v>
      </c>
      <c r="E100" s="470">
        <v>0</v>
      </c>
      <c r="F100" s="470">
        <f>'3C1 FE'!$D$34</f>
        <v>0.85</v>
      </c>
      <c r="G100" s="470">
        <f>1/'3C4 FE'!C64</f>
        <v>0.16666666666666666</v>
      </c>
      <c r="H100" s="470">
        <f>'3C4 FE'!D50</f>
        <v>0.29</v>
      </c>
      <c r="I100" s="470">
        <f>'3C4 FE'!E50</f>
        <v>0</v>
      </c>
      <c r="J100" s="470">
        <f t="shared" si="1"/>
        <v>9.883465426773997</v>
      </c>
      <c r="K100" s="470">
        <f>J100*1000/C100</f>
        <v>0.29</v>
      </c>
      <c r="L100" s="470">
        <f>'3C4 FE'!F50</f>
        <v>0.27</v>
      </c>
      <c r="M100" s="470">
        <v>0</v>
      </c>
      <c r="N100" s="470">
        <f>'3C4 FE'!G50</f>
        <v>0.4</v>
      </c>
      <c r="O100" s="470">
        <f>N100*(J100*1000+C100)/C100</f>
        <v>0.516</v>
      </c>
      <c r="P100" s="470">
        <f>'3C4 FE'!H50</f>
        <v>0.019</v>
      </c>
      <c r="Q100" s="470">
        <f>C100*G100*((D100-E100*F100)*K100*L100*(1-M100)+D100*O100*P100)</f>
        <v>90501079.0207356</v>
      </c>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2:56" ht="15">
      <c r="B101" s="87"/>
      <c r="C101" s="982"/>
      <c r="D101" s="982"/>
      <c r="E101" s="982"/>
      <c r="F101" s="982"/>
      <c r="G101" s="982"/>
      <c r="H101" s="982"/>
      <c r="I101" s="982"/>
      <c r="J101" s="982"/>
      <c r="K101" s="982"/>
      <c r="L101" s="982"/>
      <c r="M101" s="982"/>
      <c r="N101" s="982"/>
      <c r="O101" s="982"/>
      <c r="P101" s="107" t="s">
        <v>124</v>
      </c>
      <c r="Q101" s="1095">
        <f>SUM(Q66,Q85,Q95,Q99)</f>
        <v>367152671.64722204</v>
      </c>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row>
    <row r="102" spans="2:56" ht="15">
      <c r="B102" s="87"/>
      <c r="C102" s="982"/>
      <c r="D102" s="982"/>
      <c r="E102" s="982"/>
      <c r="F102" s="982"/>
      <c r="G102" s="982"/>
      <c r="H102" s="982"/>
      <c r="I102" s="982"/>
      <c r="J102" s="982"/>
      <c r="K102" s="982"/>
      <c r="L102" s="982"/>
      <c r="M102" s="982"/>
      <c r="N102" s="982"/>
      <c r="O102" s="982"/>
      <c r="P102" s="107" t="s">
        <v>1675</v>
      </c>
      <c r="Q102" s="1095">
        <f>+Q101-Q67</f>
        <v>335851816.57711184</v>
      </c>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row>
    <row r="103" spans="2:56" ht="15.75">
      <c r="B103" s="53" t="s">
        <v>1488</v>
      </c>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row>
    <row r="104" spans="2:56" ht="15.75">
      <c r="B104" s="53" t="s">
        <v>1487</v>
      </c>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row>
    <row r="105" spans="2:56" ht="15.75">
      <c r="B105" s="53" t="s">
        <v>1489</v>
      </c>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row>
    <row r="106" spans="2:56" ht="15.75">
      <c r="B106" s="53" t="s">
        <v>1490</v>
      </c>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2:56" ht="15">
      <c r="B107" s="53" t="s">
        <v>199</v>
      </c>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row>
    <row r="108" spans="2:56" ht="15">
      <c r="B108" s="53" t="s">
        <v>261</v>
      </c>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row>
    <row r="109" spans="2:56" ht="15.75">
      <c r="B109" s="53" t="s">
        <v>1491</v>
      </c>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row>
    <row r="110" spans="2:56" ht="15">
      <c r="B110" s="53" t="s">
        <v>200</v>
      </c>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row>
    <row r="111" spans="2:56" ht="15.75">
      <c r="B111" s="53" t="s">
        <v>1492</v>
      </c>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row>
    <row r="112" spans="2:56" ht="15">
      <c r="B112" s="53" t="s">
        <v>201</v>
      </c>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row>
    <row r="113" spans="2:56" ht="15.75">
      <c r="B113" s="53" t="s">
        <v>1494</v>
      </c>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row>
    <row r="114" spans="2:56" ht="15.75">
      <c r="B114" s="53" t="s">
        <v>1493</v>
      </c>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row>
    <row r="115" spans="2:56" ht="15">
      <c r="B115" s="53" t="s">
        <v>202</v>
      </c>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row>
    <row r="117" spans="2:56" ht="15">
      <c r="B117" s="80" t="s">
        <v>262</v>
      </c>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row>
    <row r="118" spans="2:56" ht="25.5">
      <c r="B118" s="308" t="s">
        <v>267</v>
      </c>
      <c r="C118" s="434" t="s">
        <v>277</v>
      </c>
      <c r="D118" s="434" t="s">
        <v>431</v>
      </c>
      <c r="E118" s="434" t="s">
        <v>434</v>
      </c>
      <c r="F118" s="434" t="s">
        <v>276</v>
      </c>
      <c r="G118" s="434" t="s">
        <v>743</v>
      </c>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row>
    <row r="119" spans="2:56" ht="15">
      <c r="B119" s="106" t="s">
        <v>235</v>
      </c>
      <c r="C119" s="71">
        <f>SUM(C120:C137)</f>
        <v>2268155.4899999998</v>
      </c>
      <c r="D119" s="71">
        <f>SUM(D120:D137)</f>
        <v>22212720.852999993</v>
      </c>
      <c r="E119" s="71">
        <f>SUM(E120:E137)</f>
        <v>330558.1710404759</v>
      </c>
      <c r="F119" s="71"/>
      <c r="G119" s="71">
        <f>SUM(G120:G137)</f>
        <v>303933.3385141506</v>
      </c>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row>
    <row r="120" spans="2:56" ht="15">
      <c r="B120" s="429" t="s">
        <v>740</v>
      </c>
      <c r="C120" s="108">
        <f>'IB 3C4_3C5'!C75</f>
        <v>86472.624</v>
      </c>
      <c r="D120" s="108">
        <f>'IB 3C4_3C5'!C109</f>
        <v>10902905.879999999</v>
      </c>
      <c r="E120" s="108">
        <f>+D120/C120*'F. de Conversión'!$C$17</f>
        <v>126085.05878114673</v>
      </c>
      <c r="F120" s="438">
        <f>'3C4 FE'!C20</f>
        <v>0.9</v>
      </c>
      <c r="G120" s="108">
        <f>E120*F120</f>
        <v>113476.55290303206</v>
      </c>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row>
    <row r="121" spans="2:56" ht="15">
      <c r="B121" s="429" t="s">
        <v>205</v>
      </c>
      <c r="C121" s="108">
        <f>'IB 3C4_3C5'!E75</f>
        <v>414401.30000000005</v>
      </c>
      <c r="D121" s="108">
        <f>'IB 3C4_3C5'!E109</f>
        <v>3190969.469999999</v>
      </c>
      <c r="E121" s="108">
        <f>+D121/C121*'F. de Conversión'!$C$17</f>
        <v>7700.191746502722</v>
      </c>
      <c r="F121" s="438">
        <f>'3C4 FE'!C21</f>
        <v>0.89</v>
      </c>
      <c r="G121" s="108">
        <f aca="true" t="shared" si="15" ref="G121:G150">E121*F121</f>
        <v>6853.1706543874225</v>
      </c>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row>
    <row r="122" spans="2:56" ht="15">
      <c r="B122" s="429" t="s">
        <v>234</v>
      </c>
      <c r="C122" s="108">
        <f>'IB 3C4_3C5'!F75</f>
        <v>175407.40999999997</v>
      </c>
      <c r="D122" s="108">
        <f>'IB 3C4_3C5'!F109</f>
        <v>2252171.504</v>
      </c>
      <c r="E122" s="108">
        <f>+D122/C122*'F. de Conversión'!$C$17</f>
        <v>12839.659989278678</v>
      </c>
      <c r="F122" s="438">
        <f>'3C4 FE'!C22</f>
        <v>0.94</v>
      </c>
      <c r="G122" s="108">
        <f t="shared" si="15"/>
        <v>12069.280389921956</v>
      </c>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row>
    <row r="123" spans="2:56" ht="15">
      <c r="B123" s="429" t="s">
        <v>206</v>
      </c>
      <c r="C123" s="108">
        <f>'IB 3C4_3C5'!G75</f>
        <v>254544.83899999998</v>
      </c>
      <c r="D123" s="108">
        <f>'IB 3C4_3C5'!G109</f>
        <v>1270756.865</v>
      </c>
      <c r="E123" s="108">
        <f>+D123/C123*'F. de Conversión'!$C$17</f>
        <v>4992.271184881498</v>
      </c>
      <c r="F123" s="438">
        <f>'3C4 FE'!C23</f>
        <v>0.87</v>
      </c>
      <c r="G123" s="108">
        <f t="shared" si="15"/>
        <v>4343.275930846903</v>
      </c>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row>
    <row r="124" spans="2:56" ht="15">
      <c r="B124" s="429" t="s">
        <v>208</v>
      </c>
      <c r="C124" s="108">
        <f>'IB 3C4_3C5'!I75</f>
        <v>15732</v>
      </c>
      <c r="D124" s="108">
        <f>'IB 3C4_3C5'!I109</f>
        <v>636218.3010000002</v>
      </c>
      <c r="E124" s="108">
        <f>+D124/C124*'F. de Conversión'!$C$17</f>
        <v>40441.031083142654</v>
      </c>
      <c r="F124" s="438">
        <f>'3C4 FE'!C24</f>
        <v>0.94</v>
      </c>
      <c r="G124" s="108">
        <f t="shared" si="15"/>
        <v>38014.569218154094</v>
      </c>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row>
    <row r="125" spans="2:56" ht="15">
      <c r="B125" s="429" t="s">
        <v>210</v>
      </c>
      <c r="C125" s="108">
        <f>'IB 3C4_3C5'!K75</f>
        <v>64858.5</v>
      </c>
      <c r="D125" s="108">
        <f>'IB 3C4_3C5'!K109</f>
        <v>89413.59399999998</v>
      </c>
      <c r="E125" s="108">
        <f>+D125/C125*'F. de Conversión'!$C$17</f>
        <v>1378.5948487862036</v>
      </c>
      <c r="F125" s="438">
        <f>'3C4 FE'!C25</f>
        <v>0.88</v>
      </c>
      <c r="G125" s="108">
        <f t="shared" si="15"/>
        <v>1213.1634669318591</v>
      </c>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row>
    <row r="126" spans="2:56" ht="15">
      <c r="B126" s="429" t="s">
        <v>211</v>
      </c>
      <c r="C126" s="108">
        <f>'IB 3C4_3C5'!L75</f>
        <v>7733.599999999999</v>
      </c>
      <c r="D126" s="108">
        <f>'IB 3C4_3C5'!L109</f>
        <v>131707.21999999997</v>
      </c>
      <c r="E126" s="108">
        <f>+D126/C126*'F. de Conversión'!$C$17</f>
        <v>17030.518775214645</v>
      </c>
      <c r="F126" s="438">
        <f>'3C4 FE'!C26</f>
        <v>0.94</v>
      </c>
      <c r="G126" s="108">
        <f t="shared" si="15"/>
        <v>16008.687648701765</v>
      </c>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row>
    <row r="127" spans="2:56" ht="15">
      <c r="B127" s="429" t="s">
        <v>212</v>
      </c>
      <c r="C127" s="108">
        <f>'IB 3C4_3C5'!M75</f>
        <v>18874.21</v>
      </c>
      <c r="D127" s="108">
        <f>'IB 3C4_3C5'!M109</f>
        <v>56409.701</v>
      </c>
      <c r="E127" s="108">
        <f>+D127/C127*'F. de Conversión'!$C$17</f>
        <v>2988.718521199033</v>
      </c>
      <c r="F127" s="438">
        <f>'3C4 FE'!C27</f>
        <v>0.94</v>
      </c>
      <c r="G127" s="108">
        <f t="shared" si="15"/>
        <v>2809.395409927091</v>
      </c>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row>
    <row r="128" spans="2:56" ht="15">
      <c r="B128" s="429" t="s">
        <v>213</v>
      </c>
      <c r="C128" s="108">
        <f>'IB 3C4_3C5'!N75</f>
        <v>15847.239</v>
      </c>
      <c r="D128" s="108">
        <f>'IB 3C4_3C5'!N109</f>
        <v>565203.4440000001</v>
      </c>
      <c r="E128" s="108">
        <f>+D128/C128*'F. de Conversión'!$C$17</f>
        <v>35665.73609447048</v>
      </c>
      <c r="F128" s="438">
        <f>'3C4 FE'!C28</f>
        <v>0.94</v>
      </c>
      <c r="G128" s="108">
        <f t="shared" si="15"/>
        <v>33525.791928802246</v>
      </c>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row>
    <row r="129" spans="2:56" ht="15">
      <c r="B129" s="429" t="s">
        <v>214</v>
      </c>
      <c r="C129" s="108">
        <f>'IB 3C4_3C5'!O75</f>
        <v>43883.05</v>
      </c>
      <c r="D129" s="108">
        <f>'IB 3C4_3C5'!O109</f>
        <v>417066.42300000007</v>
      </c>
      <c r="E129" s="108">
        <f>+D129/C129*'F. de Conversión'!$C$17</f>
        <v>9504.043656947273</v>
      </c>
      <c r="F129" s="438">
        <f>'3C4 FE'!C29</f>
        <v>0.87</v>
      </c>
      <c r="G129" s="108">
        <f t="shared" si="15"/>
        <v>8268.517981544128</v>
      </c>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row>
    <row r="130" spans="2:56" ht="15">
      <c r="B130" s="429" t="s">
        <v>215</v>
      </c>
      <c r="C130" s="108">
        <f>'IB 3C4_3C5'!P75</f>
        <v>31700.25</v>
      </c>
      <c r="D130" s="108">
        <f>'IB 3C4_3C5'!P109</f>
        <v>356789.56</v>
      </c>
      <c r="E130" s="108">
        <f>+D130/C130*'F. de Conversión'!$C$17</f>
        <v>11255.10240455517</v>
      </c>
      <c r="F130" s="438">
        <f>'3C4 FE'!C30</f>
        <v>0.94</v>
      </c>
      <c r="G130" s="108">
        <f t="shared" si="15"/>
        <v>10579.796260281859</v>
      </c>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row>
    <row r="131" spans="2:56" ht="15">
      <c r="B131" s="429" t="s">
        <v>216</v>
      </c>
      <c r="C131" s="108">
        <f>'IB 3C4_3C5'!Q75</f>
        <v>197745.75</v>
      </c>
      <c r="D131" s="108">
        <f>'IB 3C4_3C5'!Q109</f>
        <v>305198.3030000001</v>
      </c>
      <c r="E131" s="108">
        <f>+D131/C131*'F. de Conversión'!$C$17</f>
        <v>1543.3874204628928</v>
      </c>
      <c r="F131" s="438">
        <f>'3C4 FE'!C31</f>
        <v>0.87</v>
      </c>
      <c r="G131" s="108">
        <f t="shared" si="15"/>
        <v>1342.7470558027167</v>
      </c>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row>
    <row r="132" spans="2:56" ht="15">
      <c r="B132" s="429" t="s">
        <v>217</v>
      </c>
      <c r="C132" s="108">
        <f>'IB 3C4_3C5'!R75</f>
        <v>4822.9800000000005</v>
      </c>
      <c r="D132" s="108">
        <f>'IB 3C4_3C5'!R109</f>
        <v>201838.27300000004</v>
      </c>
      <c r="E132" s="108">
        <f>+D132/C132*'F. de Conversión'!$C$17</f>
        <v>41849.28674802716</v>
      </c>
      <c r="F132" s="438">
        <f>'3C4 FE'!C32</f>
        <v>0.94</v>
      </c>
      <c r="G132" s="108">
        <f t="shared" si="15"/>
        <v>39338.329543145526</v>
      </c>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row>
    <row r="133" spans="2:56" ht="15">
      <c r="B133" s="429" t="s">
        <v>218</v>
      </c>
      <c r="C133" s="108">
        <f>'IB 3C4_3C5'!S75</f>
        <v>120634.301</v>
      </c>
      <c r="D133" s="108">
        <f>'IB 3C4_3C5'!S109</f>
        <v>188468.76400000002</v>
      </c>
      <c r="E133" s="108">
        <f>+D133/C133*'F. de Conversión'!$C$17</f>
        <v>1562.31488422186</v>
      </c>
      <c r="F133" s="438">
        <f>'3C4 FE'!C33</f>
        <v>0.89</v>
      </c>
      <c r="G133" s="108">
        <f t="shared" si="15"/>
        <v>1390.4602469574554</v>
      </c>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row>
    <row r="134" spans="2:56" ht="15">
      <c r="B134" s="429" t="s">
        <v>219</v>
      </c>
      <c r="C134" s="108">
        <f>'IB 3C4_3C5'!T75</f>
        <v>132563.75</v>
      </c>
      <c r="D134" s="108">
        <f>'IB 3C4_3C5'!T109</f>
        <v>210298.42199999996</v>
      </c>
      <c r="E134" s="108">
        <f>+D134/C134*'F. de Conversión'!$C$17</f>
        <v>1586.3946365427953</v>
      </c>
      <c r="F134" s="438">
        <f>'3C4 FE'!C34</f>
        <v>0.89</v>
      </c>
      <c r="G134" s="108">
        <f t="shared" si="15"/>
        <v>1411.8912265230879</v>
      </c>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row>
    <row r="135" spans="2:56" ht="15">
      <c r="B135" s="429" t="s">
        <v>220</v>
      </c>
      <c r="C135" s="108">
        <f>'IB 3C4_3C5'!U75</f>
        <v>74739.39</v>
      </c>
      <c r="D135" s="108">
        <f>'IB 3C4_3C5'!U109</f>
        <v>932210.289</v>
      </c>
      <c r="E135" s="108">
        <f>+D135/C135*'F. de Conversión'!$C$17</f>
        <v>12472.811043815047</v>
      </c>
      <c r="F135" s="438">
        <f>'3C4 FE'!C35</f>
        <v>0.94</v>
      </c>
      <c r="G135" s="108">
        <f t="shared" si="15"/>
        <v>11724.442381186143</v>
      </c>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row>
    <row r="136" spans="2:56" ht="15">
      <c r="B136" s="429" t="s">
        <v>221</v>
      </c>
      <c r="C136" s="108">
        <f>'IB 3C4_3C5'!V75</f>
        <v>438177.09699999995</v>
      </c>
      <c r="D136" s="108">
        <f>'IB 3C4_3C5'!V109</f>
        <v>363319.58800000005</v>
      </c>
      <c r="E136" s="108">
        <f>+D136/C136*'F. de Conversión'!$C$17</f>
        <v>829.1615205073123</v>
      </c>
      <c r="F136" s="438">
        <f>'3C4 FE'!C36</f>
        <v>0.94</v>
      </c>
      <c r="G136" s="108">
        <f t="shared" si="15"/>
        <v>779.4118292768735</v>
      </c>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row>
    <row r="137" spans="2:56" ht="15">
      <c r="B137" s="429" t="s">
        <v>222</v>
      </c>
      <c r="C137" s="108">
        <f>'IB 3C4_3C5'!W75</f>
        <v>170017.2</v>
      </c>
      <c r="D137" s="108">
        <f>'IB 3C4_3C5'!W109</f>
        <v>141775.252</v>
      </c>
      <c r="E137" s="108">
        <f>+D137/C137*'F. de Conversión'!$C$17</f>
        <v>833.887700773804</v>
      </c>
      <c r="F137" s="438">
        <f>'3C4 FE'!C37</f>
        <v>0.94</v>
      </c>
      <c r="G137" s="108">
        <f t="shared" si="15"/>
        <v>783.8544387273757</v>
      </c>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row>
    <row r="138" spans="2:56" ht="18" customHeight="1">
      <c r="B138" s="395" t="s">
        <v>236</v>
      </c>
      <c r="C138" s="433">
        <f>SUM(C139:C147)</f>
        <v>253242.07</v>
      </c>
      <c r="D138" s="433">
        <f>SUM(D139:D147)</f>
        <v>465235.55199999997</v>
      </c>
      <c r="E138" s="433">
        <f>SUM(E139:E147)</f>
        <v>18999.03572552773</v>
      </c>
      <c r="F138" s="439"/>
      <c r="G138" s="433">
        <f>SUM(G139:G147)</f>
        <v>17117.789886628678</v>
      </c>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row>
    <row r="139" spans="2:56" ht="15">
      <c r="B139" s="429" t="s">
        <v>225</v>
      </c>
      <c r="C139" s="108">
        <f>'IB 3C4_3C5'!Y75</f>
        <v>33903.57</v>
      </c>
      <c r="D139" s="108">
        <f>'IB 3C4_3C5'!Y109</f>
        <v>129132.08600000001</v>
      </c>
      <c r="E139" s="108">
        <f>+D139/C139*'F. de Conversión'!$C$17</f>
        <v>3808.8049724557036</v>
      </c>
      <c r="F139" s="438">
        <f>'3C4 FE'!C38</f>
        <v>0.9</v>
      </c>
      <c r="G139" s="108">
        <f t="shared" si="15"/>
        <v>3427.924475210133</v>
      </c>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row>
    <row r="140" spans="2:56" ht="15">
      <c r="B140" s="429" t="s">
        <v>226</v>
      </c>
      <c r="C140" s="108">
        <f>'IB 3C4_3C5'!Z75</f>
        <v>44359.75</v>
      </c>
      <c r="D140" s="108">
        <f>'IB 3C4_3C5'!Z109</f>
        <v>50128.662</v>
      </c>
      <c r="E140" s="108">
        <f>+D140/C140*'F. de Conversión'!$C$17</f>
        <v>1130.0483433743427</v>
      </c>
      <c r="F140" s="438">
        <f>'3C4 FE'!C39</f>
        <v>0.9</v>
      </c>
      <c r="G140" s="108">
        <f t="shared" si="15"/>
        <v>1017.0435090369085</v>
      </c>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row>
    <row r="141" spans="2:56" ht="15">
      <c r="B141" s="429" t="s">
        <v>227</v>
      </c>
      <c r="C141" s="108">
        <f>'IB 3C4_3C5'!AA75</f>
        <v>71994.25</v>
      </c>
      <c r="D141" s="108">
        <f>'IB 3C4_3C5'!AA109</f>
        <v>85745.56199999998</v>
      </c>
      <c r="E141" s="108">
        <f>+D141/C141*'F. de Conversión'!$C$17</f>
        <v>1191.0056983717445</v>
      </c>
      <c r="F141" s="438">
        <f>'3C4 FE'!C40</f>
        <v>0.9</v>
      </c>
      <c r="G141" s="108">
        <f t="shared" si="15"/>
        <v>1071.9051285345702</v>
      </c>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row>
    <row r="142" spans="2:56" ht="15">
      <c r="B142" s="429" t="s">
        <v>228</v>
      </c>
      <c r="C142" s="108">
        <f>'IB 3C4_3C5'!AB75</f>
        <v>55841.25</v>
      </c>
      <c r="D142" s="108">
        <f>'IB 3C4_3C5'!AB109</f>
        <v>83230.232</v>
      </c>
      <c r="E142" s="108">
        <f>+D142/C142*'F. de Conversión'!$C$17</f>
        <v>1490.4793857587358</v>
      </c>
      <c r="F142" s="438">
        <f>'3C4 FE'!C41</f>
        <v>0.9</v>
      </c>
      <c r="G142" s="108">
        <f t="shared" si="15"/>
        <v>1341.4314471828623</v>
      </c>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row>
    <row r="143" spans="2:56" ht="15">
      <c r="B143" s="429" t="s">
        <v>229</v>
      </c>
      <c r="C143" s="108">
        <f>'IB 3C4_3C5'!AC75</f>
        <v>5629.55</v>
      </c>
      <c r="D143" s="108">
        <f>'IB 3C4_3C5'!AC109</f>
        <v>8080.719999999999</v>
      </c>
      <c r="E143" s="108">
        <f>+D143/C143*'F. de Conversión'!$C$17</f>
        <v>1435.4113561474717</v>
      </c>
      <c r="F143" s="438">
        <f>'3C4 FE'!C42</f>
        <v>0.9</v>
      </c>
      <c r="G143" s="108">
        <f t="shared" si="15"/>
        <v>1291.8702205327245</v>
      </c>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row>
    <row r="144" spans="2:7" ht="15">
      <c r="B144" s="429" t="s">
        <v>230</v>
      </c>
      <c r="C144" s="108">
        <f>'IB 3C4_3C5'!AD75</f>
        <v>15792.849999999999</v>
      </c>
      <c r="D144" s="108">
        <f>'IB 3C4_3C5'!AD109</f>
        <v>21539.073999999997</v>
      </c>
      <c r="E144" s="108">
        <f>+D144/C144*'F. de Conversión'!$C$17</f>
        <v>1363.8497168022236</v>
      </c>
      <c r="F144" s="438">
        <f>'3C4 FE'!C43</f>
        <v>0.9</v>
      </c>
      <c r="G144" s="108">
        <f t="shared" si="15"/>
        <v>1227.4647451220012</v>
      </c>
    </row>
    <row r="145" spans="2:7" ht="15">
      <c r="B145" s="429" t="s">
        <v>231</v>
      </c>
      <c r="C145" s="108">
        <f>'IB 3C4_3C5'!AE75</f>
        <v>11904.25</v>
      </c>
      <c r="D145" s="108">
        <f>'IB 3C4_3C5'!AE109</f>
        <v>16424.420000000002</v>
      </c>
      <c r="E145" s="108">
        <f>+D145/C145*'F. de Conversión'!$C$17</f>
        <v>1379.710607556125</v>
      </c>
      <c r="F145" s="438">
        <f>'3C4 FE'!C44</f>
        <v>0.9</v>
      </c>
      <c r="G145" s="108">
        <f t="shared" si="15"/>
        <v>1241.7395468005127</v>
      </c>
    </row>
    <row r="146" spans="2:7" ht="15">
      <c r="B146" s="429" t="s">
        <v>232</v>
      </c>
      <c r="C146" s="108">
        <f>'IB 3C4_3C5'!AF75</f>
        <v>13025.9</v>
      </c>
      <c r="D146" s="108">
        <f>'IB 3C4_3C5'!AF109</f>
        <v>69479.529</v>
      </c>
      <c r="E146" s="108">
        <f>+D146/C146*'F. de Conversión'!$C$17</f>
        <v>5333.952279688927</v>
      </c>
      <c r="F146" s="438">
        <f>'3C4 FE'!C45</f>
        <v>0.9</v>
      </c>
      <c r="G146" s="108">
        <f t="shared" si="15"/>
        <v>4800.557051720034</v>
      </c>
    </row>
    <row r="147" spans="2:7" ht="15">
      <c r="B147" s="429" t="s">
        <v>233</v>
      </c>
      <c r="C147" s="108">
        <f>'IB 3C4_3C5'!AG75</f>
        <v>790.7</v>
      </c>
      <c r="D147" s="108">
        <f>'IB 3C4_3C5'!AG109</f>
        <v>1475.267</v>
      </c>
      <c r="E147" s="108">
        <f>+D147/C147*'F. de Conversión'!$C$17</f>
        <v>1865.7733653724547</v>
      </c>
      <c r="F147" s="438">
        <f>'3C4 FE'!C46</f>
        <v>0.91</v>
      </c>
      <c r="G147" s="108">
        <f t="shared" si="15"/>
        <v>1697.8537624889339</v>
      </c>
    </row>
    <row r="148" spans="2:7" ht="15">
      <c r="B148" s="106" t="s">
        <v>237</v>
      </c>
      <c r="C148" s="71">
        <f>SUM(C149:C151)</f>
        <v>451472.6699999999</v>
      </c>
      <c r="D148" s="71">
        <f>SUM(D149:D151)</f>
        <v>6967133.254</v>
      </c>
      <c r="E148" s="71">
        <f>SUM(E149:E151)</f>
        <v>46594.70755000169</v>
      </c>
      <c r="F148" s="440"/>
      <c r="G148" s="71">
        <f>SUM(G149:G151)</f>
        <v>72509.81813128144</v>
      </c>
    </row>
    <row r="149" spans="2:7" ht="15">
      <c r="B149" s="429" t="s">
        <v>204</v>
      </c>
      <c r="C149" s="431">
        <f>'IB 3C4_3C5'!D75</f>
        <v>331176.85</v>
      </c>
      <c r="D149" s="431">
        <f>'IB 3C4_3C5'!D109</f>
        <v>5389231.02</v>
      </c>
      <c r="E149" s="431">
        <f>+D149/C149*'F. de Conversión'!$C$17</f>
        <v>16272.970227236594</v>
      </c>
      <c r="F149" s="436">
        <f>'3C4 FE'!C47</f>
        <v>0.22</v>
      </c>
      <c r="G149" s="431">
        <f t="shared" si="15"/>
        <v>3580.053449992051</v>
      </c>
    </row>
    <row r="150" spans="2:7" ht="15">
      <c r="B150" s="429" t="s">
        <v>207</v>
      </c>
      <c r="C150" s="431">
        <f>'IB 3C4_3C5'!H75</f>
        <v>103567.21999999999</v>
      </c>
      <c r="D150" s="431">
        <f>'IB 3C4_3C5'!H109</f>
        <v>1276914.4520000003</v>
      </c>
      <c r="E150" s="431">
        <f>+D150/C150*'F. de Conversión'!$C$17</f>
        <v>12329.330187679077</v>
      </c>
      <c r="F150" s="436">
        <f>'3C4 FE'!C48</f>
        <v>0.22</v>
      </c>
      <c r="G150" s="431">
        <f t="shared" si="15"/>
        <v>2712.452641289397</v>
      </c>
    </row>
    <row r="151" spans="2:7" ht="15">
      <c r="B151" s="429" t="s">
        <v>209</v>
      </c>
      <c r="C151" s="432">
        <f>'IB 3C4_3C5'!J75</f>
        <v>16728.6</v>
      </c>
      <c r="D151" s="432">
        <f>'IB 3C4_3C5'!J109</f>
        <v>300987.78199999995</v>
      </c>
      <c r="E151" s="431">
        <f>+D151/C151*'F. de Conversión'!$C$17</f>
        <v>17992.407135086018</v>
      </c>
      <c r="F151" s="437">
        <f>'3C4 FE'!C49</f>
        <v>0.22</v>
      </c>
      <c r="G151" s="432">
        <f>D151*F151</f>
        <v>66217.31203999999</v>
      </c>
    </row>
    <row r="152" spans="2:7" ht="15">
      <c r="B152" s="106" t="s">
        <v>238</v>
      </c>
      <c r="C152" s="71">
        <f>SUM(C153)</f>
        <v>180841.51299999998</v>
      </c>
      <c r="D152" s="71">
        <f>SUM(D153)</f>
        <v>6848049.201</v>
      </c>
      <c r="E152" s="71">
        <f>SUM(E153)</f>
        <v>37867.68362748658</v>
      </c>
      <c r="F152" s="440"/>
      <c r="G152" s="71">
        <f>SUM(G153)</f>
        <v>34080.91526473792</v>
      </c>
    </row>
    <row r="153" spans="2:7" ht="15">
      <c r="B153" s="429" t="s">
        <v>224</v>
      </c>
      <c r="C153" s="108">
        <f>'IB 3C4_3C5'!X75</f>
        <v>180841.51299999998</v>
      </c>
      <c r="D153" s="108">
        <f>'IB 3C4_3C5'!X109</f>
        <v>6848049.201</v>
      </c>
      <c r="E153" s="108">
        <f>+D153/C153*'F. de Conversión'!$C$17</f>
        <v>37867.68362748658</v>
      </c>
      <c r="F153" s="438">
        <f>'3C4 FE'!C50</f>
        <v>0.9</v>
      </c>
      <c r="G153" s="108">
        <f>E153*F153</f>
        <v>34080.91526473792</v>
      </c>
    </row>
    <row r="154" spans="2:7" ht="15">
      <c r="B154" s="109"/>
      <c r="C154" s="110"/>
      <c r="D154" s="110"/>
      <c r="F154" s="107" t="s">
        <v>124</v>
      </c>
      <c r="G154" s="71">
        <f>SUM(G119,G138,G148,G152)</f>
        <v>427641.86179679865</v>
      </c>
    </row>
    <row r="155" ht="15.75">
      <c r="B155" s="53" t="s">
        <v>1497</v>
      </c>
    </row>
    <row r="156" ht="15.75">
      <c r="B156" s="53" t="s">
        <v>1498</v>
      </c>
    </row>
    <row r="157" ht="15.75">
      <c r="B157" s="53" t="s">
        <v>1499</v>
      </c>
    </row>
    <row r="158" ht="15">
      <c r="B158" s="109"/>
    </row>
    <row r="159" ht="15">
      <c r="B159" s="80" t="s">
        <v>282</v>
      </c>
    </row>
    <row r="160" spans="2:5" ht="27.75">
      <c r="B160" s="308" t="s">
        <v>280</v>
      </c>
      <c r="C160" s="434" t="s">
        <v>1150</v>
      </c>
      <c r="D160" s="434" t="s">
        <v>708</v>
      </c>
      <c r="E160" s="434" t="s">
        <v>270</v>
      </c>
    </row>
    <row r="161" spans="2:5" ht="26.25">
      <c r="B161" s="429" t="s">
        <v>285</v>
      </c>
      <c r="C161" s="430">
        <f>'IB 3C4_3C5'!D249</f>
        <v>0</v>
      </c>
      <c r="D161" s="430">
        <f>1/10</f>
        <v>0.1</v>
      </c>
      <c r="E161" s="430">
        <f>C161*D161*1000</f>
        <v>0</v>
      </c>
    </row>
    <row r="162" spans="2:5" ht="26.25">
      <c r="B162" s="429" t="s">
        <v>288</v>
      </c>
      <c r="C162" s="430">
        <f>'IB 3C4_3C5'!D250</f>
        <v>0</v>
      </c>
      <c r="D162" s="430">
        <f>1/15</f>
        <v>0.06666666666666667</v>
      </c>
      <c r="E162" s="430">
        <f aca="true" t="shared" si="16" ref="E162:E168">C162*D162*1000</f>
        <v>0</v>
      </c>
    </row>
    <row r="163" spans="2:5" ht="26.25">
      <c r="B163" s="429" t="s">
        <v>286</v>
      </c>
      <c r="C163" s="430">
        <f>'IB 3C4_3C5'!D251</f>
        <v>0</v>
      </c>
      <c r="D163" s="430">
        <f>1/10</f>
        <v>0.1</v>
      </c>
      <c r="E163" s="430">
        <f t="shared" si="16"/>
        <v>0</v>
      </c>
    </row>
    <row r="164" spans="2:5" ht="26.25">
      <c r="B164" s="429" t="s">
        <v>289</v>
      </c>
      <c r="C164" s="430">
        <f>'IB 3C4_3C5'!D252</f>
        <v>42.88180376641197</v>
      </c>
      <c r="D164" s="430">
        <f>1/15</f>
        <v>0.06666666666666667</v>
      </c>
      <c r="E164" s="430">
        <f>C164*D164*1000</f>
        <v>2858.7869177607977</v>
      </c>
    </row>
    <row r="165" spans="2:5" ht="26.25">
      <c r="B165" s="429" t="s">
        <v>287</v>
      </c>
      <c r="C165" s="430">
        <f>'IB 3C4_3C5'!D253</f>
        <v>0</v>
      </c>
      <c r="D165" s="430">
        <f>1/10</f>
        <v>0.1</v>
      </c>
      <c r="E165" s="430">
        <f t="shared" si="16"/>
        <v>0</v>
      </c>
    </row>
    <row r="166" spans="2:5" ht="26.25">
      <c r="B166" s="429" t="s">
        <v>290</v>
      </c>
      <c r="C166" s="430">
        <f>'IB 3C4_3C5'!D254</f>
        <v>0</v>
      </c>
      <c r="D166" s="430">
        <f>1/15</f>
        <v>0.06666666666666667</v>
      </c>
      <c r="E166" s="430">
        <f t="shared" si="16"/>
        <v>0</v>
      </c>
    </row>
    <row r="167" spans="2:7" ht="15">
      <c r="B167" s="429" t="s">
        <v>283</v>
      </c>
      <c r="C167" s="430">
        <f>'IB 3C4_3C5'!D255</f>
        <v>0</v>
      </c>
      <c r="D167" s="430">
        <f>1/10</f>
        <v>0.1</v>
      </c>
      <c r="E167" s="430">
        <f t="shared" si="16"/>
        <v>0</v>
      </c>
      <c r="G167" s="80"/>
    </row>
    <row r="168" spans="2:5" ht="15">
      <c r="B168" s="429" t="s">
        <v>284</v>
      </c>
      <c r="C168" s="430">
        <f>'IB 3C4_3C5'!D256</f>
        <v>0</v>
      </c>
      <c r="D168" s="430">
        <f>1/10</f>
        <v>0.1</v>
      </c>
      <c r="E168" s="430">
        <f t="shared" si="16"/>
        <v>0</v>
      </c>
    </row>
    <row r="169" spans="2:5" ht="15">
      <c r="B169" s="210"/>
      <c r="C169" s="171"/>
      <c r="D169" s="441" t="s">
        <v>124</v>
      </c>
      <c r="E169" s="442">
        <f>SUM(E161:E168)</f>
        <v>2858.7869177607977</v>
      </c>
    </row>
    <row r="170" spans="2:56" ht="15">
      <c r="B170" s="53" t="s">
        <v>281</v>
      </c>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row>
    <row r="171" ht="15">
      <c r="B171" s="53" t="s">
        <v>712</v>
      </c>
    </row>
    <row r="172" ht="15">
      <c r="B172" s="53" t="s">
        <v>358</v>
      </c>
    </row>
    <row r="173" ht="15">
      <c r="B173" s="53" t="s">
        <v>279</v>
      </c>
    </row>
    <row r="175" ht="15">
      <c r="B175" s="80" t="s">
        <v>454</v>
      </c>
    </row>
    <row r="176" spans="2:5" ht="39">
      <c r="B176" s="435" t="s">
        <v>294</v>
      </c>
      <c r="C176" s="71" t="s">
        <v>293</v>
      </c>
      <c r="D176" s="71" t="s">
        <v>292</v>
      </c>
      <c r="E176" s="71" t="s">
        <v>271</v>
      </c>
    </row>
    <row r="177" spans="2:5" ht="15">
      <c r="B177" s="354" t="s">
        <v>22</v>
      </c>
      <c r="C177" s="108" t="s">
        <v>378</v>
      </c>
      <c r="D177" s="108" t="s">
        <v>378</v>
      </c>
      <c r="E177" s="108">
        <v>0</v>
      </c>
    </row>
    <row r="178" spans="2:5" ht="15">
      <c r="B178" s="354" t="s">
        <v>23</v>
      </c>
      <c r="C178" s="108" t="s">
        <v>378</v>
      </c>
      <c r="D178" s="108" t="s">
        <v>378</v>
      </c>
      <c r="E178" s="108">
        <v>0</v>
      </c>
    </row>
    <row r="179" spans="2:5" ht="15">
      <c r="B179" s="354" t="s">
        <v>24</v>
      </c>
      <c r="C179" s="108" t="s">
        <v>378</v>
      </c>
      <c r="D179" s="108" t="s">
        <v>378</v>
      </c>
      <c r="E179" s="108">
        <v>0</v>
      </c>
    </row>
    <row r="180" spans="2:5" ht="15">
      <c r="B180" s="354" t="s">
        <v>25</v>
      </c>
      <c r="C180" s="108" t="s">
        <v>378</v>
      </c>
      <c r="D180" s="108" t="s">
        <v>378</v>
      </c>
      <c r="E180" s="108">
        <v>0</v>
      </c>
    </row>
    <row r="181" spans="2:5" ht="15">
      <c r="B181" s="354" t="s">
        <v>26</v>
      </c>
      <c r="C181" s="108" t="s">
        <v>378</v>
      </c>
      <c r="D181" s="108" t="s">
        <v>378</v>
      </c>
      <c r="E181" s="108">
        <v>0</v>
      </c>
    </row>
    <row r="182" spans="2:56" ht="15">
      <c r="B182" s="53" t="s">
        <v>291</v>
      </c>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row>
    <row r="183" spans="2:56" ht="15">
      <c r="B183" s="53" t="s">
        <v>687</v>
      </c>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row>
    <row r="185" spans="2:56" ht="15">
      <c r="B185" s="80" t="s">
        <v>296</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row>
    <row r="186" spans="2:56" ht="15">
      <c r="B186" s="97" t="s">
        <v>126</v>
      </c>
      <c r="C186" s="97" t="s">
        <v>194</v>
      </c>
      <c r="D186" s="97" t="s">
        <v>195</v>
      </c>
      <c r="E186" s="97" t="s">
        <v>297</v>
      </c>
      <c r="F186" s="97" t="s">
        <v>272</v>
      </c>
      <c r="G186"/>
      <c r="H186"/>
      <c r="I186" s="3"/>
      <c r="J186" s="3"/>
      <c r="K186" s="3"/>
      <c r="L186" s="3"/>
      <c r="M186" s="3"/>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row>
    <row r="187" spans="2:56" ht="15">
      <c r="B187" s="105" t="s">
        <v>118</v>
      </c>
      <c r="C187" s="975">
        <f>+'IP 3A1_3A2_3C6'!C38</f>
        <v>905818</v>
      </c>
      <c r="D187" s="975">
        <f>'3A1_3A2 FE'!E151</f>
        <v>91.104</v>
      </c>
      <c r="E187" s="975">
        <f>'IB 3A1_3A2_3C6'!C236</f>
        <v>0.79</v>
      </c>
      <c r="F187" s="975">
        <f>(C187*D187)*E187</f>
        <v>65193678.02688</v>
      </c>
      <c r="G187"/>
      <c r="H187" s="3"/>
      <c r="I187" s="3"/>
      <c r="J187" s="3"/>
      <c r="K187" s="3"/>
      <c r="L187" s="3"/>
      <c r="M187" s="3"/>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row>
    <row r="188" spans="2:56" ht="15">
      <c r="B188" s="105" t="s">
        <v>119</v>
      </c>
      <c r="C188" s="975">
        <f>+'IP 3A1_3A2_3C6'!D38</f>
        <v>4694075</v>
      </c>
      <c r="D188" s="975">
        <f>'3A1_3A2 FE'!E152</f>
        <v>40.2365283452396</v>
      </c>
      <c r="E188" s="975">
        <f>'IB 3A1_3A2_3C6'!C237</f>
        <v>0.91</v>
      </c>
      <c r="F188" s="975">
        <f aca="true" t="shared" si="17" ref="F188:F197">(C188*D188)*E188</f>
        <v>171874686.43088433</v>
      </c>
      <c r="G188"/>
      <c r="H188" s="3"/>
      <c r="I188" s="3"/>
      <c r="J188" s="3"/>
      <c r="K188" s="3"/>
      <c r="L188" s="3"/>
      <c r="M188" s="3"/>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row>
    <row r="189" spans="2:56" ht="15">
      <c r="B189" s="105" t="s">
        <v>40</v>
      </c>
      <c r="C189" s="975">
        <f>+'IP 3A1_3A2_3C6'!D8</f>
        <v>11371639</v>
      </c>
      <c r="D189" s="975">
        <f>'3A1_3A2 FE'!E153</f>
        <v>10.936750499999999</v>
      </c>
      <c r="E189" s="975">
        <f>'IB 3A1_3A2_3C6'!C238</f>
        <v>1</v>
      </c>
      <c r="F189" s="975">
        <f t="shared" si="17"/>
        <v>124368778.51906948</v>
      </c>
      <c r="G189"/>
      <c r="H189" s="3"/>
      <c r="I189" s="3"/>
      <c r="J189" s="3"/>
      <c r="K189" s="3"/>
      <c r="L189" s="3"/>
      <c r="M189" s="3"/>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row>
    <row r="190" spans="2:56" ht="15">
      <c r="B190" s="105" t="s">
        <v>39</v>
      </c>
      <c r="C190" s="975">
        <f>+'IP 3A1_3A2_3C6'!E8</f>
        <v>1801882</v>
      </c>
      <c r="D190" s="975">
        <f>'3A1_3A2 FE'!E154</f>
        <v>15.0015</v>
      </c>
      <c r="E190" s="975">
        <f>'IB 3A1_3A2_3C6'!C239</f>
        <v>1</v>
      </c>
      <c r="F190" s="975">
        <f t="shared" si="17"/>
        <v>27030932.823</v>
      </c>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row>
    <row r="191" spans="2:56" ht="15">
      <c r="B191" s="105" t="s">
        <v>66</v>
      </c>
      <c r="C191" s="975">
        <f>+'IP 3A1_3A2_3C6'!F8</f>
        <v>478241.719092125</v>
      </c>
      <c r="D191" s="975">
        <f>'3A1_3A2 FE'!E155</f>
        <v>39.96020000000001</v>
      </c>
      <c r="E191" s="975">
        <f>'IB 3A1_3A2_3C6'!C240</f>
        <v>1</v>
      </c>
      <c r="F191" s="975">
        <f t="shared" si="17"/>
        <v>19110634.743265137</v>
      </c>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row>
    <row r="192" spans="2:56" ht="15">
      <c r="B192" s="105" t="s">
        <v>109</v>
      </c>
      <c r="C192" s="975">
        <f>+'IP 3A1_3A2_3C6'!G8</f>
        <v>541066.206435821</v>
      </c>
      <c r="D192" s="975">
        <f>'3A1_3A2 FE'!E156</f>
        <v>21.827</v>
      </c>
      <c r="E192" s="975">
        <f>'IB 3A1_3A2_3C6'!C241</f>
        <v>1</v>
      </c>
      <c r="F192" s="975">
        <f t="shared" si="17"/>
        <v>11809852.087874666</v>
      </c>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row>
    <row r="193" spans="2:56" ht="15">
      <c r="B193" s="105" t="s">
        <v>41</v>
      </c>
      <c r="C193" s="975">
        <f>+'IP 3A1_3A2_3C6'!H8</f>
        <v>940552.0273972602</v>
      </c>
      <c r="D193" s="975">
        <f>'3A1_3A2 FE'!E157</f>
        <v>15.023399999999999</v>
      </c>
      <c r="E193" s="975">
        <f>'IB 3A1_3A2_3C6'!C242</f>
        <v>0.67</v>
      </c>
      <c r="F193" s="975">
        <f t="shared" si="17"/>
        <v>9467293.850027999</v>
      </c>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row>
    <row r="194" spans="2:56" ht="15">
      <c r="B194" s="105" t="s">
        <v>37</v>
      </c>
      <c r="C194" s="975">
        <f>+'IP 3A1_3A2_3C6'!I8</f>
        <v>4456049</v>
      </c>
      <c r="D194" s="975">
        <f>'3A1_3A2 FE'!E160</f>
        <v>37.772644711902664</v>
      </c>
      <c r="E194" s="975">
        <f>'IB 3A1_3A2_3C6'!C243</f>
        <v>0.89</v>
      </c>
      <c r="F194" s="975">
        <f t="shared" si="17"/>
        <v>149801912.56928796</v>
      </c>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row>
    <row r="195" spans="2:56" ht="15">
      <c r="B195" s="105" t="s">
        <v>38</v>
      </c>
      <c r="C195" s="975">
        <f>+'IP 3A1_3A2_3C6'!J8</f>
        <v>1095921</v>
      </c>
      <c r="D195" s="975">
        <f>'3A1_3A2 FE'!E159</f>
        <v>118.83139020167621</v>
      </c>
      <c r="E195" s="975">
        <f>'IB 3A1_3A2_3C6'!C244</f>
        <v>0.89</v>
      </c>
      <c r="F195" s="975">
        <f t="shared" si="17"/>
        <v>115904536.22327797</v>
      </c>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row>
    <row r="196" spans="2:56" ht="15">
      <c r="B196" s="105" t="s">
        <v>36</v>
      </c>
      <c r="C196" s="975">
        <f>+'IP 3A1_3A2_3C6'!K8</f>
        <v>52662900.840135574</v>
      </c>
      <c r="D196" s="975">
        <f>'3A1_3A2 FE'!E158</f>
        <v>1.1729782989690722</v>
      </c>
      <c r="E196" s="975">
        <f>'IB 3A1_3A2_3C6'!C245</f>
        <v>0</v>
      </c>
      <c r="F196" s="975">
        <f t="shared" si="17"/>
        <v>0</v>
      </c>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row>
    <row r="197" spans="2:56" ht="15">
      <c r="B197" s="105" t="s">
        <v>68</v>
      </c>
      <c r="C197" s="975">
        <f>+'IP 3A1_3A2_3C6'!L8</f>
        <v>3971222.8514355808</v>
      </c>
      <c r="D197" s="975">
        <f>'3A1_3A2 FE'!E161</f>
        <v>1.0886404297524397</v>
      </c>
      <c r="E197" s="975">
        <f>'IB 3A1_3A2_3C6'!C246</f>
        <v>0</v>
      </c>
      <c r="F197" s="975">
        <f t="shared" si="17"/>
        <v>0</v>
      </c>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row>
    <row r="198" spans="2:56" ht="15">
      <c r="B198" s="87"/>
      <c r="C198" s="976"/>
      <c r="D198" s="977"/>
      <c r="E198" s="978" t="s">
        <v>124</v>
      </c>
      <c r="F198" s="979">
        <f>SUM(F187:F197)</f>
        <v>694562305.2735676</v>
      </c>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row>
    <row r="199" spans="2:56" ht="15.75">
      <c r="B199" s="53" t="s">
        <v>1496</v>
      </c>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row>
    <row r="200" spans="2:56" ht="15">
      <c r="B200" s="53" t="s">
        <v>295</v>
      </c>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row>
    <row r="201" spans="2:56" ht="15.75">
      <c r="B201" s="53" t="s">
        <v>1495</v>
      </c>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row>
    <row r="202" spans="2:56" ht="15">
      <c r="B202" s="53" t="s">
        <v>298</v>
      </c>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row>
  </sheetData>
  <printOptions/>
  <pageMargins left="0.7" right="0.7" top="0.75" bottom="0.75" header="0.3" footer="0.3"/>
  <pageSetup horizontalDpi="300" verticalDpi="300" orientation="portrait" r:id="rId4"/>
  <drawing r:id="rId3"/>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336699"/>
  </sheetPr>
  <dimension ref="A1:AR275"/>
  <sheetViews>
    <sheetView workbookViewId="0" topLeftCell="A1"/>
  </sheetViews>
  <sheetFormatPr defaultColWidth="10.8515625" defaultRowHeight="15"/>
  <cols>
    <col min="1" max="1" width="2.57421875" style="3" customWidth="1"/>
    <col min="2" max="2" width="21.7109375" style="111" customWidth="1"/>
    <col min="3" max="3" width="27.28125" style="111" customWidth="1"/>
    <col min="4" max="4" width="16.28125" style="111" customWidth="1"/>
    <col min="5" max="7" width="15.7109375" style="111" customWidth="1"/>
    <col min="8" max="8" width="18.8515625" style="111" bestFit="1" customWidth="1"/>
    <col min="9" max="9" width="8.421875" style="111" customWidth="1"/>
    <col min="10" max="12" width="11.421875" style="111" customWidth="1"/>
    <col min="13" max="254" width="11.421875" style="3" customWidth="1"/>
    <col min="255" max="255" width="3.28125" style="3" customWidth="1"/>
    <col min="256" max="256" width="19.00390625" style="3" customWidth="1"/>
    <col min="257" max="257" width="22.00390625" style="3" customWidth="1"/>
    <col min="258" max="258" width="19.8515625" style="3" customWidth="1"/>
    <col min="259" max="259" width="15.7109375" style="3" customWidth="1"/>
    <col min="260" max="260" width="24.140625" style="3" customWidth="1"/>
    <col min="261" max="261" width="8.421875" style="3" customWidth="1"/>
    <col min="262" max="510" width="11.421875" style="3" customWidth="1"/>
    <col min="511" max="511" width="3.28125" style="3" customWidth="1"/>
    <col min="512" max="512" width="19.00390625" style="3" customWidth="1"/>
    <col min="513" max="513" width="22.00390625" style="3" customWidth="1"/>
    <col min="514" max="514" width="19.8515625" style="3" customWidth="1"/>
    <col min="515" max="515" width="15.7109375" style="3" customWidth="1"/>
    <col min="516" max="516" width="24.140625" style="3" customWidth="1"/>
    <col min="517" max="517" width="8.421875" style="3" customWidth="1"/>
    <col min="518" max="766" width="11.421875" style="3" customWidth="1"/>
    <col min="767" max="767" width="3.28125" style="3" customWidth="1"/>
    <col min="768" max="768" width="19.00390625" style="3" customWidth="1"/>
    <col min="769" max="769" width="22.00390625" style="3" customWidth="1"/>
    <col min="770" max="770" width="19.8515625" style="3" customWidth="1"/>
    <col min="771" max="771" width="15.7109375" style="3" customWidth="1"/>
    <col min="772" max="772" width="24.140625" style="3" customWidth="1"/>
    <col min="773" max="773" width="8.421875" style="3" customWidth="1"/>
    <col min="774" max="1022" width="11.421875" style="3" customWidth="1"/>
    <col min="1023" max="1023" width="3.28125" style="3" customWidth="1"/>
    <col min="1024" max="1024" width="19.00390625" style="3" customWidth="1"/>
    <col min="1025" max="1025" width="22.00390625" style="3" customWidth="1"/>
    <col min="1026" max="1026" width="19.8515625" style="3" customWidth="1"/>
    <col min="1027" max="1027" width="15.7109375" style="3" customWidth="1"/>
    <col min="1028" max="1028" width="24.140625" style="3" customWidth="1"/>
    <col min="1029" max="1029" width="8.421875" style="3" customWidth="1"/>
    <col min="1030" max="1278" width="11.421875" style="3" customWidth="1"/>
    <col min="1279" max="1279" width="3.28125" style="3" customWidth="1"/>
    <col min="1280" max="1280" width="19.00390625" style="3" customWidth="1"/>
    <col min="1281" max="1281" width="22.00390625" style="3" customWidth="1"/>
    <col min="1282" max="1282" width="19.8515625" style="3" customWidth="1"/>
    <col min="1283" max="1283" width="15.7109375" style="3" customWidth="1"/>
    <col min="1284" max="1284" width="24.140625" style="3" customWidth="1"/>
    <col min="1285" max="1285" width="8.421875" style="3" customWidth="1"/>
    <col min="1286" max="1534" width="11.421875" style="3" customWidth="1"/>
    <col min="1535" max="1535" width="3.28125" style="3" customWidth="1"/>
    <col min="1536" max="1536" width="19.00390625" style="3" customWidth="1"/>
    <col min="1537" max="1537" width="22.00390625" style="3" customWidth="1"/>
    <col min="1538" max="1538" width="19.8515625" style="3" customWidth="1"/>
    <col min="1539" max="1539" width="15.7109375" style="3" customWidth="1"/>
    <col min="1540" max="1540" width="24.140625" style="3" customWidth="1"/>
    <col min="1541" max="1541" width="8.421875" style="3" customWidth="1"/>
    <col min="1542" max="1790" width="11.421875" style="3" customWidth="1"/>
    <col min="1791" max="1791" width="3.28125" style="3" customWidth="1"/>
    <col min="1792" max="1792" width="19.00390625" style="3" customWidth="1"/>
    <col min="1793" max="1793" width="22.00390625" style="3" customWidth="1"/>
    <col min="1794" max="1794" width="19.8515625" style="3" customWidth="1"/>
    <col min="1795" max="1795" width="15.7109375" style="3" customWidth="1"/>
    <col min="1796" max="1796" width="24.140625" style="3" customWidth="1"/>
    <col min="1797" max="1797" width="8.421875" style="3" customWidth="1"/>
    <col min="1798" max="2046" width="11.421875" style="3" customWidth="1"/>
    <col min="2047" max="2047" width="3.28125" style="3" customWidth="1"/>
    <col min="2048" max="2048" width="19.00390625" style="3" customWidth="1"/>
    <col min="2049" max="2049" width="22.00390625" style="3" customWidth="1"/>
    <col min="2050" max="2050" width="19.8515625" style="3" customWidth="1"/>
    <col min="2051" max="2051" width="15.7109375" style="3" customWidth="1"/>
    <col min="2052" max="2052" width="24.140625" style="3" customWidth="1"/>
    <col min="2053" max="2053" width="8.421875" style="3" customWidth="1"/>
    <col min="2054" max="2302" width="11.421875" style="3" customWidth="1"/>
    <col min="2303" max="2303" width="3.28125" style="3" customWidth="1"/>
    <col min="2304" max="2304" width="19.00390625" style="3" customWidth="1"/>
    <col min="2305" max="2305" width="22.00390625" style="3" customWidth="1"/>
    <col min="2306" max="2306" width="19.8515625" style="3" customWidth="1"/>
    <col min="2307" max="2307" width="15.7109375" style="3" customWidth="1"/>
    <col min="2308" max="2308" width="24.140625" style="3" customWidth="1"/>
    <col min="2309" max="2309" width="8.421875" style="3" customWidth="1"/>
    <col min="2310" max="2558" width="11.421875" style="3" customWidth="1"/>
    <col min="2559" max="2559" width="3.28125" style="3" customWidth="1"/>
    <col min="2560" max="2560" width="19.00390625" style="3" customWidth="1"/>
    <col min="2561" max="2561" width="22.00390625" style="3" customWidth="1"/>
    <col min="2562" max="2562" width="19.8515625" style="3" customWidth="1"/>
    <col min="2563" max="2563" width="15.7109375" style="3" customWidth="1"/>
    <col min="2564" max="2564" width="24.140625" style="3" customWidth="1"/>
    <col min="2565" max="2565" width="8.421875" style="3" customWidth="1"/>
    <col min="2566" max="2814" width="11.421875" style="3" customWidth="1"/>
    <col min="2815" max="2815" width="3.28125" style="3" customWidth="1"/>
    <col min="2816" max="2816" width="19.00390625" style="3" customWidth="1"/>
    <col min="2817" max="2817" width="22.00390625" style="3" customWidth="1"/>
    <col min="2818" max="2818" width="19.8515625" style="3" customWidth="1"/>
    <col min="2819" max="2819" width="15.7109375" style="3" customWidth="1"/>
    <col min="2820" max="2820" width="24.140625" style="3" customWidth="1"/>
    <col min="2821" max="2821" width="8.421875" style="3" customWidth="1"/>
    <col min="2822" max="3070" width="11.421875" style="3" customWidth="1"/>
    <col min="3071" max="3071" width="3.28125" style="3" customWidth="1"/>
    <col min="3072" max="3072" width="19.00390625" style="3" customWidth="1"/>
    <col min="3073" max="3073" width="22.00390625" style="3" customWidth="1"/>
    <col min="3074" max="3074" width="19.8515625" style="3" customWidth="1"/>
    <col min="3075" max="3075" width="15.7109375" style="3" customWidth="1"/>
    <col min="3076" max="3076" width="24.140625" style="3" customWidth="1"/>
    <col min="3077" max="3077" width="8.421875" style="3" customWidth="1"/>
    <col min="3078" max="3326" width="11.421875" style="3" customWidth="1"/>
    <col min="3327" max="3327" width="3.28125" style="3" customWidth="1"/>
    <col min="3328" max="3328" width="19.00390625" style="3" customWidth="1"/>
    <col min="3329" max="3329" width="22.00390625" style="3" customWidth="1"/>
    <col min="3330" max="3330" width="19.8515625" style="3" customWidth="1"/>
    <col min="3331" max="3331" width="15.7109375" style="3" customWidth="1"/>
    <col min="3332" max="3332" width="24.140625" style="3" customWidth="1"/>
    <col min="3333" max="3333" width="8.421875" style="3" customWidth="1"/>
    <col min="3334" max="3582" width="11.421875" style="3" customWidth="1"/>
    <col min="3583" max="3583" width="3.28125" style="3" customWidth="1"/>
    <col min="3584" max="3584" width="19.00390625" style="3" customWidth="1"/>
    <col min="3585" max="3585" width="22.00390625" style="3" customWidth="1"/>
    <col min="3586" max="3586" width="19.8515625" style="3" customWidth="1"/>
    <col min="3587" max="3587" width="15.7109375" style="3" customWidth="1"/>
    <col min="3588" max="3588" width="24.140625" style="3" customWidth="1"/>
    <col min="3589" max="3589" width="8.421875" style="3" customWidth="1"/>
    <col min="3590" max="3838" width="11.421875" style="3" customWidth="1"/>
    <col min="3839" max="3839" width="3.28125" style="3" customWidth="1"/>
    <col min="3840" max="3840" width="19.00390625" style="3" customWidth="1"/>
    <col min="3841" max="3841" width="22.00390625" style="3" customWidth="1"/>
    <col min="3842" max="3842" width="19.8515625" style="3" customWidth="1"/>
    <col min="3843" max="3843" width="15.7109375" style="3" customWidth="1"/>
    <col min="3844" max="3844" width="24.140625" style="3" customWidth="1"/>
    <col min="3845" max="3845" width="8.421875" style="3" customWidth="1"/>
    <col min="3846" max="4094" width="11.421875" style="3" customWidth="1"/>
    <col min="4095" max="4095" width="3.28125" style="3" customWidth="1"/>
    <col min="4096" max="4096" width="19.00390625" style="3" customWidth="1"/>
    <col min="4097" max="4097" width="22.00390625" style="3" customWidth="1"/>
    <col min="4098" max="4098" width="19.8515625" style="3" customWidth="1"/>
    <col min="4099" max="4099" width="15.7109375" style="3" customWidth="1"/>
    <col min="4100" max="4100" width="24.140625" style="3" customWidth="1"/>
    <col min="4101" max="4101" width="8.421875" style="3" customWidth="1"/>
    <col min="4102" max="4350" width="11.421875" style="3" customWidth="1"/>
    <col min="4351" max="4351" width="3.28125" style="3" customWidth="1"/>
    <col min="4352" max="4352" width="19.00390625" style="3" customWidth="1"/>
    <col min="4353" max="4353" width="22.00390625" style="3" customWidth="1"/>
    <col min="4354" max="4354" width="19.8515625" style="3" customWidth="1"/>
    <col min="4355" max="4355" width="15.7109375" style="3" customWidth="1"/>
    <col min="4356" max="4356" width="24.140625" style="3" customWidth="1"/>
    <col min="4357" max="4357" width="8.421875" style="3" customWidth="1"/>
    <col min="4358" max="4606" width="11.421875" style="3" customWidth="1"/>
    <col min="4607" max="4607" width="3.28125" style="3" customWidth="1"/>
    <col min="4608" max="4608" width="19.00390625" style="3" customWidth="1"/>
    <col min="4609" max="4609" width="22.00390625" style="3" customWidth="1"/>
    <col min="4610" max="4610" width="19.8515625" style="3" customWidth="1"/>
    <col min="4611" max="4611" width="15.7109375" style="3" customWidth="1"/>
    <col min="4612" max="4612" width="24.140625" style="3" customWidth="1"/>
    <col min="4613" max="4613" width="8.421875" style="3" customWidth="1"/>
    <col min="4614" max="4862" width="11.421875" style="3" customWidth="1"/>
    <col min="4863" max="4863" width="3.28125" style="3" customWidth="1"/>
    <col min="4864" max="4864" width="19.00390625" style="3" customWidth="1"/>
    <col min="4865" max="4865" width="22.00390625" style="3" customWidth="1"/>
    <col min="4866" max="4866" width="19.8515625" style="3" customWidth="1"/>
    <col min="4867" max="4867" width="15.7109375" style="3" customWidth="1"/>
    <col min="4868" max="4868" width="24.140625" style="3" customWidth="1"/>
    <col min="4869" max="4869" width="8.421875" style="3" customWidth="1"/>
    <col min="4870" max="5118" width="11.421875" style="3" customWidth="1"/>
    <col min="5119" max="5119" width="3.28125" style="3" customWidth="1"/>
    <col min="5120" max="5120" width="19.00390625" style="3" customWidth="1"/>
    <col min="5121" max="5121" width="22.00390625" style="3" customWidth="1"/>
    <col min="5122" max="5122" width="19.8515625" style="3" customWidth="1"/>
    <col min="5123" max="5123" width="15.7109375" style="3" customWidth="1"/>
    <col min="5124" max="5124" width="24.140625" style="3" customWidth="1"/>
    <col min="5125" max="5125" width="8.421875" style="3" customWidth="1"/>
    <col min="5126" max="5374" width="11.421875" style="3" customWidth="1"/>
    <col min="5375" max="5375" width="3.28125" style="3" customWidth="1"/>
    <col min="5376" max="5376" width="19.00390625" style="3" customWidth="1"/>
    <col min="5377" max="5377" width="22.00390625" style="3" customWidth="1"/>
    <col min="5378" max="5378" width="19.8515625" style="3" customWidth="1"/>
    <col min="5379" max="5379" width="15.7109375" style="3" customWidth="1"/>
    <col min="5380" max="5380" width="24.140625" style="3" customWidth="1"/>
    <col min="5381" max="5381" width="8.421875" style="3" customWidth="1"/>
    <col min="5382" max="5630" width="11.421875" style="3" customWidth="1"/>
    <col min="5631" max="5631" width="3.28125" style="3" customWidth="1"/>
    <col min="5632" max="5632" width="19.00390625" style="3" customWidth="1"/>
    <col min="5633" max="5633" width="22.00390625" style="3" customWidth="1"/>
    <col min="5634" max="5634" width="19.8515625" style="3" customWidth="1"/>
    <col min="5635" max="5635" width="15.7109375" style="3" customWidth="1"/>
    <col min="5636" max="5636" width="24.140625" style="3" customWidth="1"/>
    <col min="5637" max="5637" width="8.421875" style="3" customWidth="1"/>
    <col min="5638" max="5886" width="11.421875" style="3" customWidth="1"/>
    <col min="5887" max="5887" width="3.28125" style="3" customWidth="1"/>
    <col min="5888" max="5888" width="19.00390625" style="3" customWidth="1"/>
    <col min="5889" max="5889" width="22.00390625" style="3" customWidth="1"/>
    <col min="5890" max="5890" width="19.8515625" style="3" customWidth="1"/>
    <col min="5891" max="5891" width="15.7109375" style="3" customWidth="1"/>
    <col min="5892" max="5892" width="24.140625" style="3" customWidth="1"/>
    <col min="5893" max="5893" width="8.421875" style="3" customWidth="1"/>
    <col min="5894" max="6142" width="11.421875" style="3" customWidth="1"/>
    <col min="6143" max="6143" width="3.28125" style="3" customWidth="1"/>
    <col min="6144" max="6144" width="19.00390625" style="3" customWidth="1"/>
    <col min="6145" max="6145" width="22.00390625" style="3" customWidth="1"/>
    <col min="6146" max="6146" width="19.8515625" style="3" customWidth="1"/>
    <col min="6147" max="6147" width="15.7109375" style="3" customWidth="1"/>
    <col min="6148" max="6148" width="24.140625" style="3" customWidth="1"/>
    <col min="6149" max="6149" width="8.421875" style="3" customWidth="1"/>
    <col min="6150" max="6398" width="11.421875" style="3" customWidth="1"/>
    <col min="6399" max="6399" width="3.28125" style="3" customWidth="1"/>
    <col min="6400" max="6400" width="19.00390625" style="3" customWidth="1"/>
    <col min="6401" max="6401" width="22.00390625" style="3" customWidth="1"/>
    <col min="6402" max="6402" width="19.8515625" style="3" customWidth="1"/>
    <col min="6403" max="6403" width="15.7109375" style="3" customWidth="1"/>
    <col min="6404" max="6404" width="24.140625" style="3" customWidth="1"/>
    <col min="6405" max="6405" width="8.421875" style="3" customWidth="1"/>
    <col min="6406" max="6654" width="11.421875" style="3" customWidth="1"/>
    <col min="6655" max="6655" width="3.28125" style="3" customWidth="1"/>
    <col min="6656" max="6656" width="19.00390625" style="3" customWidth="1"/>
    <col min="6657" max="6657" width="22.00390625" style="3" customWidth="1"/>
    <col min="6658" max="6658" width="19.8515625" style="3" customWidth="1"/>
    <col min="6659" max="6659" width="15.7109375" style="3" customWidth="1"/>
    <col min="6660" max="6660" width="24.140625" style="3" customWidth="1"/>
    <col min="6661" max="6661" width="8.421875" style="3" customWidth="1"/>
    <col min="6662" max="6910" width="11.421875" style="3" customWidth="1"/>
    <col min="6911" max="6911" width="3.28125" style="3" customWidth="1"/>
    <col min="6912" max="6912" width="19.00390625" style="3" customWidth="1"/>
    <col min="6913" max="6913" width="22.00390625" style="3" customWidth="1"/>
    <col min="6914" max="6914" width="19.8515625" style="3" customWidth="1"/>
    <col min="6915" max="6915" width="15.7109375" style="3" customWidth="1"/>
    <col min="6916" max="6916" width="24.140625" style="3" customWidth="1"/>
    <col min="6917" max="6917" width="8.421875" style="3" customWidth="1"/>
    <col min="6918" max="7166" width="11.421875" style="3" customWidth="1"/>
    <col min="7167" max="7167" width="3.28125" style="3" customWidth="1"/>
    <col min="7168" max="7168" width="19.00390625" style="3" customWidth="1"/>
    <col min="7169" max="7169" width="22.00390625" style="3" customWidth="1"/>
    <col min="7170" max="7170" width="19.8515625" style="3" customWidth="1"/>
    <col min="7171" max="7171" width="15.7109375" style="3" customWidth="1"/>
    <col min="7172" max="7172" width="24.140625" style="3" customWidth="1"/>
    <col min="7173" max="7173" width="8.421875" style="3" customWidth="1"/>
    <col min="7174" max="7422" width="11.421875" style="3" customWidth="1"/>
    <col min="7423" max="7423" width="3.28125" style="3" customWidth="1"/>
    <col min="7424" max="7424" width="19.00390625" style="3" customWidth="1"/>
    <col min="7425" max="7425" width="22.00390625" style="3" customWidth="1"/>
    <col min="7426" max="7426" width="19.8515625" style="3" customWidth="1"/>
    <col min="7427" max="7427" width="15.7109375" style="3" customWidth="1"/>
    <col min="7428" max="7428" width="24.140625" style="3" customWidth="1"/>
    <col min="7429" max="7429" width="8.421875" style="3" customWidth="1"/>
    <col min="7430" max="7678" width="11.421875" style="3" customWidth="1"/>
    <col min="7679" max="7679" width="3.28125" style="3" customWidth="1"/>
    <col min="7680" max="7680" width="19.00390625" style="3" customWidth="1"/>
    <col min="7681" max="7681" width="22.00390625" style="3" customWidth="1"/>
    <col min="7682" max="7682" width="19.8515625" style="3" customWidth="1"/>
    <col min="7683" max="7683" width="15.7109375" style="3" customWidth="1"/>
    <col min="7684" max="7684" width="24.140625" style="3" customWidth="1"/>
    <col min="7685" max="7685" width="8.421875" style="3" customWidth="1"/>
    <col min="7686" max="7934" width="11.421875" style="3" customWidth="1"/>
    <col min="7935" max="7935" width="3.28125" style="3" customWidth="1"/>
    <col min="7936" max="7936" width="19.00390625" style="3" customWidth="1"/>
    <col min="7937" max="7937" width="22.00390625" style="3" customWidth="1"/>
    <col min="7938" max="7938" width="19.8515625" style="3" customWidth="1"/>
    <col min="7939" max="7939" width="15.7109375" style="3" customWidth="1"/>
    <col min="7940" max="7940" width="24.140625" style="3" customWidth="1"/>
    <col min="7941" max="7941" width="8.421875" style="3" customWidth="1"/>
    <col min="7942" max="8190" width="11.421875" style="3" customWidth="1"/>
    <col min="8191" max="8191" width="3.28125" style="3" customWidth="1"/>
    <col min="8192" max="8192" width="19.00390625" style="3" customWidth="1"/>
    <col min="8193" max="8193" width="22.00390625" style="3" customWidth="1"/>
    <col min="8194" max="8194" width="19.8515625" style="3" customWidth="1"/>
    <col min="8195" max="8195" width="15.7109375" style="3" customWidth="1"/>
    <col min="8196" max="8196" width="24.140625" style="3" customWidth="1"/>
    <col min="8197" max="8197" width="8.421875" style="3" customWidth="1"/>
    <col min="8198" max="8446" width="11.421875" style="3" customWidth="1"/>
    <col min="8447" max="8447" width="3.28125" style="3" customWidth="1"/>
    <col min="8448" max="8448" width="19.00390625" style="3" customWidth="1"/>
    <col min="8449" max="8449" width="22.00390625" style="3" customWidth="1"/>
    <col min="8450" max="8450" width="19.8515625" style="3" customWidth="1"/>
    <col min="8451" max="8451" width="15.7109375" style="3" customWidth="1"/>
    <col min="8452" max="8452" width="24.140625" style="3" customWidth="1"/>
    <col min="8453" max="8453" width="8.421875" style="3" customWidth="1"/>
    <col min="8454" max="8702" width="11.421875" style="3" customWidth="1"/>
    <col min="8703" max="8703" width="3.28125" style="3" customWidth="1"/>
    <col min="8704" max="8704" width="19.00390625" style="3" customWidth="1"/>
    <col min="8705" max="8705" width="22.00390625" style="3" customWidth="1"/>
    <col min="8706" max="8706" width="19.8515625" style="3" customWidth="1"/>
    <col min="8707" max="8707" width="15.7109375" style="3" customWidth="1"/>
    <col min="8708" max="8708" width="24.140625" style="3" customWidth="1"/>
    <col min="8709" max="8709" width="8.421875" style="3" customWidth="1"/>
    <col min="8710" max="8958" width="11.421875" style="3" customWidth="1"/>
    <col min="8959" max="8959" width="3.28125" style="3" customWidth="1"/>
    <col min="8960" max="8960" width="19.00390625" style="3" customWidth="1"/>
    <col min="8961" max="8961" width="22.00390625" style="3" customWidth="1"/>
    <col min="8962" max="8962" width="19.8515625" style="3" customWidth="1"/>
    <col min="8963" max="8963" width="15.7109375" style="3" customWidth="1"/>
    <col min="8964" max="8964" width="24.140625" style="3" customWidth="1"/>
    <col min="8965" max="8965" width="8.421875" style="3" customWidth="1"/>
    <col min="8966" max="9214" width="11.421875" style="3" customWidth="1"/>
    <col min="9215" max="9215" width="3.28125" style="3" customWidth="1"/>
    <col min="9216" max="9216" width="19.00390625" style="3" customWidth="1"/>
    <col min="9217" max="9217" width="22.00390625" style="3" customWidth="1"/>
    <col min="9218" max="9218" width="19.8515625" style="3" customWidth="1"/>
    <col min="9219" max="9219" width="15.7109375" style="3" customWidth="1"/>
    <col min="9220" max="9220" width="24.140625" style="3" customWidth="1"/>
    <col min="9221" max="9221" width="8.421875" style="3" customWidth="1"/>
    <col min="9222" max="9470" width="11.421875" style="3" customWidth="1"/>
    <col min="9471" max="9471" width="3.28125" style="3" customWidth="1"/>
    <col min="9472" max="9472" width="19.00390625" style="3" customWidth="1"/>
    <col min="9473" max="9473" width="22.00390625" style="3" customWidth="1"/>
    <col min="9474" max="9474" width="19.8515625" style="3" customWidth="1"/>
    <col min="9475" max="9475" width="15.7109375" style="3" customWidth="1"/>
    <col min="9476" max="9476" width="24.140625" style="3" customWidth="1"/>
    <col min="9477" max="9477" width="8.421875" style="3" customWidth="1"/>
    <col min="9478" max="9726" width="11.421875" style="3" customWidth="1"/>
    <col min="9727" max="9727" width="3.28125" style="3" customWidth="1"/>
    <col min="9728" max="9728" width="19.00390625" style="3" customWidth="1"/>
    <col min="9729" max="9729" width="22.00390625" style="3" customWidth="1"/>
    <col min="9730" max="9730" width="19.8515625" style="3" customWidth="1"/>
    <col min="9731" max="9731" width="15.7109375" style="3" customWidth="1"/>
    <col min="9732" max="9732" width="24.140625" style="3" customWidth="1"/>
    <col min="9733" max="9733" width="8.421875" style="3" customWidth="1"/>
    <col min="9734" max="9982" width="11.421875" style="3" customWidth="1"/>
    <col min="9983" max="9983" width="3.28125" style="3" customWidth="1"/>
    <col min="9984" max="9984" width="19.00390625" style="3" customWidth="1"/>
    <col min="9985" max="9985" width="22.00390625" style="3" customWidth="1"/>
    <col min="9986" max="9986" width="19.8515625" style="3" customWidth="1"/>
    <col min="9987" max="9987" width="15.7109375" style="3" customWidth="1"/>
    <col min="9988" max="9988" width="24.140625" style="3" customWidth="1"/>
    <col min="9989" max="9989" width="8.421875" style="3" customWidth="1"/>
    <col min="9990" max="10238" width="11.421875" style="3" customWidth="1"/>
    <col min="10239" max="10239" width="3.28125" style="3" customWidth="1"/>
    <col min="10240" max="10240" width="19.00390625" style="3" customWidth="1"/>
    <col min="10241" max="10241" width="22.00390625" style="3" customWidth="1"/>
    <col min="10242" max="10242" width="19.8515625" style="3" customWidth="1"/>
    <col min="10243" max="10243" width="15.7109375" style="3" customWidth="1"/>
    <col min="10244" max="10244" width="24.140625" style="3" customWidth="1"/>
    <col min="10245" max="10245" width="8.421875" style="3" customWidth="1"/>
    <col min="10246" max="10494" width="11.421875" style="3" customWidth="1"/>
    <col min="10495" max="10495" width="3.28125" style="3" customWidth="1"/>
    <col min="10496" max="10496" width="19.00390625" style="3" customWidth="1"/>
    <col min="10497" max="10497" width="22.00390625" style="3" customWidth="1"/>
    <col min="10498" max="10498" width="19.8515625" style="3" customWidth="1"/>
    <col min="10499" max="10499" width="15.7109375" style="3" customWidth="1"/>
    <col min="10500" max="10500" width="24.140625" style="3" customWidth="1"/>
    <col min="10501" max="10501" width="8.421875" style="3" customWidth="1"/>
    <col min="10502" max="10750" width="11.421875" style="3" customWidth="1"/>
    <col min="10751" max="10751" width="3.28125" style="3" customWidth="1"/>
    <col min="10752" max="10752" width="19.00390625" style="3" customWidth="1"/>
    <col min="10753" max="10753" width="22.00390625" style="3" customWidth="1"/>
    <col min="10754" max="10754" width="19.8515625" style="3" customWidth="1"/>
    <col min="10755" max="10755" width="15.7109375" style="3" customWidth="1"/>
    <col min="10756" max="10756" width="24.140625" style="3" customWidth="1"/>
    <col min="10757" max="10757" width="8.421875" style="3" customWidth="1"/>
    <col min="10758" max="11006" width="11.421875" style="3" customWidth="1"/>
    <col min="11007" max="11007" width="3.28125" style="3" customWidth="1"/>
    <col min="11008" max="11008" width="19.00390625" style="3" customWidth="1"/>
    <col min="11009" max="11009" width="22.00390625" style="3" customWidth="1"/>
    <col min="11010" max="11010" width="19.8515625" style="3" customWidth="1"/>
    <col min="11011" max="11011" width="15.7109375" style="3" customWidth="1"/>
    <col min="11012" max="11012" width="24.140625" style="3" customWidth="1"/>
    <col min="11013" max="11013" width="8.421875" style="3" customWidth="1"/>
    <col min="11014" max="11262" width="11.421875" style="3" customWidth="1"/>
    <col min="11263" max="11263" width="3.28125" style="3" customWidth="1"/>
    <col min="11264" max="11264" width="19.00390625" style="3" customWidth="1"/>
    <col min="11265" max="11265" width="22.00390625" style="3" customWidth="1"/>
    <col min="11266" max="11266" width="19.8515625" style="3" customWidth="1"/>
    <col min="11267" max="11267" width="15.7109375" style="3" customWidth="1"/>
    <col min="11268" max="11268" width="24.140625" style="3" customWidth="1"/>
    <col min="11269" max="11269" width="8.421875" style="3" customWidth="1"/>
    <col min="11270" max="11518" width="11.421875" style="3" customWidth="1"/>
    <col min="11519" max="11519" width="3.28125" style="3" customWidth="1"/>
    <col min="11520" max="11520" width="19.00390625" style="3" customWidth="1"/>
    <col min="11521" max="11521" width="22.00390625" style="3" customWidth="1"/>
    <col min="11522" max="11522" width="19.8515625" style="3" customWidth="1"/>
    <col min="11523" max="11523" width="15.7109375" style="3" customWidth="1"/>
    <col min="11524" max="11524" width="24.140625" style="3" customWidth="1"/>
    <col min="11525" max="11525" width="8.421875" style="3" customWidth="1"/>
    <col min="11526" max="11774" width="11.421875" style="3" customWidth="1"/>
    <col min="11775" max="11775" width="3.28125" style="3" customWidth="1"/>
    <col min="11776" max="11776" width="19.00390625" style="3" customWidth="1"/>
    <col min="11777" max="11777" width="22.00390625" style="3" customWidth="1"/>
    <col min="11778" max="11778" width="19.8515625" style="3" customWidth="1"/>
    <col min="11779" max="11779" width="15.7109375" style="3" customWidth="1"/>
    <col min="11780" max="11780" width="24.140625" style="3" customWidth="1"/>
    <col min="11781" max="11781" width="8.421875" style="3" customWidth="1"/>
    <col min="11782" max="12030" width="11.421875" style="3" customWidth="1"/>
    <col min="12031" max="12031" width="3.28125" style="3" customWidth="1"/>
    <col min="12032" max="12032" width="19.00390625" style="3" customWidth="1"/>
    <col min="12033" max="12033" width="22.00390625" style="3" customWidth="1"/>
    <col min="12034" max="12034" width="19.8515625" style="3" customWidth="1"/>
    <col min="12035" max="12035" width="15.7109375" style="3" customWidth="1"/>
    <col min="12036" max="12036" width="24.140625" style="3" customWidth="1"/>
    <col min="12037" max="12037" width="8.421875" style="3" customWidth="1"/>
    <col min="12038" max="12286" width="11.421875" style="3" customWidth="1"/>
    <col min="12287" max="12287" width="3.28125" style="3" customWidth="1"/>
    <col min="12288" max="12288" width="19.00390625" style="3" customWidth="1"/>
    <col min="12289" max="12289" width="22.00390625" style="3" customWidth="1"/>
    <col min="12290" max="12290" width="19.8515625" style="3" customWidth="1"/>
    <col min="12291" max="12291" width="15.7109375" style="3" customWidth="1"/>
    <col min="12292" max="12292" width="24.140625" style="3" customWidth="1"/>
    <col min="12293" max="12293" width="8.421875" style="3" customWidth="1"/>
    <col min="12294" max="12542" width="11.421875" style="3" customWidth="1"/>
    <col min="12543" max="12543" width="3.28125" style="3" customWidth="1"/>
    <col min="12544" max="12544" width="19.00390625" style="3" customWidth="1"/>
    <col min="12545" max="12545" width="22.00390625" style="3" customWidth="1"/>
    <col min="12546" max="12546" width="19.8515625" style="3" customWidth="1"/>
    <col min="12547" max="12547" width="15.7109375" style="3" customWidth="1"/>
    <col min="12548" max="12548" width="24.140625" style="3" customWidth="1"/>
    <col min="12549" max="12549" width="8.421875" style="3" customWidth="1"/>
    <col min="12550" max="12798" width="11.421875" style="3" customWidth="1"/>
    <col min="12799" max="12799" width="3.28125" style="3" customWidth="1"/>
    <col min="12800" max="12800" width="19.00390625" style="3" customWidth="1"/>
    <col min="12801" max="12801" width="22.00390625" style="3" customWidth="1"/>
    <col min="12802" max="12802" width="19.8515625" style="3" customWidth="1"/>
    <col min="12803" max="12803" width="15.7109375" style="3" customWidth="1"/>
    <col min="12804" max="12804" width="24.140625" style="3" customWidth="1"/>
    <col min="12805" max="12805" width="8.421875" style="3" customWidth="1"/>
    <col min="12806" max="13054" width="11.421875" style="3" customWidth="1"/>
    <col min="13055" max="13055" width="3.28125" style="3" customWidth="1"/>
    <col min="13056" max="13056" width="19.00390625" style="3" customWidth="1"/>
    <col min="13057" max="13057" width="22.00390625" style="3" customWidth="1"/>
    <col min="13058" max="13058" width="19.8515625" style="3" customWidth="1"/>
    <col min="13059" max="13059" width="15.7109375" style="3" customWidth="1"/>
    <col min="13060" max="13060" width="24.140625" style="3" customWidth="1"/>
    <col min="13061" max="13061" width="8.421875" style="3" customWidth="1"/>
    <col min="13062" max="13310" width="11.421875" style="3" customWidth="1"/>
    <col min="13311" max="13311" width="3.28125" style="3" customWidth="1"/>
    <col min="13312" max="13312" width="19.00390625" style="3" customWidth="1"/>
    <col min="13313" max="13313" width="22.00390625" style="3" customWidth="1"/>
    <col min="13314" max="13314" width="19.8515625" style="3" customWidth="1"/>
    <col min="13315" max="13315" width="15.7109375" style="3" customWidth="1"/>
    <col min="13316" max="13316" width="24.140625" style="3" customWidth="1"/>
    <col min="13317" max="13317" width="8.421875" style="3" customWidth="1"/>
    <col min="13318" max="13566" width="11.421875" style="3" customWidth="1"/>
    <col min="13567" max="13567" width="3.28125" style="3" customWidth="1"/>
    <col min="13568" max="13568" width="19.00390625" style="3" customWidth="1"/>
    <col min="13569" max="13569" width="22.00390625" style="3" customWidth="1"/>
    <col min="13570" max="13570" width="19.8515625" style="3" customWidth="1"/>
    <col min="13571" max="13571" width="15.7109375" style="3" customWidth="1"/>
    <col min="13572" max="13572" width="24.140625" style="3" customWidth="1"/>
    <col min="13573" max="13573" width="8.421875" style="3" customWidth="1"/>
    <col min="13574" max="13822" width="11.421875" style="3" customWidth="1"/>
    <col min="13823" max="13823" width="3.28125" style="3" customWidth="1"/>
    <col min="13824" max="13824" width="19.00390625" style="3" customWidth="1"/>
    <col min="13825" max="13825" width="22.00390625" style="3" customWidth="1"/>
    <col min="13826" max="13826" width="19.8515625" style="3" customWidth="1"/>
    <col min="13827" max="13827" width="15.7109375" style="3" customWidth="1"/>
    <col min="13828" max="13828" width="24.140625" style="3" customWidth="1"/>
    <col min="13829" max="13829" width="8.421875" style="3" customWidth="1"/>
    <col min="13830" max="14078" width="11.421875" style="3" customWidth="1"/>
    <col min="14079" max="14079" width="3.28125" style="3" customWidth="1"/>
    <col min="14080" max="14080" width="19.00390625" style="3" customWidth="1"/>
    <col min="14081" max="14081" width="22.00390625" style="3" customWidth="1"/>
    <col min="14082" max="14082" width="19.8515625" style="3" customWidth="1"/>
    <col min="14083" max="14083" width="15.7109375" style="3" customWidth="1"/>
    <col min="14084" max="14084" width="24.140625" style="3" customWidth="1"/>
    <col min="14085" max="14085" width="8.421875" style="3" customWidth="1"/>
    <col min="14086" max="14334" width="11.421875" style="3" customWidth="1"/>
    <col min="14335" max="14335" width="3.28125" style="3" customWidth="1"/>
    <col min="14336" max="14336" width="19.00390625" style="3" customWidth="1"/>
    <col min="14337" max="14337" width="22.00390625" style="3" customWidth="1"/>
    <col min="14338" max="14338" width="19.8515625" style="3" customWidth="1"/>
    <col min="14339" max="14339" width="15.7109375" style="3" customWidth="1"/>
    <col min="14340" max="14340" width="24.140625" style="3" customWidth="1"/>
    <col min="14341" max="14341" width="8.421875" style="3" customWidth="1"/>
    <col min="14342" max="14590" width="11.421875" style="3" customWidth="1"/>
    <col min="14591" max="14591" width="3.28125" style="3" customWidth="1"/>
    <col min="14592" max="14592" width="19.00390625" style="3" customWidth="1"/>
    <col min="14593" max="14593" width="22.00390625" style="3" customWidth="1"/>
    <col min="14594" max="14594" width="19.8515625" style="3" customWidth="1"/>
    <col min="14595" max="14595" width="15.7109375" style="3" customWidth="1"/>
    <col min="14596" max="14596" width="24.140625" style="3" customWidth="1"/>
    <col min="14597" max="14597" width="8.421875" style="3" customWidth="1"/>
    <col min="14598" max="14846" width="11.421875" style="3" customWidth="1"/>
    <col min="14847" max="14847" width="3.28125" style="3" customWidth="1"/>
    <col min="14848" max="14848" width="19.00390625" style="3" customWidth="1"/>
    <col min="14849" max="14849" width="22.00390625" style="3" customWidth="1"/>
    <col min="14850" max="14850" width="19.8515625" style="3" customWidth="1"/>
    <col min="14851" max="14851" width="15.7109375" style="3" customWidth="1"/>
    <col min="14852" max="14852" width="24.140625" style="3" customWidth="1"/>
    <col min="14853" max="14853" width="8.421875" style="3" customWidth="1"/>
    <col min="14854" max="15102" width="11.421875" style="3" customWidth="1"/>
    <col min="15103" max="15103" width="3.28125" style="3" customWidth="1"/>
    <col min="15104" max="15104" width="19.00390625" style="3" customWidth="1"/>
    <col min="15105" max="15105" width="22.00390625" style="3" customWidth="1"/>
    <col min="15106" max="15106" width="19.8515625" style="3" customWidth="1"/>
    <col min="15107" max="15107" width="15.7109375" style="3" customWidth="1"/>
    <col min="15108" max="15108" width="24.140625" style="3" customWidth="1"/>
    <col min="15109" max="15109" width="8.421875" style="3" customWidth="1"/>
    <col min="15110" max="15358" width="11.421875" style="3" customWidth="1"/>
    <col min="15359" max="15359" width="3.28125" style="3" customWidth="1"/>
    <col min="15360" max="15360" width="19.00390625" style="3" customWidth="1"/>
    <col min="15361" max="15361" width="22.00390625" style="3" customWidth="1"/>
    <col min="15362" max="15362" width="19.8515625" style="3" customWidth="1"/>
    <col min="15363" max="15363" width="15.7109375" style="3" customWidth="1"/>
    <col min="15364" max="15364" width="24.140625" style="3" customWidth="1"/>
    <col min="15365" max="15365" width="8.421875" style="3" customWidth="1"/>
    <col min="15366" max="15614" width="11.421875" style="3" customWidth="1"/>
    <col min="15615" max="15615" width="3.28125" style="3" customWidth="1"/>
    <col min="15616" max="15616" width="19.00390625" style="3" customWidth="1"/>
    <col min="15617" max="15617" width="22.00390625" style="3" customWidth="1"/>
    <col min="15618" max="15618" width="19.8515625" style="3" customWidth="1"/>
    <col min="15619" max="15619" width="15.7109375" style="3" customWidth="1"/>
    <col min="15620" max="15620" width="24.140625" style="3" customWidth="1"/>
    <col min="15621" max="15621" width="8.421875" style="3" customWidth="1"/>
    <col min="15622" max="15870" width="11.421875" style="3" customWidth="1"/>
    <col min="15871" max="15871" width="3.28125" style="3" customWidth="1"/>
    <col min="15872" max="15872" width="19.00390625" style="3" customWidth="1"/>
    <col min="15873" max="15873" width="22.00390625" style="3" customWidth="1"/>
    <col min="15874" max="15874" width="19.8515625" style="3" customWidth="1"/>
    <col min="15875" max="15875" width="15.7109375" style="3" customWidth="1"/>
    <col min="15876" max="15876" width="24.140625" style="3" customWidth="1"/>
    <col min="15877" max="15877" width="8.421875" style="3" customWidth="1"/>
    <col min="15878" max="16126" width="11.421875" style="3" customWidth="1"/>
    <col min="16127" max="16127" width="3.28125" style="3" customWidth="1"/>
    <col min="16128" max="16128" width="19.00390625" style="3" customWidth="1"/>
    <col min="16129" max="16129" width="22.00390625" style="3" customWidth="1"/>
    <col min="16130" max="16130" width="19.8515625" style="3" customWidth="1"/>
    <col min="16131" max="16131" width="15.7109375" style="3" customWidth="1"/>
    <col min="16132" max="16132" width="24.140625" style="3" customWidth="1"/>
    <col min="16133" max="16133" width="8.421875" style="3" customWidth="1"/>
    <col min="16134" max="16384" width="11.421875" style="3" customWidth="1"/>
  </cols>
  <sheetData>
    <row r="1" spans="1:23" ht="12.75">
      <c r="A1" s="113"/>
      <c r="B1" s="113"/>
      <c r="C1" s="113"/>
      <c r="D1" s="113"/>
      <c r="E1" s="113"/>
      <c r="F1" s="113"/>
      <c r="G1" s="113"/>
      <c r="H1" s="113"/>
      <c r="I1" s="113"/>
      <c r="J1" s="113"/>
      <c r="K1" s="53"/>
      <c r="L1" s="113"/>
      <c r="M1" s="113"/>
      <c r="N1" s="113"/>
      <c r="O1" s="113"/>
      <c r="P1" s="113"/>
      <c r="Q1" s="113"/>
      <c r="R1" s="113"/>
      <c r="S1" s="113"/>
      <c r="T1" s="113"/>
      <c r="U1" s="113"/>
      <c r="V1" s="113"/>
      <c r="W1" s="113"/>
    </row>
    <row r="2" spans="1:42" ht="17.45" customHeight="1">
      <c r="A2" s="113"/>
      <c r="B2" s="302" t="s">
        <v>1087</v>
      </c>
      <c r="C2" s="302"/>
      <c r="D2" s="302"/>
      <c r="E2" s="302"/>
      <c r="F2" s="302"/>
      <c r="G2" s="302"/>
      <c r="H2" s="302"/>
      <c r="I2" s="302"/>
      <c r="J2" s="302"/>
      <c r="K2" s="53"/>
      <c r="L2" t="s">
        <v>695</v>
      </c>
      <c r="M2" s="53"/>
      <c r="N2" s="53"/>
      <c r="O2" s="53"/>
      <c r="P2" s="113"/>
      <c r="Q2" s="113"/>
      <c r="R2" s="113"/>
      <c r="S2" s="113"/>
      <c r="T2" s="113"/>
      <c r="U2" s="113"/>
      <c r="V2" s="113"/>
      <c r="W2" s="113"/>
      <c r="X2" s="53"/>
      <c r="Y2" s="53"/>
      <c r="Z2" s="53"/>
      <c r="AA2" s="53"/>
      <c r="AB2" s="53"/>
      <c r="AC2" s="53"/>
      <c r="AD2" s="53"/>
      <c r="AE2" s="53"/>
      <c r="AF2" s="53"/>
      <c r="AG2" s="53"/>
      <c r="AH2" s="53"/>
      <c r="AI2" s="53"/>
      <c r="AJ2" s="53"/>
      <c r="AK2" s="53"/>
      <c r="AL2" s="53"/>
      <c r="AM2" s="53"/>
      <c r="AN2" s="53"/>
      <c r="AO2" s="53"/>
      <c r="AP2" s="53"/>
    </row>
    <row r="3" spans="1:23" ht="12.75">
      <c r="A3" s="113"/>
      <c r="B3" s="113"/>
      <c r="C3" s="113"/>
      <c r="D3" s="113"/>
      <c r="E3" s="113"/>
      <c r="F3" s="113"/>
      <c r="G3" s="113"/>
      <c r="H3" s="113"/>
      <c r="I3" s="113"/>
      <c r="J3" s="113"/>
      <c r="K3" s="113"/>
      <c r="P3" s="113"/>
      <c r="Q3" s="113"/>
      <c r="R3" s="113"/>
      <c r="S3" s="113"/>
      <c r="T3" s="113"/>
      <c r="U3" s="113"/>
      <c r="V3" s="113"/>
      <c r="W3" s="113"/>
    </row>
    <row r="4" spans="1:23" ht="15">
      <c r="A4" s="113"/>
      <c r="B4" s="303" t="s">
        <v>1092</v>
      </c>
      <c r="C4" s="303"/>
      <c r="D4" s="303"/>
      <c r="E4" s="303"/>
      <c r="F4" s="303"/>
      <c r="G4" s="303"/>
      <c r="H4" s="303"/>
      <c r="I4" s="303"/>
      <c r="J4" s="303"/>
      <c r="K4" s="53"/>
      <c r="P4" s="113"/>
      <c r="Q4" s="113"/>
      <c r="R4" s="113"/>
      <c r="S4" s="113"/>
      <c r="T4" s="113"/>
      <c r="U4" s="113"/>
      <c r="V4" s="113"/>
      <c r="W4" s="113"/>
    </row>
    <row r="5" spans="1:23" ht="12.75">
      <c r="A5" s="113"/>
      <c r="B5" s="113"/>
      <c r="C5" s="113"/>
      <c r="D5" s="113"/>
      <c r="E5" s="53"/>
      <c r="F5" s="53"/>
      <c r="G5" s="53"/>
      <c r="H5" s="53"/>
      <c r="I5" s="53"/>
      <c r="J5" s="53"/>
      <c r="K5" s="53"/>
      <c r="P5" s="113"/>
      <c r="Q5" s="113"/>
      <c r="R5" s="113"/>
      <c r="S5" s="113"/>
      <c r="T5" s="113"/>
      <c r="U5" s="113"/>
      <c r="V5" s="113"/>
      <c r="W5" s="113"/>
    </row>
    <row r="6" spans="1:23" s="1" customFormat="1" ht="25.5">
      <c r="A6" s="113"/>
      <c r="B6" s="308" t="s">
        <v>35</v>
      </c>
      <c r="C6" s="308" t="s">
        <v>249</v>
      </c>
      <c r="D6" s="308" t="s">
        <v>1143</v>
      </c>
      <c r="E6" s="53"/>
      <c r="F6" s="53"/>
      <c r="G6" s="53"/>
      <c r="H6" s="53"/>
      <c r="I6" s="53"/>
      <c r="J6" s="53"/>
      <c r="K6" s="53"/>
      <c r="L6" s="53"/>
      <c r="M6" s="53"/>
      <c r="N6" s="53"/>
      <c r="P6" s="113"/>
      <c r="Q6" s="113"/>
      <c r="R6" s="113"/>
      <c r="S6" s="113"/>
      <c r="T6" s="113"/>
      <c r="U6" s="113"/>
      <c r="V6" s="113"/>
      <c r="W6" s="113"/>
    </row>
    <row r="7" spans="1:23" s="1" customFormat="1" ht="15">
      <c r="A7" s="113"/>
      <c r="B7" s="97" t="s">
        <v>142</v>
      </c>
      <c r="C7" s="481">
        <f>SUM(C8,C18,C22,C28)</f>
        <v>414401.3</v>
      </c>
      <c r="D7" s="421">
        <f>SUM(D8,D18,D22,D28)</f>
        <v>0.9999999999999999</v>
      </c>
      <c r="E7" s="53"/>
      <c r="F7" s="53"/>
      <c r="G7" s="53"/>
      <c r="H7" s="53"/>
      <c r="I7" s="53"/>
      <c r="J7" s="53"/>
      <c r="K7" s="53"/>
      <c r="L7" s="53"/>
      <c r="M7" s="53"/>
      <c r="N7" s="53"/>
      <c r="P7" s="113"/>
      <c r="Q7" s="113"/>
      <c r="R7" s="113"/>
      <c r="S7" s="113"/>
      <c r="T7" s="113"/>
      <c r="U7" s="113"/>
      <c r="V7" s="113"/>
      <c r="W7" s="113"/>
    </row>
    <row r="8" spans="1:23" s="1" customFormat="1" ht="15">
      <c r="A8" s="113"/>
      <c r="B8" s="380" t="s">
        <v>1088</v>
      </c>
      <c r="C8" s="482">
        <f>SUM(C9:C17)</f>
        <v>187205.65</v>
      </c>
      <c r="D8" s="420">
        <f>'IP 3C7'!C8/'IP 3C7'!$C$7</f>
        <v>0.45174966873897354</v>
      </c>
      <c r="E8" s="53"/>
      <c r="F8" s="53"/>
      <c r="G8" s="53"/>
      <c r="H8" s="53"/>
      <c r="I8" s="53"/>
      <c r="J8" s="53"/>
      <c r="K8" s="53"/>
      <c r="L8" s="53"/>
      <c r="M8" s="53"/>
      <c r="N8" s="53"/>
      <c r="P8" s="113"/>
      <c r="Q8" s="113"/>
      <c r="R8" s="113"/>
      <c r="S8" s="113"/>
      <c r="T8" s="113"/>
      <c r="U8" s="113"/>
      <c r="V8" s="113"/>
      <c r="W8" s="113"/>
    </row>
    <row r="9" spans="1:23" s="1" customFormat="1" ht="15">
      <c r="A9" s="113"/>
      <c r="B9" s="81" t="s">
        <v>43</v>
      </c>
      <c r="C9" s="469">
        <f>'IB 3C7'!C12</f>
        <v>52156</v>
      </c>
      <c r="D9" s="1319"/>
      <c r="E9" s="53"/>
      <c r="F9" s="53"/>
      <c r="G9" s="53"/>
      <c r="H9" s="53"/>
      <c r="I9" s="53"/>
      <c r="J9" s="53"/>
      <c r="K9" s="53"/>
      <c r="L9" s="53"/>
      <c r="M9" s="53"/>
      <c r="N9" s="53"/>
      <c r="P9" s="113"/>
      <c r="Q9" s="113"/>
      <c r="R9" s="113"/>
      <c r="S9" s="113"/>
      <c r="T9" s="113"/>
      <c r="U9" s="113"/>
      <c r="V9" s="113"/>
      <c r="W9" s="113"/>
    </row>
    <row r="10" spans="1:23" s="1" customFormat="1" ht="15">
      <c r="A10" s="113"/>
      <c r="B10" s="81" t="s">
        <v>46</v>
      </c>
      <c r="C10" s="469">
        <f>'IB 3C7'!C16</f>
        <v>32</v>
      </c>
      <c r="D10" s="1319"/>
      <c r="E10" s="53"/>
      <c r="F10" s="53"/>
      <c r="G10" s="53"/>
      <c r="H10" s="53"/>
      <c r="I10" s="53"/>
      <c r="J10" s="53"/>
      <c r="K10" s="53"/>
      <c r="L10" s="53"/>
      <c r="M10" s="53"/>
      <c r="N10" s="53"/>
      <c r="P10" s="113"/>
      <c r="Q10" s="113"/>
      <c r="R10" s="113"/>
      <c r="S10" s="113"/>
      <c r="T10" s="113"/>
      <c r="U10" s="113"/>
      <c r="V10" s="113"/>
      <c r="W10" s="113"/>
    </row>
    <row r="11" spans="1:23" s="1" customFormat="1" ht="15">
      <c r="A11" s="113"/>
      <c r="B11" s="81" t="s">
        <v>47</v>
      </c>
      <c r="C11" s="469">
        <f>'IB 3C7'!C17</f>
        <v>22944</v>
      </c>
      <c r="D11" s="1319"/>
      <c r="E11" s="53"/>
      <c r="F11" s="53"/>
      <c r="G11" s="53"/>
      <c r="H11" s="53"/>
      <c r="I11" s="53"/>
      <c r="J11" s="53"/>
      <c r="K11" s="53"/>
      <c r="L11" s="53"/>
      <c r="M11" s="53"/>
      <c r="N11" s="53"/>
      <c r="P11" s="113"/>
      <c r="Q11" s="113"/>
      <c r="R11" s="113"/>
      <c r="S11" s="113"/>
      <c r="T11" s="113"/>
      <c r="U11" s="113"/>
      <c r="V11" s="113"/>
      <c r="W11" s="113"/>
    </row>
    <row r="12" spans="1:14" s="1" customFormat="1" ht="15">
      <c r="A12" s="113"/>
      <c r="B12" s="81" t="s">
        <v>48</v>
      </c>
      <c r="C12" s="469">
        <f>'IB 3C7'!C18</f>
        <v>1029</v>
      </c>
      <c r="D12" s="1319"/>
      <c r="E12" s="53"/>
      <c r="F12" s="53"/>
      <c r="G12" s="53"/>
      <c r="H12" s="53"/>
      <c r="I12" s="53"/>
      <c r="J12" s="53"/>
      <c r="K12" s="53"/>
      <c r="L12" s="53"/>
      <c r="M12" s="53"/>
      <c r="N12" s="53"/>
    </row>
    <row r="13" spans="1:14" s="1" customFormat="1" ht="15">
      <c r="A13" s="113"/>
      <c r="B13" s="81" t="s">
        <v>50</v>
      </c>
      <c r="C13" s="469">
        <f>'IB 3C7'!C20</f>
        <v>7518.5</v>
      </c>
      <c r="D13" s="1319"/>
      <c r="E13" s="53"/>
      <c r="F13" s="53"/>
      <c r="G13" s="53"/>
      <c r="H13" s="53"/>
      <c r="I13" s="53"/>
      <c r="J13" s="53"/>
      <c r="K13" s="53"/>
      <c r="L13" s="53"/>
      <c r="M13" s="53"/>
      <c r="N13" s="53"/>
    </row>
    <row r="14" spans="1:14" s="1" customFormat="1" ht="15">
      <c r="A14" s="113"/>
      <c r="B14" s="81" t="s">
        <v>52</v>
      </c>
      <c r="C14" s="469">
        <f>'IB 3C7'!C22</f>
        <v>663.15</v>
      </c>
      <c r="D14" s="1319"/>
      <c r="E14" s="53"/>
      <c r="F14" s="53"/>
      <c r="G14" s="53"/>
      <c r="H14" s="53"/>
      <c r="I14" s="53"/>
      <c r="J14" s="53"/>
      <c r="K14" s="53"/>
      <c r="L14" s="53"/>
      <c r="M14" s="53"/>
      <c r="N14" s="53"/>
    </row>
    <row r="15" spans="1:14" s="1" customFormat="1" ht="15">
      <c r="A15" s="113"/>
      <c r="B15" s="81" t="s">
        <v>59</v>
      </c>
      <c r="C15" s="469">
        <f>'IB 3C7'!C29</f>
        <v>1261</v>
      </c>
      <c r="D15" s="1319"/>
      <c r="E15" s="53"/>
      <c r="F15" s="53"/>
      <c r="G15" s="53"/>
      <c r="H15" s="53"/>
      <c r="I15" s="53"/>
      <c r="J15" s="53"/>
      <c r="K15" s="53"/>
      <c r="L15" s="53"/>
      <c r="M15" s="53"/>
      <c r="N15" s="53"/>
    </row>
    <row r="16" spans="1:14" s="1" customFormat="1" ht="15">
      <c r="A16" s="113"/>
      <c r="B16" s="81" t="s">
        <v>61</v>
      </c>
      <c r="C16" s="469">
        <f>'IB 3C7'!C31</f>
        <v>114</v>
      </c>
      <c r="D16" s="1319"/>
      <c r="E16" s="53"/>
      <c r="F16" s="53"/>
      <c r="G16" s="53"/>
      <c r="H16" s="53"/>
      <c r="I16" s="53"/>
      <c r="J16" s="53"/>
      <c r="K16" s="53"/>
      <c r="L16" s="53"/>
      <c r="M16" s="53"/>
      <c r="N16" s="53"/>
    </row>
    <row r="17" spans="1:14" s="1" customFormat="1" ht="15">
      <c r="A17" s="113"/>
      <c r="B17" s="81" t="s">
        <v>62</v>
      </c>
      <c r="C17" s="469">
        <f>'IB 3C7'!C32</f>
        <v>101488</v>
      </c>
      <c r="D17" s="1319"/>
      <c r="E17" s="53"/>
      <c r="F17" s="53"/>
      <c r="G17" s="53"/>
      <c r="H17" s="53"/>
      <c r="I17" s="53"/>
      <c r="J17" s="53"/>
      <c r="K17" s="53"/>
      <c r="L17" s="53"/>
      <c r="M17" s="53"/>
      <c r="N17" s="53"/>
    </row>
    <row r="18" spans="1:14" s="1" customFormat="1" ht="15">
      <c r="A18" s="113"/>
      <c r="B18" s="380" t="s">
        <v>1089</v>
      </c>
      <c r="C18" s="482">
        <f>SUM(C19:C21)</f>
        <v>57539.5</v>
      </c>
      <c r="D18" s="420">
        <f>'IP 3C7'!C18/'IP 3C7'!$C$7</f>
        <v>0.13884970920699333</v>
      </c>
      <c r="E18" s="53"/>
      <c r="F18" s="53"/>
      <c r="G18" s="53"/>
      <c r="H18" s="53"/>
      <c r="I18" s="53"/>
      <c r="J18" s="53"/>
      <c r="K18" s="53"/>
      <c r="L18" s="53"/>
      <c r="M18" s="53"/>
      <c r="N18" s="53"/>
    </row>
    <row r="19" spans="1:14" s="1" customFormat="1" ht="15">
      <c r="A19" s="113"/>
      <c r="B19" s="81" t="s">
        <v>56</v>
      </c>
      <c r="C19" s="469">
        <f>'IB 3C7'!C26</f>
        <v>35542</v>
      </c>
      <c r="D19" s="1318"/>
      <c r="E19" s="53"/>
      <c r="F19" s="53"/>
      <c r="G19" s="53"/>
      <c r="H19" s="53"/>
      <c r="I19" s="53"/>
      <c r="J19" s="53"/>
      <c r="K19" s="53"/>
      <c r="L19" s="53"/>
      <c r="M19" s="53"/>
      <c r="N19" s="53"/>
    </row>
    <row r="20" spans="1:14" s="1" customFormat="1" ht="15">
      <c r="A20" s="113"/>
      <c r="B20" s="81" t="s">
        <v>57</v>
      </c>
      <c r="C20" s="469">
        <f>'IB 3C7'!C27</f>
        <v>2277.5</v>
      </c>
      <c r="D20" s="1318"/>
      <c r="E20" s="53"/>
      <c r="F20" s="53"/>
      <c r="G20" s="53"/>
      <c r="H20" s="53"/>
      <c r="I20" s="53"/>
      <c r="J20" s="53"/>
      <c r="K20" s="53"/>
      <c r="L20" s="53"/>
      <c r="M20" s="53"/>
      <c r="N20" s="53"/>
    </row>
    <row r="21" spans="1:14" s="1" customFormat="1" ht="15">
      <c r="A21" s="113"/>
      <c r="B21" s="81" t="s">
        <v>65</v>
      </c>
      <c r="C21" s="469">
        <f>'IB 3C7'!C35</f>
        <v>19720</v>
      </c>
      <c r="D21" s="1318"/>
      <c r="E21" s="53"/>
      <c r="F21" s="53"/>
      <c r="G21" s="53"/>
      <c r="H21" s="53"/>
      <c r="I21" s="53"/>
      <c r="J21" s="53"/>
      <c r="K21" s="53"/>
      <c r="L21" s="53"/>
      <c r="M21" s="53"/>
      <c r="N21" s="53"/>
    </row>
    <row r="22" spans="1:14" s="1" customFormat="1" ht="15">
      <c r="A22" s="113"/>
      <c r="B22" s="380" t="s">
        <v>1090</v>
      </c>
      <c r="C22" s="482">
        <f>SUM(C23:C27)</f>
        <v>149509.15</v>
      </c>
      <c r="D22" s="422">
        <f>'IP 3C7'!C22/'IP 3C7'!$C$7</f>
        <v>0.36078349657686887</v>
      </c>
      <c r="E22" s="53"/>
      <c r="F22" s="53"/>
      <c r="G22" s="53"/>
      <c r="H22" s="53"/>
      <c r="I22" s="53"/>
      <c r="J22" s="53"/>
      <c r="K22" s="53"/>
      <c r="L22" s="53"/>
      <c r="M22" s="53"/>
      <c r="N22" s="53"/>
    </row>
    <row r="23" spans="1:14" s="1" customFormat="1" ht="15">
      <c r="A23" s="113"/>
      <c r="B23" s="81" t="s">
        <v>223</v>
      </c>
      <c r="C23" s="469">
        <f>'IB 3C7'!C13</f>
        <v>5520</v>
      </c>
      <c r="D23" s="1318"/>
      <c r="E23" s="53"/>
      <c r="F23" s="53"/>
      <c r="G23" s="53"/>
      <c r="H23" s="53"/>
      <c r="I23" s="53"/>
      <c r="J23" s="53"/>
      <c r="K23" s="53"/>
      <c r="L23" s="53"/>
      <c r="M23" s="53"/>
      <c r="N23" s="53"/>
    </row>
    <row r="24" spans="1:14" s="1" customFormat="1" ht="15">
      <c r="A24" s="113"/>
      <c r="B24" s="81" t="s">
        <v>53</v>
      </c>
      <c r="C24" s="469">
        <f>'IB 3C7'!C23</f>
        <v>32621.5</v>
      </c>
      <c r="D24" s="1318"/>
      <c r="E24" s="53"/>
      <c r="F24" s="53"/>
      <c r="G24" s="53"/>
      <c r="H24" s="53"/>
      <c r="I24" s="53"/>
      <c r="J24" s="53"/>
      <c r="K24" s="53"/>
      <c r="L24" s="53"/>
      <c r="M24" s="53"/>
      <c r="N24" s="53"/>
    </row>
    <row r="25" spans="1:14" s="1" customFormat="1" ht="15">
      <c r="A25" s="113"/>
      <c r="B25" s="81" t="s">
        <v>54</v>
      </c>
      <c r="C25" s="469">
        <f>'IB 3C7'!C24</f>
        <v>47936</v>
      </c>
      <c r="D25" s="1318"/>
      <c r="E25" s="53"/>
      <c r="F25" s="53"/>
      <c r="G25" s="53"/>
      <c r="H25" s="53"/>
      <c r="I25" s="53"/>
      <c r="J25" s="53"/>
      <c r="K25" s="53"/>
      <c r="L25" s="53"/>
      <c r="M25" s="53"/>
      <c r="N25" s="53"/>
    </row>
    <row r="26" spans="1:14" s="1" customFormat="1" ht="15">
      <c r="A26" s="113"/>
      <c r="B26" s="81" t="s">
        <v>60</v>
      </c>
      <c r="C26" s="469">
        <f>'IB 3C7'!C30</f>
        <v>49199</v>
      </c>
      <c r="D26" s="1318"/>
      <c r="E26" s="53"/>
      <c r="F26" s="53"/>
      <c r="G26" s="53"/>
      <c r="H26" s="53"/>
      <c r="I26" s="53"/>
      <c r="J26" s="53"/>
      <c r="K26" s="53"/>
      <c r="L26" s="53"/>
      <c r="M26" s="53"/>
      <c r="N26" s="53"/>
    </row>
    <row r="27" spans="1:14" s="1" customFormat="1" ht="15">
      <c r="A27" s="113"/>
      <c r="B27" s="81" t="s">
        <v>64</v>
      </c>
      <c r="C27" s="469">
        <f>'IB 3C7'!C34</f>
        <v>14232.65</v>
      </c>
      <c r="D27" s="1318"/>
      <c r="E27" s="53"/>
      <c r="F27" s="53"/>
      <c r="G27" s="53"/>
      <c r="H27" s="53"/>
      <c r="I27" s="53"/>
      <c r="J27" s="53"/>
      <c r="K27" s="53"/>
      <c r="L27" s="53"/>
      <c r="M27" s="53"/>
      <c r="N27" s="53"/>
    </row>
    <row r="28" spans="1:14" s="1" customFormat="1" ht="15">
      <c r="A28" s="113"/>
      <c r="B28" s="380" t="s">
        <v>1091</v>
      </c>
      <c r="C28" s="482">
        <f>SUM(C29)</f>
        <v>20147</v>
      </c>
      <c r="D28" s="422">
        <f>'IP 3C7'!C28/'IP 3C7'!$C$7</f>
        <v>0.048617125477164284</v>
      </c>
      <c r="E28" s="53"/>
      <c r="F28" s="53"/>
      <c r="G28" s="53"/>
      <c r="H28" s="53"/>
      <c r="I28" s="53"/>
      <c r="J28" s="53"/>
      <c r="K28" s="53"/>
      <c r="L28" s="53"/>
      <c r="M28" s="53"/>
      <c r="N28" s="53"/>
    </row>
    <row r="29" spans="1:14" s="1" customFormat="1" ht="15">
      <c r="A29" s="113"/>
      <c r="B29" s="81" t="s">
        <v>45</v>
      </c>
      <c r="C29" s="469">
        <f>'IB 3C7'!C15</f>
        <v>20147</v>
      </c>
      <c r="D29" s="117"/>
      <c r="E29" s="53"/>
      <c r="F29" s="53"/>
      <c r="G29" s="53"/>
      <c r="H29" s="53"/>
      <c r="I29" s="53"/>
      <c r="J29" s="53"/>
      <c r="K29" s="53"/>
      <c r="L29" s="53"/>
      <c r="M29" s="53"/>
      <c r="N29" s="53"/>
    </row>
    <row r="30" spans="1:14" s="1" customFormat="1" ht="25.5">
      <c r="A30" s="113"/>
      <c r="B30" s="380" t="s">
        <v>1097</v>
      </c>
      <c r="C30" s="483">
        <f>SUM(C31:C36)</f>
        <v>0</v>
      </c>
      <c r="D30" s="423">
        <f>'IP 3C7'!C30/'IP 3C7'!$C$7</f>
        <v>0</v>
      </c>
      <c r="E30" s="53"/>
      <c r="F30" s="53"/>
      <c r="G30" s="53"/>
      <c r="H30" s="53"/>
      <c r="I30" s="53"/>
      <c r="J30" s="53"/>
      <c r="K30" s="53"/>
      <c r="L30" s="53"/>
      <c r="M30" s="53"/>
      <c r="N30" s="53"/>
    </row>
    <row r="31" spans="1:14" s="1" customFormat="1" ht="15">
      <c r="A31" s="113"/>
      <c r="B31" s="81" t="s">
        <v>44</v>
      </c>
      <c r="C31" s="469">
        <f>'IB 3C7'!C14</f>
        <v>0</v>
      </c>
      <c r="D31" s="1318"/>
      <c r="E31" s="53"/>
      <c r="F31" s="53"/>
      <c r="G31" s="53"/>
      <c r="H31" s="53"/>
      <c r="I31" s="53"/>
      <c r="J31" s="53"/>
      <c r="K31" s="53"/>
      <c r="L31" s="53"/>
      <c r="M31" s="53"/>
      <c r="N31" s="53"/>
    </row>
    <row r="32" spans="1:14" s="1" customFormat="1" ht="15">
      <c r="A32" s="113"/>
      <c r="B32" s="81" t="s">
        <v>49</v>
      </c>
      <c r="C32" s="469">
        <f>'IB 3C7'!C19</f>
        <v>0</v>
      </c>
      <c r="D32" s="1318"/>
      <c r="E32" s="53"/>
      <c r="F32" s="53"/>
      <c r="G32" s="53"/>
      <c r="H32" s="53"/>
      <c r="I32" s="53"/>
      <c r="J32" s="53"/>
      <c r="K32" s="53"/>
      <c r="L32" s="53"/>
      <c r="M32" s="53"/>
      <c r="N32" s="53"/>
    </row>
    <row r="33" spans="1:14" s="1" customFormat="1" ht="15">
      <c r="A33" s="113"/>
      <c r="B33" s="81" t="s">
        <v>51</v>
      </c>
      <c r="C33" s="469">
        <f>'IB 3C7'!C21</f>
        <v>0</v>
      </c>
      <c r="D33" s="1318"/>
      <c r="E33" s="53"/>
      <c r="F33" s="53"/>
      <c r="G33" s="53"/>
      <c r="H33" s="53"/>
      <c r="I33" s="53"/>
      <c r="J33" s="53"/>
      <c r="K33" s="53"/>
      <c r="L33" s="53"/>
      <c r="M33" s="53"/>
      <c r="N33" s="53"/>
    </row>
    <row r="34" spans="1:14" s="1" customFormat="1" ht="15">
      <c r="A34" s="113"/>
      <c r="B34" s="81" t="s">
        <v>55</v>
      </c>
      <c r="C34" s="469">
        <f>'IB 3C7'!C25</f>
        <v>0</v>
      </c>
      <c r="D34" s="1318"/>
      <c r="E34" s="53"/>
      <c r="F34" s="53"/>
      <c r="G34" s="53"/>
      <c r="H34" s="53"/>
      <c r="I34" s="53"/>
      <c r="J34" s="53"/>
      <c r="K34" s="53"/>
      <c r="L34" s="53"/>
      <c r="M34" s="53"/>
      <c r="N34" s="53"/>
    </row>
    <row r="35" spans="1:20" s="1" customFormat="1" ht="15">
      <c r="A35" s="113"/>
      <c r="B35" s="81" t="s">
        <v>58</v>
      </c>
      <c r="C35" s="469">
        <f>'IB 3C7'!C28</f>
        <v>0</v>
      </c>
      <c r="D35" s="1318"/>
      <c r="E35" s="53"/>
      <c r="F35" s="53"/>
      <c r="G35" s="53"/>
      <c r="H35" s="53"/>
      <c r="I35" s="53"/>
      <c r="J35" s="53"/>
      <c r="K35" s="53"/>
      <c r="L35" s="53"/>
      <c r="M35" s="53"/>
      <c r="N35" s="53"/>
      <c r="O35" s="53"/>
      <c r="P35" s="53"/>
      <c r="Q35" s="53"/>
      <c r="R35" s="53"/>
      <c r="S35" s="53"/>
      <c r="T35" s="53"/>
    </row>
    <row r="36" spans="1:20" s="1" customFormat="1" ht="15">
      <c r="A36" s="113"/>
      <c r="B36" s="81" t="s">
        <v>63</v>
      </c>
      <c r="C36" s="469">
        <f>'IB 3C7'!C33</f>
        <v>0</v>
      </c>
      <c r="D36" s="1318"/>
      <c r="E36" s="53"/>
      <c r="F36" s="53"/>
      <c r="G36" s="53"/>
      <c r="H36" s="53"/>
      <c r="I36" s="53"/>
      <c r="J36" s="53"/>
      <c r="K36" s="53"/>
      <c r="L36" s="53"/>
      <c r="M36" s="53"/>
      <c r="N36" s="53"/>
      <c r="O36" s="53"/>
      <c r="P36" s="53"/>
      <c r="Q36" s="53"/>
      <c r="R36" s="53"/>
      <c r="S36" s="53"/>
      <c r="T36" s="53"/>
    </row>
    <row r="37" spans="1:20" s="1" customFormat="1" ht="15">
      <c r="A37" s="113"/>
      <c r="B37" s="213"/>
      <c r="C37" s="84"/>
      <c r="D37" s="53"/>
      <c r="E37" s="53"/>
      <c r="F37" s="53"/>
      <c r="G37" s="53"/>
      <c r="H37" s="53"/>
      <c r="I37" s="53"/>
      <c r="J37" s="53"/>
      <c r="K37" s="53"/>
      <c r="L37" s="53"/>
      <c r="M37" s="53"/>
      <c r="N37" s="53"/>
      <c r="O37" s="53"/>
      <c r="P37" s="53"/>
      <c r="Q37" s="53"/>
      <c r="R37" s="53"/>
      <c r="S37" s="53"/>
      <c r="T37" s="53"/>
    </row>
    <row r="38" spans="1:10" ht="15">
      <c r="A38" s="113"/>
      <c r="B38" s="303" t="s">
        <v>299</v>
      </c>
      <c r="C38" s="303"/>
      <c r="D38" s="303"/>
      <c r="E38" s="303"/>
      <c r="F38" s="303"/>
      <c r="G38" s="303"/>
      <c r="H38" s="303"/>
      <c r="I38" s="303"/>
      <c r="J38" s="303"/>
    </row>
    <row r="39" spans="1:20" ht="15">
      <c r="A39" s="113"/>
      <c r="B39" s="113"/>
      <c r="C39" s="113"/>
      <c r="D39" s="113"/>
      <c r="E39" s="113"/>
      <c r="F39" s="113"/>
      <c r="G39" s="113"/>
      <c r="H39" s="53"/>
      <c r="I39" s="53"/>
      <c r="J39" s="53"/>
      <c r="K39" s="53"/>
      <c r="L39" s="53"/>
      <c r="M39" s="53"/>
      <c r="N39" s="53"/>
      <c r="O39" s="53"/>
      <c r="P39" s="53"/>
      <c r="Q39" s="53"/>
      <c r="R39" s="53"/>
      <c r="S39" s="53"/>
      <c r="T39" s="53"/>
    </row>
    <row r="40" spans="1:38" ht="38.25" customHeight="1">
      <c r="A40" s="113"/>
      <c r="B40" s="1320" t="s">
        <v>301</v>
      </c>
      <c r="C40" s="1308"/>
      <c r="D40" s="308" t="s">
        <v>1132</v>
      </c>
      <c r="E40" s="113"/>
      <c r="F40" s="113"/>
      <c r="G40" s="11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row>
    <row r="41" spans="1:38" ht="12.75" customHeight="1">
      <c r="A41" s="113"/>
      <c r="B41" s="1321" t="s">
        <v>302</v>
      </c>
      <c r="C41" s="1321"/>
      <c r="D41" s="114">
        <f>'IB 3C7'!E59*C$8+'IB 3C7'!F59*C$18+'IB 3C7'!G59*C$22+'IB 3C7'!H59*C$28</f>
        <v>0</v>
      </c>
      <c r="E41" s="113"/>
      <c r="F41" s="113"/>
      <c r="G41" s="11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row>
    <row r="42" spans="1:38" ht="12.75" customHeight="1">
      <c r="A42" s="113"/>
      <c r="B42" s="1280" t="s">
        <v>303</v>
      </c>
      <c r="C42" s="381" t="s">
        <v>304</v>
      </c>
      <c r="D42" s="114">
        <f>'IB 3C7'!E60*C$8+'IB 3C7'!F60*C$18+'IB 3C7'!G60*C$22+'IB 3C7'!H60*C$28</f>
        <v>173918.90350000001</v>
      </c>
      <c r="E42" s="113"/>
      <c r="F42" s="113"/>
      <c r="G42" s="11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row>
    <row r="43" spans="1:38" ht="15">
      <c r="A43" s="113"/>
      <c r="B43" s="1281"/>
      <c r="C43" s="73" t="s">
        <v>305</v>
      </c>
      <c r="D43" s="114">
        <f>'IB 3C7'!E61*C$8+'IB 3C7'!F61*C$18+'IB 3C7'!G61*C$22+'IB 3C7'!H61*C$28</f>
        <v>14844.20975</v>
      </c>
      <c r="E43" s="113"/>
      <c r="F43" s="113"/>
      <c r="G43" s="11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row>
    <row r="44" spans="1:38" ht="15">
      <c r="A44" s="113"/>
      <c r="B44" s="1282"/>
      <c r="C44" s="73" t="s">
        <v>306</v>
      </c>
      <c r="D44" s="114">
        <f>'IB 3C7'!E62*C$8+'IB 3C7'!F62*C$18+'IB 3C7'!G62*C$22+'IB 3C7'!H62*C$28</f>
        <v>224777.5515</v>
      </c>
      <c r="E44" s="113"/>
      <c r="F44" s="113"/>
      <c r="G44" s="11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row>
    <row r="45" spans="1:38" ht="12.75" customHeight="1">
      <c r="A45" s="113"/>
      <c r="B45" s="1280" t="s">
        <v>307</v>
      </c>
      <c r="C45" s="73" t="s">
        <v>308</v>
      </c>
      <c r="D45" s="114">
        <f>'IB 3C7'!E63*C$8+'IB 3C7'!F63*C$18+'IB 3C7'!G63*C$22+'IB 3C7'!H63*C$28</f>
        <v>1497.6452</v>
      </c>
      <c r="E45" s="113"/>
      <c r="F45" s="113"/>
      <c r="G45" s="11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row>
    <row r="46" spans="1:38" ht="15">
      <c r="A46" s="113"/>
      <c r="B46" s="1281"/>
      <c r="C46" s="73" t="s">
        <v>309</v>
      </c>
      <c r="D46" s="114">
        <f>'IB 3C7'!E64*C$8+'IB 3C7'!F64*C$18+'IB 3C7'!G64*C$22+'IB 3C7'!H64*C$28</f>
        <v>0</v>
      </c>
      <c r="E46" s="113"/>
      <c r="F46" s="113"/>
      <c r="G46" s="11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row>
    <row r="47" spans="1:38" ht="12.75" customHeight="1">
      <c r="A47" s="113"/>
      <c r="B47" s="1282"/>
      <c r="C47" s="381" t="s">
        <v>310</v>
      </c>
      <c r="D47" s="114">
        <f>'IB 3C7'!E65*C$8+'IB 3C7'!F65*C$18+'IB 3C7'!G65*C$22+'IB 3C7'!H65*C$28</f>
        <v>0</v>
      </c>
      <c r="E47" s="113"/>
      <c r="F47" s="113"/>
      <c r="G47" s="11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row>
    <row r="48" spans="1:38" ht="15">
      <c r="A48" s="113"/>
      <c r="B48" s="113"/>
      <c r="C48" s="113"/>
      <c r="D48" s="113"/>
      <c r="E48" s="113"/>
      <c r="F48" s="113"/>
      <c r="G48" s="11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row>
    <row r="49" spans="1:38" ht="15">
      <c r="A49" s="113"/>
      <c r="B49" s="303" t="s">
        <v>1139</v>
      </c>
      <c r="C49" s="303"/>
      <c r="D49" s="303"/>
      <c r="E49" s="303"/>
      <c r="F49" s="303"/>
      <c r="G49" s="303"/>
      <c r="H49" s="303"/>
      <c r="I49" s="303"/>
      <c r="J49" s="30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row>
    <row r="50" spans="1:38" ht="15">
      <c r="A50" s="113"/>
      <c r="B50" s="113"/>
      <c r="C50" s="113"/>
      <c r="D50" s="113"/>
      <c r="E50" s="113"/>
      <c r="F50" s="53"/>
      <c r="G50" s="113"/>
      <c r="H50" s="113"/>
      <c r="I50" s="53"/>
      <c r="J50" s="113"/>
      <c r="K50" s="11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row>
    <row r="51" spans="1:38" ht="15">
      <c r="A51" s="113"/>
      <c r="B51" s="282" t="s">
        <v>1141</v>
      </c>
      <c r="C51" s="287" t="s">
        <v>1140</v>
      </c>
      <c r="D51" s="113"/>
      <c r="E51" s="113"/>
      <c r="F51" s="53"/>
      <c r="G51" s="113"/>
      <c r="H51" s="113"/>
      <c r="I51" s="53"/>
      <c r="J51" s="113"/>
      <c r="K51" s="11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row>
    <row r="52" spans="1:38" ht="15" customHeight="1">
      <c r="A52" s="113"/>
      <c r="B52" s="283" t="s">
        <v>1142</v>
      </c>
      <c r="C52" s="980">
        <f>'IP 3C7'!D8*'IB 3C7'!C45+'IP 3C7'!D18*'IB 3C7'!C46+'IP 3C7'!D22*'IB 3C7'!C47+'IP 3C7'!D28*'IB 3C7'!C48</f>
        <v>133.63598847300915</v>
      </c>
      <c r="D52" s="113"/>
      <c r="E52" s="113"/>
      <c r="F52" s="53"/>
      <c r="G52" s="113"/>
      <c r="H52" s="113"/>
      <c r="I52" s="53"/>
      <c r="J52" s="113"/>
      <c r="K52" s="11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row>
    <row r="53" spans="1:44" ht="15">
      <c r="A53" s="113"/>
      <c r="B53" s="113"/>
      <c r="C53" s="53"/>
      <c r="D53" s="113"/>
      <c r="E53" s="113"/>
      <c r="F53" s="53"/>
      <c r="G53" s="113"/>
      <c r="H53" s="113"/>
      <c r="I53" s="53"/>
      <c r="J53" s="113"/>
      <c r="K53" s="113"/>
      <c r="L53" s="53"/>
      <c r="M53" s="113"/>
      <c r="N53" s="113"/>
      <c r="O53" s="53"/>
      <c r="P53" s="113"/>
      <c r="Q53" s="113"/>
      <c r="R53" s="53"/>
      <c r="S53" s="113"/>
      <c r="T53" s="113"/>
      <c r="U53" s="53"/>
      <c r="V53" s="113"/>
      <c r="W53" s="113"/>
      <c r="X53" s="53"/>
      <c r="Y53" s="113"/>
      <c r="Z53" s="113"/>
      <c r="AA53" s="53"/>
      <c r="AB53" s="113"/>
      <c r="AC53" s="113"/>
      <c r="AD53" s="53"/>
      <c r="AE53" s="113"/>
      <c r="AF53" s="113"/>
      <c r="AG53" s="53"/>
      <c r="AH53" s="113"/>
      <c r="AI53" s="113"/>
      <c r="AJ53" s="53"/>
      <c r="AK53" s="113"/>
      <c r="AL53" s="113"/>
      <c r="AM53" s="53"/>
      <c r="AN53" s="113"/>
      <c r="AO53" s="113"/>
      <c r="AP53" s="53"/>
      <c r="AQ53" s="113"/>
      <c r="AR53" s="113"/>
    </row>
    <row r="54" spans="1:44" ht="15">
      <c r="A54" s="113"/>
      <c r="B54" s="113"/>
      <c r="C54" s="53"/>
      <c r="D54" s="113"/>
      <c r="E54" s="113"/>
      <c r="F54" s="53"/>
      <c r="G54" s="113"/>
      <c r="H54" s="113"/>
      <c r="I54" s="53"/>
      <c r="J54" s="113"/>
      <c r="K54" s="113"/>
      <c r="L54" s="53"/>
      <c r="M54" s="113"/>
      <c r="N54" s="113"/>
      <c r="O54" s="53"/>
      <c r="P54" s="113"/>
      <c r="Q54" s="113"/>
      <c r="R54" s="53"/>
      <c r="S54" s="113"/>
      <c r="T54" s="113"/>
      <c r="U54" s="53"/>
      <c r="V54" s="113"/>
      <c r="W54" s="113"/>
      <c r="X54" s="53"/>
      <c r="Y54" s="113"/>
      <c r="Z54" s="113"/>
      <c r="AA54" s="53"/>
      <c r="AB54" s="113"/>
      <c r="AC54" s="113"/>
      <c r="AD54" s="53"/>
      <c r="AE54" s="113"/>
      <c r="AF54" s="113"/>
      <c r="AG54" s="53"/>
      <c r="AH54" s="113"/>
      <c r="AI54" s="113"/>
      <c r="AJ54" s="53"/>
      <c r="AK54" s="113"/>
      <c r="AL54" s="113"/>
      <c r="AM54" s="53"/>
      <c r="AN54" s="113"/>
      <c r="AO54" s="113"/>
      <c r="AP54" s="53"/>
      <c r="AQ54" s="113"/>
      <c r="AR54" s="113"/>
    </row>
    <row r="55" spans="1:44" ht="15">
      <c r="A55" s="113"/>
      <c r="B55" s="113"/>
      <c r="C55" s="53"/>
      <c r="D55" s="53"/>
      <c r="E55" s="53"/>
      <c r="F55" s="53"/>
      <c r="G55" s="113"/>
      <c r="H55" s="113"/>
      <c r="I55" s="53"/>
      <c r="J55" s="113"/>
      <c r="K55" s="113"/>
      <c r="L55" s="53"/>
      <c r="M55" s="113"/>
      <c r="N55" s="113"/>
      <c r="O55" s="53"/>
      <c r="P55" s="113"/>
      <c r="Q55" s="113"/>
      <c r="R55" s="53"/>
      <c r="S55" s="113"/>
      <c r="T55" s="113"/>
      <c r="U55" s="53"/>
      <c r="V55" s="113"/>
      <c r="W55" s="113"/>
      <c r="X55" s="53"/>
      <c r="Y55" s="113"/>
      <c r="Z55" s="113"/>
      <c r="AA55" s="53"/>
      <c r="AB55" s="113"/>
      <c r="AC55" s="113"/>
      <c r="AD55" s="53"/>
      <c r="AE55" s="113"/>
      <c r="AF55" s="113"/>
      <c r="AG55" s="53"/>
      <c r="AH55" s="113"/>
      <c r="AI55" s="113"/>
      <c r="AJ55" s="53"/>
      <c r="AK55" s="113"/>
      <c r="AL55" s="113"/>
      <c r="AM55" s="53"/>
      <c r="AN55" s="113"/>
      <c r="AO55" s="113"/>
      <c r="AP55" s="53"/>
      <c r="AQ55" s="113"/>
      <c r="AR55" s="113"/>
    </row>
    <row r="56" spans="1:44" ht="15">
      <c r="A56" s="113"/>
      <c r="B56" s="113"/>
      <c r="C56" s="53"/>
      <c r="D56" s="53"/>
      <c r="E56" s="53"/>
      <c r="F56" s="53"/>
      <c r="G56" s="113"/>
      <c r="H56" s="113"/>
      <c r="I56" s="53"/>
      <c r="J56" s="113"/>
      <c r="K56" s="113"/>
      <c r="L56" s="53"/>
      <c r="M56" s="113"/>
      <c r="N56" s="113"/>
      <c r="O56" s="53"/>
      <c r="P56" s="113"/>
      <c r="Q56" s="113"/>
      <c r="R56" s="53"/>
      <c r="S56" s="113"/>
      <c r="T56" s="113"/>
      <c r="U56" s="53"/>
      <c r="V56" s="113"/>
      <c r="W56" s="113"/>
      <c r="X56" s="53"/>
      <c r="Y56" s="113"/>
      <c r="Z56" s="113"/>
      <c r="AA56" s="53"/>
      <c r="AB56" s="113"/>
      <c r="AC56" s="113"/>
      <c r="AD56" s="53"/>
      <c r="AE56" s="113"/>
      <c r="AF56" s="113"/>
      <c r="AG56" s="53"/>
      <c r="AH56" s="113"/>
      <c r="AI56" s="113"/>
      <c r="AJ56" s="53"/>
      <c r="AK56" s="113"/>
      <c r="AL56" s="113"/>
      <c r="AM56" s="53"/>
      <c r="AN56" s="113"/>
      <c r="AO56" s="113"/>
      <c r="AP56" s="53"/>
      <c r="AQ56" s="113"/>
      <c r="AR56" s="113"/>
    </row>
    <row r="57" spans="1:44" ht="15">
      <c r="A57" s="113"/>
      <c r="B57" s="113"/>
      <c r="C57" s="53"/>
      <c r="D57" s="53"/>
      <c r="E57" s="53"/>
      <c r="F57" s="53"/>
      <c r="G57" s="555"/>
      <c r="H57" s="113"/>
      <c r="I57" s="53"/>
      <c r="J57" s="113"/>
      <c r="K57" s="113"/>
      <c r="L57" s="53"/>
      <c r="M57" s="113"/>
      <c r="N57" s="113"/>
      <c r="O57" s="53"/>
      <c r="P57" s="113"/>
      <c r="Q57" s="113"/>
      <c r="R57" s="53"/>
      <c r="S57" s="113"/>
      <c r="T57" s="113"/>
      <c r="U57" s="53"/>
      <c r="V57" s="113"/>
      <c r="W57" s="113"/>
      <c r="X57" s="53"/>
      <c r="Y57" s="113"/>
      <c r="Z57" s="113"/>
      <c r="AA57" s="53"/>
      <c r="AB57" s="113"/>
      <c r="AC57" s="113"/>
      <c r="AD57" s="53"/>
      <c r="AE57" s="113"/>
      <c r="AF57" s="113"/>
      <c r="AG57" s="53"/>
      <c r="AH57" s="113"/>
      <c r="AI57" s="113"/>
      <c r="AJ57" s="53"/>
      <c r="AK57" s="113"/>
      <c r="AL57" s="113"/>
      <c r="AM57" s="53"/>
      <c r="AN57" s="113"/>
      <c r="AO57" s="113"/>
      <c r="AP57" s="53"/>
      <c r="AQ57" s="113"/>
      <c r="AR57" s="113"/>
    </row>
    <row r="58" spans="1:44" ht="15">
      <c r="A58" s="113"/>
      <c r="B58" s="113"/>
      <c r="C58" s="53"/>
      <c r="D58" s="53"/>
      <c r="E58" s="53"/>
      <c r="F58" s="53"/>
      <c r="G58" s="555"/>
      <c r="H58" s="113"/>
      <c r="I58" s="53"/>
      <c r="J58" s="113"/>
      <c r="K58" s="113"/>
      <c r="L58" s="53"/>
      <c r="M58" s="113"/>
      <c r="N58" s="113"/>
      <c r="O58" s="53"/>
      <c r="P58" s="113"/>
      <c r="Q58" s="113"/>
      <c r="R58" s="53"/>
      <c r="S58" s="113"/>
      <c r="T58" s="113"/>
      <c r="U58" s="53"/>
      <c r="V58" s="113"/>
      <c r="W58" s="113"/>
      <c r="X58" s="53"/>
      <c r="Y58" s="113"/>
      <c r="Z58" s="113"/>
      <c r="AA58" s="53"/>
      <c r="AB58" s="113"/>
      <c r="AC58" s="113"/>
      <c r="AD58" s="53"/>
      <c r="AE58" s="113"/>
      <c r="AF58" s="113"/>
      <c r="AG58" s="53"/>
      <c r="AH58" s="113"/>
      <c r="AI58" s="113"/>
      <c r="AJ58" s="53"/>
      <c r="AK58" s="113"/>
      <c r="AL58" s="113"/>
      <c r="AM58" s="53"/>
      <c r="AN58" s="113"/>
      <c r="AO58" s="113"/>
      <c r="AP58" s="53"/>
      <c r="AQ58" s="113"/>
      <c r="AR58" s="113"/>
    </row>
    <row r="59" spans="1:44" ht="15">
      <c r="A59" s="113"/>
      <c r="B59" s="113"/>
      <c r="C59" s="53"/>
      <c r="D59" s="53"/>
      <c r="E59" s="53"/>
      <c r="F59" s="53"/>
      <c r="G59" s="555"/>
      <c r="H59" s="113"/>
      <c r="I59" s="53"/>
      <c r="J59" s="113"/>
      <c r="K59" s="113"/>
      <c r="L59" s="53"/>
      <c r="M59" s="113"/>
      <c r="N59" s="113"/>
      <c r="O59" s="53"/>
      <c r="P59" s="113"/>
      <c r="Q59" s="113"/>
      <c r="R59" s="53"/>
      <c r="S59" s="113"/>
      <c r="T59" s="113"/>
      <c r="U59" s="53"/>
      <c r="V59" s="113"/>
      <c r="W59" s="113"/>
      <c r="X59" s="53"/>
      <c r="Y59" s="113"/>
      <c r="Z59" s="113"/>
      <c r="AA59" s="53"/>
      <c r="AB59" s="113"/>
      <c r="AC59" s="113"/>
      <c r="AD59" s="53"/>
      <c r="AE59" s="113"/>
      <c r="AF59" s="113"/>
      <c r="AG59" s="53"/>
      <c r="AH59" s="113"/>
      <c r="AI59" s="113"/>
      <c r="AJ59" s="53"/>
      <c r="AK59" s="113"/>
      <c r="AL59" s="113"/>
      <c r="AM59" s="53"/>
      <c r="AN59" s="113"/>
      <c r="AO59" s="113"/>
      <c r="AP59" s="53"/>
      <c r="AQ59" s="113"/>
      <c r="AR59" s="113"/>
    </row>
    <row r="60" spans="1:44" ht="15">
      <c r="A60" s="113"/>
      <c r="B60" s="113"/>
      <c r="C60" s="53"/>
      <c r="D60" s="53"/>
      <c r="E60" s="53"/>
      <c r="F60" s="53"/>
      <c r="G60" s="555"/>
      <c r="H60" s="113"/>
      <c r="I60" s="53"/>
      <c r="J60" s="113"/>
      <c r="K60" s="113"/>
      <c r="L60" s="53"/>
      <c r="M60" s="113"/>
      <c r="N60" s="113"/>
      <c r="O60" s="53"/>
      <c r="P60" s="113"/>
      <c r="Q60" s="113"/>
      <c r="R60" s="53"/>
      <c r="S60" s="113"/>
      <c r="T60" s="113"/>
      <c r="U60" s="53"/>
      <c r="V60" s="113"/>
      <c r="W60" s="113"/>
      <c r="X60" s="53"/>
      <c r="Y60" s="113"/>
      <c r="Z60" s="113"/>
      <c r="AA60" s="53"/>
      <c r="AB60" s="113"/>
      <c r="AC60" s="113"/>
      <c r="AD60" s="53"/>
      <c r="AE60" s="113"/>
      <c r="AF60" s="113"/>
      <c r="AG60" s="53"/>
      <c r="AH60" s="113"/>
      <c r="AI60" s="113"/>
      <c r="AJ60" s="53"/>
      <c r="AK60" s="113"/>
      <c r="AL60" s="113"/>
      <c r="AM60" s="53"/>
      <c r="AN60" s="113"/>
      <c r="AO60" s="113"/>
      <c r="AP60" s="53"/>
      <c r="AQ60" s="113"/>
      <c r="AR60" s="113"/>
    </row>
    <row r="61" spans="1:44" ht="15">
      <c r="A61" s="113"/>
      <c r="B61" s="113"/>
      <c r="C61" s="53"/>
      <c r="D61" s="53"/>
      <c r="E61" s="53"/>
      <c r="F61" s="53"/>
      <c r="G61" s="555"/>
      <c r="H61" s="113"/>
      <c r="I61" s="53"/>
      <c r="J61" s="113"/>
      <c r="K61" s="113"/>
      <c r="L61" s="53"/>
      <c r="M61" s="113"/>
      <c r="N61" s="113"/>
      <c r="O61" s="53"/>
      <c r="P61" s="113"/>
      <c r="Q61" s="113"/>
      <c r="R61" s="53"/>
      <c r="S61" s="113"/>
      <c r="T61" s="113"/>
      <c r="U61" s="53"/>
      <c r="V61" s="113"/>
      <c r="W61" s="113"/>
      <c r="X61" s="53"/>
      <c r="Y61" s="113"/>
      <c r="Z61" s="113"/>
      <c r="AA61" s="53"/>
      <c r="AB61" s="113"/>
      <c r="AC61" s="113"/>
      <c r="AD61" s="53"/>
      <c r="AE61" s="113"/>
      <c r="AF61" s="113"/>
      <c r="AG61" s="53"/>
      <c r="AH61" s="113"/>
      <c r="AI61" s="113"/>
      <c r="AJ61" s="53"/>
      <c r="AK61" s="113"/>
      <c r="AL61" s="113"/>
      <c r="AM61" s="53"/>
      <c r="AN61" s="113"/>
      <c r="AO61" s="113"/>
      <c r="AP61" s="53"/>
      <c r="AQ61" s="113"/>
      <c r="AR61" s="113"/>
    </row>
    <row r="62" spans="1:44" ht="15">
      <c r="A62" s="113"/>
      <c r="B62" s="113"/>
      <c r="C62" s="53"/>
      <c r="D62" s="53"/>
      <c r="E62" s="53"/>
      <c r="F62" s="53"/>
      <c r="G62" s="555"/>
      <c r="H62" s="113"/>
      <c r="I62" s="53"/>
      <c r="J62" s="113"/>
      <c r="K62" s="113"/>
      <c r="L62" s="53"/>
      <c r="M62" s="113"/>
      <c r="N62" s="113"/>
      <c r="O62" s="53"/>
      <c r="P62" s="113"/>
      <c r="Q62" s="113"/>
      <c r="R62" s="53"/>
      <c r="S62" s="113"/>
      <c r="T62" s="113"/>
      <c r="U62" s="53"/>
      <c r="V62" s="113"/>
      <c r="W62" s="113"/>
      <c r="X62" s="53"/>
      <c r="Y62" s="113"/>
      <c r="Z62" s="113"/>
      <c r="AA62" s="53"/>
      <c r="AB62" s="113"/>
      <c r="AC62" s="113"/>
      <c r="AD62" s="53"/>
      <c r="AE62" s="113"/>
      <c r="AF62" s="113"/>
      <c r="AG62" s="53"/>
      <c r="AH62" s="113"/>
      <c r="AI62" s="113"/>
      <c r="AJ62" s="53"/>
      <c r="AK62" s="113"/>
      <c r="AL62" s="113"/>
      <c r="AM62" s="53"/>
      <c r="AN62" s="113"/>
      <c r="AO62" s="113"/>
      <c r="AP62" s="53"/>
      <c r="AQ62" s="113"/>
      <c r="AR62" s="113"/>
    </row>
    <row r="63" spans="1:44" ht="15">
      <c r="A63" s="113"/>
      <c r="B63" s="113"/>
      <c r="C63" s="53"/>
      <c r="D63" s="53"/>
      <c r="E63" s="53"/>
      <c r="F63" s="53"/>
      <c r="G63" s="555"/>
      <c r="H63" s="113"/>
      <c r="I63" s="53"/>
      <c r="J63" s="113"/>
      <c r="K63" s="113"/>
      <c r="L63" s="53"/>
      <c r="M63" s="113"/>
      <c r="N63" s="113"/>
      <c r="O63" s="53"/>
      <c r="P63" s="113"/>
      <c r="Q63" s="113"/>
      <c r="R63" s="53"/>
      <c r="S63" s="113"/>
      <c r="T63" s="113"/>
      <c r="U63" s="53"/>
      <c r="V63" s="113"/>
      <c r="W63" s="113"/>
      <c r="X63" s="53"/>
      <c r="Y63" s="113"/>
      <c r="Z63" s="113"/>
      <c r="AA63" s="53"/>
      <c r="AB63" s="113"/>
      <c r="AC63" s="113"/>
      <c r="AD63" s="53"/>
      <c r="AE63" s="113"/>
      <c r="AF63" s="113"/>
      <c r="AG63" s="53"/>
      <c r="AH63" s="113"/>
      <c r="AI63" s="113"/>
      <c r="AJ63" s="53"/>
      <c r="AK63" s="113"/>
      <c r="AL63" s="113"/>
      <c r="AM63" s="53"/>
      <c r="AN63" s="113"/>
      <c r="AO63" s="113"/>
      <c r="AP63" s="53"/>
      <c r="AQ63" s="113"/>
      <c r="AR63" s="113"/>
    </row>
    <row r="64" spans="1:44" ht="15">
      <c r="A64" s="113"/>
      <c r="B64" s="113"/>
      <c r="C64" s="53"/>
      <c r="D64" s="113"/>
      <c r="E64" s="113"/>
      <c r="F64" s="53"/>
      <c r="G64" s="113"/>
      <c r="H64" s="113"/>
      <c r="I64" s="53"/>
      <c r="J64" s="113"/>
      <c r="K64" s="113"/>
      <c r="L64" s="53"/>
      <c r="M64" s="113"/>
      <c r="N64" s="113"/>
      <c r="O64" s="53"/>
      <c r="P64" s="113"/>
      <c r="Q64" s="113"/>
      <c r="R64" s="53"/>
      <c r="S64" s="113"/>
      <c r="T64" s="113"/>
      <c r="U64" s="53"/>
      <c r="V64" s="113"/>
      <c r="W64" s="113"/>
      <c r="X64" s="53"/>
      <c r="Y64" s="113"/>
      <c r="Z64" s="113"/>
      <c r="AA64" s="53"/>
      <c r="AB64" s="113"/>
      <c r="AC64" s="113"/>
      <c r="AD64" s="53"/>
      <c r="AE64" s="113"/>
      <c r="AF64" s="113"/>
      <c r="AG64" s="53"/>
      <c r="AH64" s="113"/>
      <c r="AI64" s="113"/>
      <c r="AJ64" s="53"/>
      <c r="AK64" s="113"/>
      <c r="AL64" s="113"/>
      <c r="AM64" s="53"/>
      <c r="AN64" s="113"/>
      <c r="AO64" s="113"/>
      <c r="AP64" s="53"/>
      <c r="AQ64" s="113"/>
      <c r="AR64" s="113"/>
    </row>
    <row r="65" spans="1:44" ht="15">
      <c r="A65" s="113"/>
      <c r="B65" s="113"/>
      <c r="C65" s="53"/>
      <c r="D65" s="113"/>
      <c r="E65" s="113"/>
      <c r="F65" s="53"/>
      <c r="G65" s="113"/>
      <c r="H65" s="113"/>
      <c r="I65" s="53"/>
      <c r="J65" s="113"/>
      <c r="K65" s="113"/>
      <c r="L65" s="53"/>
      <c r="M65" s="113"/>
      <c r="N65" s="113"/>
      <c r="O65" s="53"/>
      <c r="P65" s="113"/>
      <c r="Q65" s="113"/>
      <c r="R65" s="53"/>
      <c r="S65" s="113"/>
      <c r="T65" s="113"/>
      <c r="U65" s="53"/>
      <c r="V65" s="113"/>
      <c r="W65" s="113"/>
      <c r="X65" s="53"/>
      <c r="Y65" s="113"/>
      <c r="Z65" s="113"/>
      <c r="AA65" s="53"/>
      <c r="AB65" s="113"/>
      <c r="AC65" s="113"/>
      <c r="AD65" s="53"/>
      <c r="AE65" s="113"/>
      <c r="AF65" s="113"/>
      <c r="AG65" s="53"/>
      <c r="AH65" s="113"/>
      <c r="AI65" s="113"/>
      <c r="AJ65" s="53"/>
      <c r="AK65" s="113"/>
      <c r="AL65" s="113"/>
      <c r="AM65" s="53"/>
      <c r="AN65" s="113"/>
      <c r="AO65" s="113"/>
      <c r="AP65" s="53"/>
      <c r="AQ65" s="113"/>
      <c r="AR65" s="113"/>
    </row>
    <row r="66" spans="1:44" ht="15">
      <c r="A66" s="113"/>
      <c r="B66" s="113"/>
      <c r="C66" s="53"/>
      <c r="D66" s="113"/>
      <c r="E66" s="113"/>
      <c r="F66" s="53"/>
      <c r="G66" s="113"/>
      <c r="H66" s="113"/>
      <c r="I66" s="53"/>
      <c r="J66" s="113"/>
      <c r="K66" s="113"/>
      <c r="L66" s="53"/>
      <c r="M66" s="113"/>
      <c r="N66" s="113"/>
      <c r="O66" s="53"/>
      <c r="P66" s="113"/>
      <c r="Q66" s="113"/>
      <c r="R66" s="53"/>
      <c r="S66" s="113"/>
      <c r="T66" s="113"/>
      <c r="U66" s="53"/>
      <c r="V66" s="113"/>
      <c r="W66" s="113"/>
      <c r="X66" s="53"/>
      <c r="Y66" s="113"/>
      <c r="Z66" s="113"/>
      <c r="AA66" s="53"/>
      <c r="AB66" s="113"/>
      <c r="AC66" s="113"/>
      <c r="AD66" s="53"/>
      <c r="AE66" s="113"/>
      <c r="AF66" s="113"/>
      <c r="AG66" s="53"/>
      <c r="AH66" s="113"/>
      <c r="AI66" s="113"/>
      <c r="AJ66" s="53"/>
      <c r="AK66" s="113"/>
      <c r="AL66" s="113"/>
      <c r="AM66" s="53"/>
      <c r="AN66" s="113"/>
      <c r="AO66" s="113"/>
      <c r="AP66" s="53"/>
      <c r="AQ66" s="113"/>
      <c r="AR66" s="113"/>
    </row>
    <row r="67" spans="1:44" ht="15">
      <c r="A67" s="113"/>
      <c r="B67" s="113"/>
      <c r="C67" s="53"/>
      <c r="D67" s="113"/>
      <c r="E67" s="113"/>
      <c r="F67" s="53"/>
      <c r="G67" s="113"/>
      <c r="H67" s="113"/>
      <c r="I67" s="53"/>
      <c r="J67" s="113"/>
      <c r="K67" s="113"/>
      <c r="L67" s="53"/>
      <c r="M67" s="113"/>
      <c r="N67" s="113"/>
      <c r="O67" s="53"/>
      <c r="P67" s="113"/>
      <c r="Q67" s="113"/>
      <c r="R67" s="53"/>
      <c r="S67" s="113"/>
      <c r="T67" s="113"/>
      <c r="U67" s="53"/>
      <c r="V67" s="113"/>
      <c r="W67" s="113"/>
      <c r="X67" s="53"/>
      <c r="Y67" s="113"/>
      <c r="Z67" s="113"/>
      <c r="AA67" s="53"/>
      <c r="AB67" s="113"/>
      <c r="AC67" s="113"/>
      <c r="AD67" s="53"/>
      <c r="AE67" s="113"/>
      <c r="AF67" s="113"/>
      <c r="AG67" s="53"/>
      <c r="AH67" s="113"/>
      <c r="AI67" s="113"/>
      <c r="AJ67" s="53"/>
      <c r="AK67" s="113"/>
      <c r="AL67" s="113"/>
      <c r="AM67" s="53"/>
      <c r="AN67" s="113"/>
      <c r="AO67" s="113"/>
      <c r="AP67" s="53"/>
      <c r="AQ67" s="113"/>
      <c r="AR67" s="113"/>
    </row>
    <row r="68" spans="1:44" ht="15">
      <c r="A68" s="113"/>
      <c r="B68" s="113"/>
      <c r="C68" s="53"/>
      <c r="D68" s="113"/>
      <c r="E68" s="113"/>
      <c r="F68" s="53"/>
      <c r="G68" s="113"/>
      <c r="H68" s="113"/>
      <c r="I68" s="53"/>
      <c r="J68" s="113"/>
      <c r="K68" s="113"/>
      <c r="L68" s="53"/>
      <c r="M68" s="113"/>
      <c r="N68" s="113"/>
      <c r="O68" s="53"/>
      <c r="P68" s="113"/>
      <c r="Q68" s="113"/>
      <c r="R68" s="53"/>
      <c r="S68" s="113"/>
      <c r="T68" s="113"/>
      <c r="U68" s="53"/>
      <c r="V68" s="113"/>
      <c r="W68" s="113"/>
      <c r="X68" s="53"/>
      <c r="Y68" s="113"/>
      <c r="Z68" s="113"/>
      <c r="AA68" s="53"/>
      <c r="AB68" s="113"/>
      <c r="AC68" s="113"/>
      <c r="AD68" s="53"/>
      <c r="AE68" s="113"/>
      <c r="AF68" s="113"/>
      <c r="AG68" s="53"/>
      <c r="AH68" s="113"/>
      <c r="AI68" s="113"/>
      <c r="AJ68" s="53"/>
      <c r="AK68" s="113"/>
      <c r="AL68" s="113"/>
      <c r="AM68" s="53"/>
      <c r="AN68" s="113"/>
      <c r="AO68" s="113"/>
      <c r="AP68" s="53"/>
      <c r="AQ68" s="113"/>
      <c r="AR68" s="113"/>
    </row>
    <row r="69" spans="1:44" ht="15">
      <c r="A69" s="113"/>
      <c r="B69" s="113"/>
      <c r="C69" s="53"/>
      <c r="D69" s="113"/>
      <c r="E69" s="113"/>
      <c r="F69" s="53"/>
      <c r="G69" s="113"/>
      <c r="H69" s="113"/>
      <c r="I69" s="53"/>
      <c r="J69" s="113"/>
      <c r="K69" s="113"/>
      <c r="L69" s="53"/>
      <c r="M69" s="113"/>
      <c r="N69" s="113"/>
      <c r="O69" s="53"/>
      <c r="P69" s="113"/>
      <c r="Q69" s="113"/>
      <c r="R69" s="53"/>
      <c r="S69" s="113"/>
      <c r="T69" s="113"/>
      <c r="U69" s="53"/>
      <c r="V69" s="113"/>
      <c r="W69" s="113"/>
      <c r="X69" s="53"/>
      <c r="Y69" s="113"/>
      <c r="Z69" s="113"/>
      <c r="AA69" s="53"/>
      <c r="AB69" s="113"/>
      <c r="AC69" s="113"/>
      <c r="AD69" s="53"/>
      <c r="AE69" s="113"/>
      <c r="AF69" s="113"/>
      <c r="AG69" s="53"/>
      <c r="AH69" s="113"/>
      <c r="AI69" s="113"/>
      <c r="AJ69" s="53"/>
      <c r="AK69" s="113"/>
      <c r="AL69" s="113"/>
      <c r="AM69" s="53"/>
      <c r="AN69" s="113"/>
      <c r="AO69" s="113"/>
      <c r="AP69" s="53"/>
      <c r="AQ69" s="113"/>
      <c r="AR69" s="113"/>
    </row>
    <row r="70" spans="1:44" ht="15">
      <c r="A70" s="113"/>
      <c r="B70" s="113"/>
      <c r="C70" s="53"/>
      <c r="D70" s="113"/>
      <c r="E70" s="113"/>
      <c r="F70" s="53"/>
      <c r="G70" s="113"/>
      <c r="H70" s="113"/>
      <c r="I70" s="53"/>
      <c r="J70" s="113"/>
      <c r="K70" s="113"/>
      <c r="L70" s="53"/>
      <c r="M70" s="113"/>
      <c r="N70" s="113"/>
      <c r="O70" s="53"/>
      <c r="P70" s="113"/>
      <c r="Q70" s="113"/>
      <c r="R70" s="53"/>
      <c r="S70" s="113"/>
      <c r="T70" s="113"/>
      <c r="U70" s="53"/>
      <c r="V70" s="113"/>
      <c r="W70" s="113"/>
      <c r="X70" s="53"/>
      <c r="Y70" s="113"/>
      <c r="Z70" s="113"/>
      <c r="AA70" s="53"/>
      <c r="AB70" s="113"/>
      <c r="AC70" s="113"/>
      <c r="AD70" s="53"/>
      <c r="AE70" s="113"/>
      <c r="AF70" s="113"/>
      <c r="AG70" s="53"/>
      <c r="AH70" s="113"/>
      <c r="AI70" s="113"/>
      <c r="AJ70" s="53"/>
      <c r="AK70" s="113"/>
      <c r="AL70" s="113"/>
      <c r="AM70" s="53"/>
      <c r="AN70" s="113"/>
      <c r="AO70" s="113"/>
      <c r="AP70" s="53"/>
      <c r="AQ70" s="113"/>
      <c r="AR70" s="113"/>
    </row>
    <row r="71" spans="1:44" ht="15">
      <c r="A71" s="113"/>
      <c r="B71" s="113"/>
      <c r="C71" s="53"/>
      <c r="D71" s="113"/>
      <c r="E71" s="113"/>
      <c r="F71" s="53"/>
      <c r="G71" s="113"/>
      <c r="H71" s="113"/>
      <c r="I71" s="53"/>
      <c r="J71" s="113"/>
      <c r="K71" s="113"/>
      <c r="L71" s="53"/>
      <c r="M71" s="113"/>
      <c r="N71" s="113"/>
      <c r="O71" s="53"/>
      <c r="P71" s="113"/>
      <c r="Q71" s="113"/>
      <c r="R71" s="53"/>
      <c r="S71" s="113"/>
      <c r="T71" s="113"/>
      <c r="U71" s="53"/>
      <c r="V71" s="113"/>
      <c r="W71" s="113"/>
      <c r="X71" s="53"/>
      <c r="Y71" s="113"/>
      <c r="Z71" s="113"/>
      <c r="AA71" s="53"/>
      <c r="AB71" s="113"/>
      <c r="AC71" s="113"/>
      <c r="AD71" s="53"/>
      <c r="AE71" s="113"/>
      <c r="AF71" s="113"/>
      <c r="AG71" s="53"/>
      <c r="AH71" s="113"/>
      <c r="AI71" s="113"/>
      <c r="AJ71" s="53"/>
      <c r="AK71" s="113"/>
      <c r="AL71" s="113"/>
      <c r="AM71" s="53"/>
      <c r="AN71" s="113"/>
      <c r="AO71" s="113"/>
      <c r="AP71" s="53"/>
      <c r="AQ71" s="113"/>
      <c r="AR71" s="113"/>
    </row>
    <row r="72" spans="1:44" ht="15">
      <c r="A72" s="113"/>
      <c r="B72" s="113"/>
      <c r="C72" s="53"/>
      <c r="D72" s="113"/>
      <c r="E72" s="113"/>
      <c r="F72" s="53"/>
      <c r="G72" s="113"/>
      <c r="H72" s="113"/>
      <c r="I72" s="53"/>
      <c r="J72" s="113"/>
      <c r="K72" s="113"/>
      <c r="L72" s="53"/>
      <c r="M72" s="113"/>
      <c r="N72" s="113"/>
      <c r="O72" s="53"/>
      <c r="P72" s="113"/>
      <c r="Q72" s="113"/>
      <c r="R72" s="53"/>
      <c r="S72" s="113"/>
      <c r="T72" s="113"/>
      <c r="U72" s="53"/>
      <c r="V72" s="113"/>
      <c r="W72" s="113"/>
      <c r="X72" s="53"/>
      <c r="Y72" s="113"/>
      <c r="Z72" s="113"/>
      <c r="AA72" s="53"/>
      <c r="AB72" s="113"/>
      <c r="AC72" s="113"/>
      <c r="AD72" s="53"/>
      <c r="AE72" s="113"/>
      <c r="AF72" s="113"/>
      <c r="AG72" s="53"/>
      <c r="AH72" s="113"/>
      <c r="AI72" s="113"/>
      <c r="AJ72" s="53"/>
      <c r="AK72" s="113"/>
      <c r="AL72" s="113"/>
      <c r="AM72" s="53"/>
      <c r="AN72" s="113"/>
      <c r="AO72" s="113"/>
      <c r="AP72" s="53"/>
      <c r="AQ72" s="113"/>
      <c r="AR72" s="113"/>
    </row>
    <row r="73" spans="1:44" ht="15">
      <c r="A73" s="113"/>
      <c r="B73" s="113"/>
      <c r="C73" s="53"/>
      <c r="D73" s="113"/>
      <c r="E73" s="113"/>
      <c r="F73" s="53"/>
      <c r="G73" s="113"/>
      <c r="H73" s="113"/>
      <c r="I73" s="53"/>
      <c r="J73" s="113"/>
      <c r="K73" s="113"/>
      <c r="L73" s="53"/>
      <c r="M73" s="113"/>
      <c r="N73" s="113"/>
      <c r="O73" s="53"/>
      <c r="P73" s="113"/>
      <c r="Q73" s="113"/>
      <c r="R73" s="53"/>
      <c r="S73" s="113"/>
      <c r="T73" s="113"/>
      <c r="U73" s="53"/>
      <c r="V73" s="113"/>
      <c r="W73" s="113"/>
      <c r="X73" s="53"/>
      <c r="Y73" s="113"/>
      <c r="Z73" s="113"/>
      <c r="AA73" s="53"/>
      <c r="AB73" s="113"/>
      <c r="AC73" s="113"/>
      <c r="AD73" s="53"/>
      <c r="AE73" s="113"/>
      <c r="AF73" s="113"/>
      <c r="AG73" s="53"/>
      <c r="AH73" s="113"/>
      <c r="AI73" s="113"/>
      <c r="AJ73" s="53"/>
      <c r="AK73" s="113"/>
      <c r="AL73" s="113"/>
      <c r="AM73" s="53"/>
      <c r="AN73" s="113"/>
      <c r="AO73" s="113"/>
      <c r="AP73" s="53"/>
      <c r="AQ73" s="113"/>
      <c r="AR73" s="113"/>
    </row>
    <row r="74" spans="1:44" ht="15">
      <c r="A74" s="113"/>
      <c r="B74" s="113"/>
      <c r="C74" s="53"/>
      <c r="D74" s="113"/>
      <c r="E74" s="113"/>
      <c r="F74" s="53"/>
      <c r="G74" s="113"/>
      <c r="H74" s="113"/>
      <c r="I74" s="53"/>
      <c r="J74" s="113"/>
      <c r="K74" s="113"/>
      <c r="L74" s="53"/>
      <c r="M74" s="113"/>
      <c r="N74" s="113"/>
      <c r="O74" s="53"/>
      <c r="P74" s="113"/>
      <c r="Q74" s="113"/>
      <c r="R74" s="53"/>
      <c r="S74" s="113"/>
      <c r="T74" s="113"/>
      <c r="U74" s="53"/>
      <c r="V74" s="113"/>
      <c r="W74" s="113"/>
      <c r="X74" s="53"/>
      <c r="Y74" s="113"/>
      <c r="Z74" s="113"/>
      <c r="AA74" s="53"/>
      <c r="AB74" s="113"/>
      <c r="AC74" s="113"/>
      <c r="AD74" s="53"/>
      <c r="AE74" s="113"/>
      <c r="AF74" s="113"/>
      <c r="AG74" s="53"/>
      <c r="AH74" s="113"/>
      <c r="AI74" s="113"/>
      <c r="AJ74" s="53"/>
      <c r="AK74" s="113"/>
      <c r="AL74" s="113"/>
      <c r="AM74" s="53"/>
      <c r="AN74" s="113"/>
      <c r="AO74" s="113"/>
      <c r="AP74" s="53"/>
      <c r="AQ74" s="113"/>
      <c r="AR74" s="113"/>
    </row>
    <row r="75" spans="1:44" ht="15">
      <c r="A75" s="113"/>
      <c r="B75" s="113"/>
      <c r="C75" s="53"/>
      <c r="D75" s="113"/>
      <c r="E75" s="113"/>
      <c r="F75" s="53"/>
      <c r="G75" s="113"/>
      <c r="H75" s="113"/>
      <c r="I75" s="53"/>
      <c r="J75" s="113"/>
      <c r="K75" s="113"/>
      <c r="L75" s="53"/>
      <c r="M75" s="113"/>
      <c r="N75" s="113"/>
      <c r="O75" s="53"/>
      <c r="P75" s="113"/>
      <c r="Q75" s="113"/>
      <c r="R75" s="53"/>
      <c r="S75" s="113"/>
      <c r="T75" s="113"/>
      <c r="U75" s="53"/>
      <c r="V75" s="113"/>
      <c r="W75" s="113"/>
      <c r="X75" s="53"/>
      <c r="Y75" s="113"/>
      <c r="Z75" s="113"/>
      <c r="AA75" s="53"/>
      <c r="AB75" s="113"/>
      <c r="AC75" s="113"/>
      <c r="AD75" s="53"/>
      <c r="AE75" s="113"/>
      <c r="AF75" s="113"/>
      <c r="AG75" s="53"/>
      <c r="AH75" s="113"/>
      <c r="AI75" s="113"/>
      <c r="AJ75" s="53"/>
      <c r="AK75" s="113"/>
      <c r="AL75" s="113"/>
      <c r="AM75" s="53"/>
      <c r="AN75" s="113"/>
      <c r="AO75" s="113"/>
      <c r="AP75" s="53"/>
      <c r="AQ75" s="113"/>
      <c r="AR75" s="113"/>
    </row>
    <row r="76" spans="1:44" ht="15">
      <c r="A76" s="113"/>
      <c r="B76" s="113"/>
      <c r="C76" s="53"/>
      <c r="D76" s="113"/>
      <c r="E76" s="113"/>
      <c r="F76" s="53"/>
      <c r="G76" s="113"/>
      <c r="H76" s="113"/>
      <c r="I76" s="53"/>
      <c r="J76" s="113"/>
      <c r="K76" s="113"/>
      <c r="L76" s="53"/>
      <c r="M76" s="113"/>
      <c r="N76" s="113"/>
      <c r="O76" s="53"/>
      <c r="P76" s="113"/>
      <c r="Q76" s="113"/>
      <c r="R76" s="53"/>
      <c r="S76" s="113"/>
      <c r="T76" s="113"/>
      <c r="U76" s="53"/>
      <c r="V76" s="113"/>
      <c r="W76" s="113"/>
      <c r="X76" s="53"/>
      <c r="Y76" s="113"/>
      <c r="Z76" s="113"/>
      <c r="AA76" s="53"/>
      <c r="AB76" s="113"/>
      <c r="AC76" s="113"/>
      <c r="AD76" s="53"/>
      <c r="AE76" s="113"/>
      <c r="AF76" s="113"/>
      <c r="AG76" s="53"/>
      <c r="AH76" s="113"/>
      <c r="AI76" s="113"/>
      <c r="AJ76" s="53"/>
      <c r="AK76" s="113"/>
      <c r="AL76" s="113"/>
      <c r="AM76" s="53"/>
      <c r="AN76" s="113"/>
      <c r="AO76" s="113"/>
      <c r="AP76" s="53"/>
      <c r="AQ76" s="113"/>
      <c r="AR76" s="113"/>
    </row>
    <row r="77" spans="1:44" ht="15">
      <c r="A77" s="113"/>
      <c r="B77" s="113"/>
      <c r="C77" s="53"/>
      <c r="D77" s="113"/>
      <c r="E77" s="113"/>
      <c r="F77" s="53"/>
      <c r="G77" s="113"/>
      <c r="H77" s="113"/>
      <c r="I77" s="53"/>
      <c r="J77" s="113"/>
      <c r="K77" s="113"/>
      <c r="L77" s="53"/>
      <c r="M77" s="113"/>
      <c r="N77" s="113"/>
      <c r="O77" s="53"/>
      <c r="P77" s="113"/>
      <c r="Q77" s="113"/>
      <c r="R77" s="53"/>
      <c r="S77" s="113"/>
      <c r="T77" s="113"/>
      <c r="U77" s="53"/>
      <c r="V77" s="113"/>
      <c r="W77" s="113"/>
      <c r="X77" s="53"/>
      <c r="Y77" s="113"/>
      <c r="Z77" s="113"/>
      <c r="AA77" s="53"/>
      <c r="AB77" s="113"/>
      <c r="AC77" s="113"/>
      <c r="AD77" s="53"/>
      <c r="AE77" s="113"/>
      <c r="AF77" s="113"/>
      <c r="AG77" s="53"/>
      <c r="AH77" s="113"/>
      <c r="AI77" s="113"/>
      <c r="AJ77" s="53"/>
      <c r="AK77" s="113"/>
      <c r="AL77" s="113"/>
      <c r="AM77" s="53"/>
      <c r="AN77" s="113"/>
      <c r="AO77" s="113"/>
      <c r="AP77" s="53"/>
      <c r="AQ77" s="113"/>
      <c r="AR77" s="113"/>
    </row>
    <row r="78" spans="1:44" ht="15">
      <c r="A78" s="113"/>
      <c r="B78" s="113"/>
      <c r="C78" s="53"/>
      <c r="D78" s="113"/>
      <c r="E78" s="113"/>
      <c r="F78" s="53"/>
      <c r="G78" s="113"/>
      <c r="H78" s="113"/>
      <c r="I78" s="53"/>
      <c r="J78" s="113"/>
      <c r="K78" s="113"/>
      <c r="L78" s="53"/>
      <c r="M78" s="113"/>
      <c r="N78" s="113"/>
      <c r="O78" s="53"/>
      <c r="P78" s="113"/>
      <c r="Q78" s="113"/>
      <c r="R78" s="53"/>
      <c r="S78" s="113"/>
      <c r="T78" s="113"/>
      <c r="U78" s="53"/>
      <c r="V78" s="113"/>
      <c r="W78" s="113"/>
      <c r="X78" s="53"/>
      <c r="Y78" s="113"/>
      <c r="Z78" s="113"/>
      <c r="AA78" s="53"/>
      <c r="AB78" s="113"/>
      <c r="AC78" s="113"/>
      <c r="AD78" s="53"/>
      <c r="AE78" s="113"/>
      <c r="AF78" s="113"/>
      <c r="AG78" s="53"/>
      <c r="AH78" s="113"/>
      <c r="AI78" s="113"/>
      <c r="AJ78" s="53"/>
      <c r="AK78" s="113"/>
      <c r="AL78" s="113"/>
      <c r="AM78" s="53"/>
      <c r="AN78" s="113"/>
      <c r="AO78" s="113"/>
      <c r="AP78" s="53"/>
      <c r="AQ78" s="113"/>
      <c r="AR78" s="113"/>
    </row>
    <row r="79" spans="1:44" ht="15">
      <c r="A79" s="113"/>
      <c r="B79" s="113"/>
      <c r="C79" s="53"/>
      <c r="D79" s="113"/>
      <c r="E79" s="113"/>
      <c r="F79" s="53"/>
      <c r="G79" s="113"/>
      <c r="H79" s="113"/>
      <c r="I79" s="53"/>
      <c r="J79" s="113"/>
      <c r="K79" s="113"/>
      <c r="L79" s="53"/>
      <c r="M79" s="113"/>
      <c r="N79" s="113"/>
      <c r="O79" s="53"/>
      <c r="P79" s="113"/>
      <c r="Q79" s="113"/>
      <c r="R79" s="53"/>
      <c r="S79" s="113"/>
      <c r="T79" s="113"/>
      <c r="U79" s="53"/>
      <c r="V79" s="113"/>
      <c r="W79" s="113"/>
      <c r="X79" s="53"/>
      <c r="Y79" s="113"/>
      <c r="Z79" s="113"/>
      <c r="AA79" s="53"/>
      <c r="AB79" s="113"/>
      <c r="AC79" s="113"/>
      <c r="AD79" s="53"/>
      <c r="AE79" s="113"/>
      <c r="AF79" s="113"/>
      <c r="AG79" s="53"/>
      <c r="AH79" s="113"/>
      <c r="AI79" s="113"/>
      <c r="AJ79" s="53"/>
      <c r="AK79" s="113"/>
      <c r="AL79" s="113"/>
      <c r="AM79" s="53"/>
      <c r="AN79" s="113"/>
      <c r="AO79" s="113"/>
      <c r="AP79" s="53"/>
      <c r="AQ79" s="113"/>
      <c r="AR79" s="113"/>
    </row>
    <row r="80" spans="1:44" ht="15">
      <c r="A80" s="113"/>
      <c r="B80" s="113"/>
      <c r="C80" s="53"/>
      <c r="D80" s="113"/>
      <c r="E80" s="113"/>
      <c r="F80" s="53"/>
      <c r="G80" s="113"/>
      <c r="H80" s="113"/>
      <c r="I80" s="53"/>
      <c r="J80" s="113"/>
      <c r="K80" s="113"/>
      <c r="L80" s="53"/>
      <c r="M80" s="113"/>
      <c r="N80" s="113"/>
      <c r="O80" s="53"/>
      <c r="P80" s="113"/>
      <c r="Q80" s="113"/>
      <c r="R80" s="53"/>
      <c r="S80" s="113"/>
      <c r="T80" s="113"/>
      <c r="U80" s="53"/>
      <c r="V80" s="113"/>
      <c r="W80" s="113"/>
      <c r="X80" s="53"/>
      <c r="Y80" s="113"/>
      <c r="Z80" s="113"/>
      <c r="AA80" s="53"/>
      <c r="AB80" s="113"/>
      <c r="AC80" s="113"/>
      <c r="AD80" s="53"/>
      <c r="AE80" s="113"/>
      <c r="AF80" s="113"/>
      <c r="AG80" s="53"/>
      <c r="AH80" s="113"/>
      <c r="AI80" s="113"/>
      <c r="AJ80" s="53"/>
      <c r="AK80" s="113"/>
      <c r="AL80" s="113"/>
      <c r="AM80" s="53"/>
      <c r="AN80" s="113"/>
      <c r="AO80" s="113"/>
      <c r="AP80" s="53"/>
      <c r="AQ80" s="113"/>
      <c r="AR80" s="113"/>
    </row>
    <row r="81" spans="1:44" ht="15">
      <c r="A81" s="113"/>
      <c r="B81" s="113"/>
      <c r="C81" s="53"/>
      <c r="D81" s="113"/>
      <c r="E81" s="113"/>
      <c r="F81" s="53"/>
      <c r="G81" s="113"/>
      <c r="H81" s="113"/>
      <c r="I81" s="53"/>
      <c r="J81" s="113"/>
      <c r="K81" s="113"/>
      <c r="L81" s="53"/>
      <c r="M81" s="113"/>
      <c r="N81" s="113"/>
      <c r="O81" s="53"/>
      <c r="P81" s="113"/>
      <c r="Q81" s="113"/>
      <c r="R81" s="53"/>
      <c r="S81" s="113"/>
      <c r="T81" s="113"/>
      <c r="U81" s="53"/>
      <c r="V81" s="113"/>
      <c r="W81" s="113"/>
      <c r="X81" s="53"/>
      <c r="Y81" s="113"/>
      <c r="Z81" s="113"/>
      <c r="AA81" s="53"/>
      <c r="AB81" s="113"/>
      <c r="AC81" s="113"/>
      <c r="AD81" s="53"/>
      <c r="AE81" s="113"/>
      <c r="AF81" s="113"/>
      <c r="AG81" s="53"/>
      <c r="AH81" s="113"/>
      <c r="AI81" s="113"/>
      <c r="AJ81" s="53"/>
      <c r="AK81" s="113"/>
      <c r="AL81" s="113"/>
      <c r="AM81" s="53"/>
      <c r="AN81" s="113"/>
      <c r="AO81" s="113"/>
      <c r="AP81" s="53"/>
      <c r="AQ81" s="113"/>
      <c r="AR81" s="113"/>
    </row>
    <row r="82" spans="1:44" ht="15">
      <c r="A82" s="113"/>
      <c r="B82" s="113"/>
      <c r="C82" s="53"/>
      <c r="D82" s="113"/>
      <c r="E82" s="113"/>
      <c r="F82" s="53"/>
      <c r="G82" s="113"/>
      <c r="H82" s="113"/>
      <c r="I82" s="53"/>
      <c r="J82" s="113"/>
      <c r="K82" s="113"/>
      <c r="L82" s="53"/>
      <c r="M82" s="113"/>
      <c r="N82" s="113"/>
      <c r="O82" s="53"/>
      <c r="P82" s="113"/>
      <c r="Q82" s="113"/>
      <c r="R82" s="53"/>
      <c r="S82" s="113"/>
      <c r="T82" s="113"/>
      <c r="U82" s="53"/>
      <c r="V82" s="113"/>
      <c r="W82" s="113"/>
      <c r="X82" s="53"/>
      <c r="Y82" s="113"/>
      <c r="Z82" s="113"/>
      <c r="AA82" s="53"/>
      <c r="AB82" s="113"/>
      <c r="AC82" s="113"/>
      <c r="AD82" s="53"/>
      <c r="AE82" s="113"/>
      <c r="AF82" s="113"/>
      <c r="AG82" s="53"/>
      <c r="AH82" s="113"/>
      <c r="AI82" s="113"/>
      <c r="AJ82" s="53"/>
      <c r="AK82" s="113"/>
      <c r="AL82" s="113"/>
      <c r="AM82" s="53"/>
      <c r="AN82" s="113"/>
      <c r="AO82" s="113"/>
      <c r="AP82" s="53"/>
      <c r="AQ82" s="113"/>
      <c r="AR82" s="113"/>
    </row>
    <row r="83" spans="1:44" ht="15">
      <c r="A83" s="113"/>
      <c r="B83" s="113"/>
      <c r="C83" s="53"/>
      <c r="D83" s="113"/>
      <c r="E83" s="113"/>
      <c r="F83" s="53"/>
      <c r="G83" s="113"/>
      <c r="H83" s="113"/>
      <c r="I83" s="53"/>
      <c r="J83" s="113"/>
      <c r="K83" s="113"/>
      <c r="L83" s="53"/>
      <c r="M83" s="113"/>
      <c r="N83" s="113"/>
      <c r="O83" s="53"/>
      <c r="P83" s="113"/>
      <c r="Q83" s="113"/>
      <c r="R83" s="53"/>
      <c r="S83" s="113"/>
      <c r="T83" s="113"/>
      <c r="U83" s="53"/>
      <c r="V83" s="113"/>
      <c r="W83" s="113"/>
      <c r="X83" s="53"/>
      <c r="Y83" s="113"/>
      <c r="Z83" s="113"/>
      <c r="AA83" s="53"/>
      <c r="AB83" s="113"/>
      <c r="AC83" s="113"/>
      <c r="AD83" s="53"/>
      <c r="AE83" s="113"/>
      <c r="AF83" s="113"/>
      <c r="AG83" s="53"/>
      <c r="AH83" s="113"/>
      <c r="AI83" s="113"/>
      <c r="AJ83" s="53"/>
      <c r="AK83" s="113"/>
      <c r="AL83" s="113"/>
      <c r="AM83" s="53"/>
      <c r="AN83" s="113"/>
      <c r="AO83" s="113"/>
      <c r="AP83" s="53"/>
      <c r="AQ83" s="113"/>
      <c r="AR83" s="113"/>
    </row>
    <row r="84" spans="1:44" ht="15">
      <c r="A84" s="113"/>
      <c r="B84" s="113"/>
      <c r="C84" s="53"/>
      <c r="D84" s="113"/>
      <c r="E84" s="113"/>
      <c r="F84" s="53"/>
      <c r="G84" s="113"/>
      <c r="H84" s="113"/>
      <c r="I84" s="53"/>
      <c r="J84" s="113"/>
      <c r="K84" s="113"/>
      <c r="L84" s="53"/>
      <c r="M84" s="113"/>
      <c r="N84" s="113"/>
      <c r="O84" s="53"/>
      <c r="P84" s="113"/>
      <c r="Q84" s="113"/>
      <c r="R84" s="53"/>
      <c r="S84" s="113"/>
      <c r="T84" s="113"/>
      <c r="U84" s="53"/>
      <c r="V84" s="113"/>
      <c r="W84" s="113"/>
      <c r="X84" s="53"/>
      <c r="Y84" s="113"/>
      <c r="Z84" s="113"/>
      <c r="AA84" s="53"/>
      <c r="AB84" s="113"/>
      <c r="AC84" s="113"/>
      <c r="AD84" s="53"/>
      <c r="AE84" s="113"/>
      <c r="AF84" s="113"/>
      <c r="AG84" s="53"/>
      <c r="AH84" s="113"/>
      <c r="AI84" s="113"/>
      <c r="AJ84" s="53"/>
      <c r="AK84" s="113"/>
      <c r="AL84" s="113"/>
      <c r="AM84" s="53"/>
      <c r="AN84" s="113"/>
      <c r="AO84" s="113"/>
      <c r="AP84" s="53"/>
      <c r="AQ84" s="113"/>
      <c r="AR84" s="113"/>
    </row>
    <row r="85" spans="1:44" ht="15">
      <c r="A85" s="113"/>
      <c r="B85" s="113"/>
      <c r="C85" s="53"/>
      <c r="D85" s="113"/>
      <c r="E85" s="113"/>
      <c r="F85" s="53"/>
      <c r="G85" s="113"/>
      <c r="H85" s="113"/>
      <c r="I85" s="53"/>
      <c r="J85" s="113"/>
      <c r="K85" s="113"/>
      <c r="L85" s="53"/>
      <c r="M85" s="113"/>
      <c r="N85" s="113"/>
      <c r="O85" s="53"/>
      <c r="P85" s="113"/>
      <c r="Q85" s="113"/>
      <c r="R85" s="53"/>
      <c r="S85" s="113"/>
      <c r="T85" s="113"/>
      <c r="U85" s="53"/>
      <c r="V85" s="113"/>
      <c r="W85" s="113"/>
      <c r="X85" s="53"/>
      <c r="Y85" s="113"/>
      <c r="Z85" s="113"/>
      <c r="AA85" s="53"/>
      <c r="AB85" s="113"/>
      <c r="AC85" s="113"/>
      <c r="AD85" s="53"/>
      <c r="AE85" s="113"/>
      <c r="AF85" s="113"/>
      <c r="AG85" s="53"/>
      <c r="AH85" s="113"/>
      <c r="AI85" s="113"/>
      <c r="AJ85" s="53"/>
      <c r="AK85" s="113"/>
      <c r="AL85" s="113"/>
      <c r="AM85" s="53"/>
      <c r="AN85" s="113"/>
      <c r="AO85" s="113"/>
      <c r="AP85" s="53"/>
      <c r="AQ85" s="113"/>
      <c r="AR85" s="113"/>
    </row>
    <row r="86" spans="1:44" ht="15">
      <c r="A86" s="113"/>
      <c r="B86" s="113"/>
      <c r="C86" s="53"/>
      <c r="D86" s="113"/>
      <c r="E86" s="113"/>
      <c r="F86" s="53"/>
      <c r="G86" s="113"/>
      <c r="H86" s="113"/>
      <c r="I86" s="53"/>
      <c r="J86" s="113"/>
      <c r="K86" s="113"/>
      <c r="L86" s="53"/>
      <c r="M86" s="113"/>
      <c r="N86" s="113"/>
      <c r="O86" s="53"/>
      <c r="P86" s="113"/>
      <c r="Q86" s="113"/>
      <c r="R86" s="53"/>
      <c r="S86" s="113"/>
      <c r="T86" s="113"/>
      <c r="U86" s="53"/>
      <c r="V86" s="113"/>
      <c r="W86" s="113"/>
      <c r="X86" s="53"/>
      <c r="Y86" s="113"/>
      <c r="Z86" s="113"/>
      <c r="AA86" s="53"/>
      <c r="AB86" s="113"/>
      <c r="AC86" s="113"/>
      <c r="AD86" s="53"/>
      <c r="AE86" s="113"/>
      <c r="AF86" s="113"/>
      <c r="AG86" s="53"/>
      <c r="AH86" s="113"/>
      <c r="AI86" s="113"/>
      <c r="AJ86" s="53"/>
      <c r="AK86" s="113"/>
      <c r="AL86" s="113"/>
      <c r="AM86" s="53"/>
      <c r="AN86" s="113"/>
      <c r="AO86" s="113"/>
      <c r="AP86" s="53"/>
      <c r="AQ86" s="113"/>
      <c r="AR86" s="113"/>
    </row>
    <row r="87" spans="1:44" ht="15">
      <c r="A87" s="113"/>
      <c r="B87" s="113"/>
      <c r="C87" s="53"/>
      <c r="D87" s="113"/>
      <c r="E87" s="113"/>
      <c r="F87" s="53"/>
      <c r="G87" s="113"/>
      <c r="H87" s="113"/>
      <c r="I87" s="53"/>
      <c r="J87" s="113"/>
      <c r="K87" s="113"/>
      <c r="L87" s="53"/>
      <c r="M87" s="113"/>
      <c r="N87" s="113"/>
      <c r="O87" s="53"/>
      <c r="P87" s="113"/>
      <c r="Q87" s="113"/>
      <c r="R87" s="53"/>
      <c r="S87" s="113"/>
      <c r="T87" s="113"/>
      <c r="U87" s="53"/>
      <c r="V87" s="113"/>
      <c r="W87" s="113"/>
      <c r="X87" s="53"/>
      <c r="Y87" s="113"/>
      <c r="Z87" s="113"/>
      <c r="AA87" s="53"/>
      <c r="AB87" s="113"/>
      <c r="AC87" s="113"/>
      <c r="AD87" s="53"/>
      <c r="AE87" s="113"/>
      <c r="AF87" s="113"/>
      <c r="AG87" s="53"/>
      <c r="AH87" s="113"/>
      <c r="AI87" s="113"/>
      <c r="AJ87" s="53"/>
      <c r="AK87" s="113"/>
      <c r="AL87" s="113"/>
      <c r="AM87" s="53"/>
      <c r="AN87" s="113"/>
      <c r="AO87" s="113"/>
      <c r="AP87" s="53"/>
      <c r="AQ87" s="113"/>
      <c r="AR87" s="113"/>
    </row>
    <row r="88" spans="1:44" ht="15">
      <c r="A88" s="113"/>
      <c r="B88" s="113"/>
      <c r="C88" s="53"/>
      <c r="D88" s="113"/>
      <c r="E88" s="113"/>
      <c r="F88" s="53"/>
      <c r="G88" s="113"/>
      <c r="H88" s="113"/>
      <c r="I88" s="53"/>
      <c r="J88" s="113"/>
      <c r="K88" s="113"/>
      <c r="L88" s="53"/>
      <c r="M88" s="113"/>
      <c r="N88" s="113"/>
      <c r="O88" s="53"/>
      <c r="P88" s="113"/>
      <c r="Q88" s="113"/>
      <c r="R88" s="53"/>
      <c r="S88" s="113"/>
      <c r="T88" s="113"/>
      <c r="U88" s="53"/>
      <c r="V88" s="113"/>
      <c r="W88" s="113"/>
      <c r="X88" s="53"/>
      <c r="Y88" s="113"/>
      <c r="Z88" s="113"/>
      <c r="AA88" s="53"/>
      <c r="AB88" s="113"/>
      <c r="AC88" s="113"/>
      <c r="AD88" s="53"/>
      <c r="AE88" s="113"/>
      <c r="AF88" s="113"/>
      <c r="AG88" s="53"/>
      <c r="AH88" s="113"/>
      <c r="AI88" s="113"/>
      <c r="AJ88" s="53"/>
      <c r="AK88" s="113"/>
      <c r="AL88" s="113"/>
      <c r="AM88" s="53"/>
      <c r="AN88" s="113"/>
      <c r="AO88" s="113"/>
      <c r="AP88" s="53"/>
      <c r="AQ88" s="113"/>
      <c r="AR88" s="113"/>
    </row>
    <row r="89" spans="1:44" ht="15">
      <c r="A89" s="113"/>
      <c r="B89" s="113"/>
      <c r="C89" s="53"/>
      <c r="D89" s="113"/>
      <c r="E89" s="113"/>
      <c r="F89" s="53"/>
      <c r="G89" s="113"/>
      <c r="H89" s="113"/>
      <c r="I89" s="53"/>
      <c r="J89" s="113"/>
      <c r="K89" s="113"/>
      <c r="L89" s="53"/>
      <c r="M89" s="113"/>
      <c r="N89" s="113"/>
      <c r="O89" s="53"/>
      <c r="P89" s="113"/>
      <c r="Q89" s="113"/>
      <c r="R89" s="53"/>
      <c r="S89" s="113"/>
      <c r="T89" s="113"/>
      <c r="U89" s="53"/>
      <c r="V89" s="113"/>
      <c r="W89" s="113"/>
      <c r="X89" s="53"/>
      <c r="Y89" s="113"/>
      <c r="Z89" s="113"/>
      <c r="AA89" s="53"/>
      <c r="AB89" s="113"/>
      <c r="AC89" s="113"/>
      <c r="AD89" s="53"/>
      <c r="AE89" s="113"/>
      <c r="AF89" s="113"/>
      <c r="AG89" s="53"/>
      <c r="AH89" s="113"/>
      <c r="AI89" s="113"/>
      <c r="AJ89" s="53"/>
      <c r="AK89" s="113"/>
      <c r="AL89" s="113"/>
      <c r="AM89" s="53"/>
      <c r="AN89" s="113"/>
      <c r="AO89" s="113"/>
      <c r="AP89" s="53"/>
      <c r="AQ89" s="113"/>
      <c r="AR89" s="113"/>
    </row>
    <row r="90" spans="1:44" ht="15">
      <c r="A90" s="113"/>
      <c r="B90" s="113"/>
      <c r="C90" s="53"/>
      <c r="D90" s="113"/>
      <c r="E90" s="113"/>
      <c r="F90" s="53"/>
      <c r="G90" s="113"/>
      <c r="H90" s="113"/>
      <c r="I90" s="53"/>
      <c r="J90" s="113"/>
      <c r="K90" s="113"/>
      <c r="L90" s="53"/>
      <c r="M90" s="113"/>
      <c r="N90" s="113"/>
      <c r="O90" s="53"/>
      <c r="P90" s="113"/>
      <c r="Q90" s="113"/>
      <c r="R90" s="53"/>
      <c r="S90" s="113"/>
      <c r="T90" s="113"/>
      <c r="U90" s="53"/>
      <c r="V90" s="113"/>
      <c r="W90" s="113"/>
      <c r="X90" s="53"/>
      <c r="Y90" s="113"/>
      <c r="Z90" s="113"/>
      <c r="AA90" s="53"/>
      <c r="AB90" s="113"/>
      <c r="AC90" s="113"/>
      <c r="AD90" s="53"/>
      <c r="AE90" s="113"/>
      <c r="AF90" s="113"/>
      <c r="AG90" s="53"/>
      <c r="AH90" s="113"/>
      <c r="AI90" s="113"/>
      <c r="AJ90" s="53"/>
      <c r="AK90" s="113"/>
      <c r="AL90" s="113"/>
      <c r="AM90" s="53"/>
      <c r="AN90" s="113"/>
      <c r="AO90" s="113"/>
      <c r="AP90" s="53"/>
      <c r="AQ90" s="113"/>
      <c r="AR90" s="113"/>
    </row>
    <row r="91" spans="1:44" ht="15">
      <c r="A91" s="113"/>
      <c r="B91" s="113"/>
      <c r="C91" s="53"/>
      <c r="D91" s="113"/>
      <c r="E91" s="113"/>
      <c r="F91" s="53"/>
      <c r="G91" s="113"/>
      <c r="H91" s="113"/>
      <c r="I91" s="53"/>
      <c r="J91" s="113"/>
      <c r="K91" s="113"/>
      <c r="L91" s="53"/>
      <c r="M91" s="113"/>
      <c r="N91" s="113"/>
      <c r="O91" s="53"/>
      <c r="P91" s="113"/>
      <c r="Q91" s="113"/>
      <c r="R91" s="53"/>
      <c r="S91" s="113"/>
      <c r="T91" s="113"/>
      <c r="U91" s="53"/>
      <c r="V91" s="113"/>
      <c r="W91" s="113"/>
      <c r="X91" s="53"/>
      <c r="Y91" s="113"/>
      <c r="Z91" s="113"/>
      <c r="AA91" s="53"/>
      <c r="AB91" s="113"/>
      <c r="AC91" s="113"/>
      <c r="AD91" s="53"/>
      <c r="AE91" s="113"/>
      <c r="AF91" s="113"/>
      <c r="AG91" s="53"/>
      <c r="AH91" s="113"/>
      <c r="AI91" s="113"/>
      <c r="AJ91" s="53"/>
      <c r="AK91" s="113"/>
      <c r="AL91" s="113"/>
      <c r="AM91" s="53"/>
      <c r="AN91" s="113"/>
      <c r="AO91" s="113"/>
      <c r="AP91" s="53"/>
      <c r="AQ91" s="113"/>
      <c r="AR91" s="113"/>
    </row>
    <row r="92" spans="1:44" ht="15">
      <c r="A92" s="113"/>
      <c r="B92" s="113"/>
      <c r="C92" s="53"/>
      <c r="D92" s="113"/>
      <c r="E92" s="113"/>
      <c r="F92" s="53"/>
      <c r="G92" s="113"/>
      <c r="H92" s="113"/>
      <c r="I92" s="53"/>
      <c r="J92" s="113"/>
      <c r="K92" s="113"/>
      <c r="L92" s="53"/>
      <c r="M92" s="113"/>
      <c r="N92" s="113"/>
      <c r="O92" s="53"/>
      <c r="P92" s="113"/>
      <c r="Q92" s="113"/>
      <c r="R92" s="53"/>
      <c r="S92" s="113"/>
      <c r="T92" s="113"/>
      <c r="U92" s="53"/>
      <c r="V92" s="113"/>
      <c r="W92" s="113"/>
      <c r="X92" s="53"/>
      <c r="Y92" s="113"/>
      <c r="Z92" s="113"/>
      <c r="AA92" s="53"/>
      <c r="AB92" s="113"/>
      <c r="AC92" s="113"/>
      <c r="AD92" s="53"/>
      <c r="AE92" s="113"/>
      <c r="AF92" s="113"/>
      <c r="AG92" s="53"/>
      <c r="AH92" s="113"/>
      <c r="AI92" s="113"/>
      <c r="AJ92" s="53"/>
      <c r="AK92" s="113"/>
      <c r="AL92" s="113"/>
      <c r="AM92" s="53"/>
      <c r="AN92" s="113"/>
      <c r="AO92" s="113"/>
      <c r="AP92" s="53"/>
      <c r="AQ92" s="113"/>
      <c r="AR92" s="113"/>
    </row>
    <row r="93" spans="1:44" ht="15">
      <c r="A93" s="113"/>
      <c r="B93" s="113"/>
      <c r="C93" s="53"/>
      <c r="D93" s="113"/>
      <c r="E93" s="113"/>
      <c r="F93" s="53"/>
      <c r="G93" s="113"/>
      <c r="H93" s="113"/>
      <c r="I93" s="53"/>
      <c r="J93" s="113"/>
      <c r="K93" s="113"/>
      <c r="L93" s="53"/>
      <c r="M93" s="113"/>
      <c r="N93" s="113"/>
      <c r="O93" s="53"/>
      <c r="P93" s="113"/>
      <c r="Q93" s="113"/>
      <c r="R93" s="53"/>
      <c r="S93" s="113"/>
      <c r="T93" s="113"/>
      <c r="U93" s="53"/>
      <c r="V93" s="113"/>
      <c r="W93" s="113"/>
      <c r="X93" s="53"/>
      <c r="Y93" s="113"/>
      <c r="Z93" s="113"/>
      <c r="AA93" s="53"/>
      <c r="AB93" s="113"/>
      <c r="AC93" s="113"/>
      <c r="AD93" s="53"/>
      <c r="AE93" s="113"/>
      <c r="AF93" s="113"/>
      <c r="AG93" s="53"/>
      <c r="AH93" s="113"/>
      <c r="AI93" s="113"/>
      <c r="AJ93" s="53"/>
      <c r="AK93" s="113"/>
      <c r="AL93" s="113"/>
      <c r="AM93" s="53"/>
      <c r="AN93" s="113"/>
      <c r="AO93" s="113"/>
      <c r="AP93" s="53"/>
      <c r="AQ93" s="113"/>
      <c r="AR93" s="113"/>
    </row>
    <row r="94" spans="1:44" ht="15">
      <c r="A94" s="113"/>
      <c r="B94" s="113"/>
      <c r="C94" s="53"/>
      <c r="D94" s="113"/>
      <c r="E94" s="113"/>
      <c r="F94" s="53"/>
      <c r="G94" s="113"/>
      <c r="H94" s="113"/>
      <c r="I94" s="53"/>
      <c r="J94" s="113"/>
      <c r="K94" s="113"/>
      <c r="L94" s="53"/>
      <c r="M94" s="113"/>
      <c r="N94" s="113"/>
      <c r="O94" s="53"/>
      <c r="P94" s="113"/>
      <c r="Q94" s="113"/>
      <c r="R94" s="53"/>
      <c r="S94" s="113"/>
      <c r="T94" s="113"/>
      <c r="U94" s="53"/>
      <c r="V94" s="113"/>
      <c r="W94" s="113"/>
      <c r="X94" s="53"/>
      <c r="Y94" s="113"/>
      <c r="Z94" s="113"/>
      <c r="AA94" s="53"/>
      <c r="AB94" s="113"/>
      <c r="AC94" s="113"/>
      <c r="AD94" s="53"/>
      <c r="AE94" s="113"/>
      <c r="AF94" s="113"/>
      <c r="AG94" s="53"/>
      <c r="AH94" s="113"/>
      <c r="AI94" s="113"/>
      <c r="AJ94" s="53"/>
      <c r="AK94" s="113"/>
      <c r="AL94" s="113"/>
      <c r="AM94" s="53"/>
      <c r="AN94" s="113"/>
      <c r="AO94" s="113"/>
      <c r="AP94" s="53"/>
      <c r="AQ94" s="113"/>
      <c r="AR94" s="113"/>
    </row>
    <row r="95" spans="1:44" ht="15">
      <c r="A95" s="113"/>
      <c r="B95" s="113"/>
      <c r="C95" s="53"/>
      <c r="D95" s="113"/>
      <c r="E95" s="113"/>
      <c r="F95" s="53"/>
      <c r="G95" s="113"/>
      <c r="H95" s="113"/>
      <c r="I95" s="53"/>
      <c r="J95" s="113"/>
      <c r="K95" s="113"/>
      <c r="L95" s="53"/>
      <c r="M95" s="113"/>
      <c r="N95" s="113"/>
      <c r="O95" s="53"/>
      <c r="P95" s="113"/>
      <c r="Q95" s="113"/>
      <c r="R95" s="53"/>
      <c r="S95" s="113"/>
      <c r="T95" s="113"/>
      <c r="U95" s="53"/>
      <c r="V95" s="113"/>
      <c r="W95" s="113"/>
      <c r="X95" s="53"/>
      <c r="Y95" s="113"/>
      <c r="Z95" s="113"/>
      <c r="AA95" s="53"/>
      <c r="AB95" s="113"/>
      <c r="AC95" s="113"/>
      <c r="AD95" s="53"/>
      <c r="AE95" s="113"/>
      <c r="AF95" s="113"/>
      <c r="AG95" s="53"/>
      <c r="AH95" s="113"/>
      <c r="AI95" s="113"/>
      <c r="AJ95" s="53"/>
      <c r="AK95" s="113"/>
      <c r="AL95" s="113"/>
      <c r="AM95" s="53"/>
      <c r="AN95" s="113"/>
      <c r="AO95" s="113"/>
      <c r="AP95" s="53"/>
      <c r="AQ95" s="113"/>
      <c r="AR95" s="113"/>
    </row>
    <row r="96" spans="1:44" ht="15">
      <c r="A96" s="113"/>
      <c r="B96" s="113"/>
      <c r="C96" s="53"/>
      <c r="D96" s="113"/>
      <c r="E96" s="113"/>
      <c r="F96" s="53"/>
      <c r="G96" s="113"/>
      <c r="H96" s="113"/>
      <c r="I96" s="53"/>
      <c r="J96" s="113"/>
      <c r="K96" s="113"/>
      <c r="L96" s="53"/>
      <c r="M96" s="113"/>
      <c r="N96" s="113"/>
      <c r="O96" s="53"/>
      <c r="P96" s="113"/>
      <c r="Q96" s="113"/>
      <c r="R96" s="53"/>
      <c r="S96" s="113"/>
      <c r="T96" s="113"/>
      <c r="U96" s="53"/>
      <c r="V96" s="113"/>
      <c r="W96" s="113"/>
      <c r="X96" s="53"/>
      <c r="Y96" s="113"/>
      <c r="Z96" s="113"/>
      <c r="AA96" s="53"/>
      <c r="AB96" s="113"/>
      <c r="AC96" s="113"/>
      <c r="AD96" s="53"/>
      <c r="AE96" s="113"/>
      <c r="AF96" s="113"/>
      <c r="AG96" s="53"/>
      <c r="AH96" s="113"/>
      <c r="AI96" s="113"/>
      <c r="AJ96" s="53"/>
      <c r="AK96" s="113"/>
      <c r="AL96" s="113"/>
      <c r="AM96" s="53"/>
      <c r="AN96" s="113"/>
      <c r="AO96" s="113"/>
      <c r="AP96" s="53"/>
      <c r="AQ96" s="113"/>
      <c r="AR96" s="113"/>
    </row>
    <row r="97" spans="1:44" ht="15">
      <c r="A97" s="113"/>
      <c r="B97" s="113"/>
      <c r="C97" s="53"/>
      <c r="D97" s="113"/>
      <c r="E97" s="113"/>
      <c r="F97" s="53"/>
      <c r="G97" s="113"/>
      <c r="H97" s="113"/>
      <c r="I97" s="53"/>
      <c r="J97" s="113"/>
      <c r="K97" s="113"/>
      <c r="L97" s="53"/>
      <c r="M97" s="113"/>
      <c r="N97" s="113"/>
      <c r="O97" s="53"/>
      <c r="P97" s="113"/>
      <c r="Q97" s="113"/>
      <c r="R97" s="53"/>
      <c r="S97" s="113"/>
      <c r="T97" s="113"/>
      <c r="U97" s="53"/>
      <c r="V97" s="113"/>
      <c r="W97" s="113"/>
      <c r="X97" s="53"/>
      <c r="Y97" s="113"/>
      <c r="Z97" s="113"/>
      <c r="AA97" s="53"/>
      <c r="AB97" s="113"/>
      <c r="AC97" s="113"/>
      <c r="AD97" s="53"/>
      <c r="AE97" s="113"/>
      <c r="AF97" s="113"/>
      <c r="AG97" s="53"/>
      <c r="AH97" s="113"/>
      <c r="AI97" s="113"/>
      <c r="AJ97" s="53"/>
      <c r="AK97" s="113"/>
      <c r="AL97" s="113"/>
      <c r="AM97" s="53"/>
      <c r="AN97" s="113"/>
      <c r="AO97" s="113"/>
      <c r="AP97" s="53"/>
      <c r="AQ97" s="113"/>
      <c r="AR97" s="113"/>
    </row>
    <row r="98" spans="1:44" ht="15">
      <c r="A98" s="113"/>
      <c r="B98" s="113"/>
      <c r="C98" s="53"/>
      <c r="D98" s="113"/>
      <c r="E98" s="113"/>
      <c r="F98" s="53"/>
      <c r="G98" s="113"/>
      <c r="H98" s="113"/>
      <c r="I98" s="53"/>
      <c r="J98" s="113"/>
      <c r="K98" s="113"/>
      <c r="L98" s="53"/>
      <c r="M98" s="113"/>
      <c r="N98" s="113"/>
      <c r="O98" s="53"/>
      <c r="P98" s="113"/>
      <c r="Q98" s="113"/>
      <c r="R98" s="53"/>
      <c r="S98" s="113"/>
      <c r="T98" s="113"/>
      <c r="U98" s="53"/>
      <c r="V98" s="113"/>
      <c r="W98" s="113"/>
      <c r="X98" s="53"/>
      <c r="Y98" s="113"/>
      <c r="Z98" s="113"/>
      <c r="AA98" s="53"/>
      <c r="AB98" s="113"/>
      <c r="AC98" s="113"/>
      <c r="AD98" s="53"/>
      <c r="AE98" s="113"/>
      <c r="AF98" s="113"/>
      <c r="AG98" s="53"/>
      <c r="AH98" s="113"/>
      <c r="AI98" s="113"/>
      <c r="AJ98" s="53"/>
      <c r="AK98" s="113"/>
      <c r="AL98" s="113"/>
      <c r="AM98" s="53"/>
      <c r="AN98" s="113"/>
      <c r="AO98" s="113"/>
      <c r="AP98" s="53"/>
      <c r="AQ98" s="113"/>
      <c r="AR98" s="113"/>
    </row>
    <row r="99" spans="1:44" ht="15">
      <c r="A99" s="113"/>
      <c r="B99" s="113"/>
      <c r="C99" s="53"/>
      <c r="D99" s="113"/>
      <c r="E99" s="113"/>
      <c r="F99" s="53"/>
      <c r="G99" s="113"/>
      <c r="H99" s="113"/>
      <c r="I99" s="53"/>
      <c r="J99" s="113"/>
      <c r="K99" s="113"/>
      <c r="L99" s="53"/>
      <c r="M99" s="113"/>
      <c r="N99" s="113"/>
      <c r="O99" s="53"/>
      <c r="P99" s="113"/>
      <c r="Q99" s="113"/>
      <c r="R99" s="53"/>
      <c r="S99" s="113"/>
      <c r="T99" s="113"/>
      <c r="U99" s="53"/>
      <c r="V99" s="113"/>
      <c r="W99" s="113"/>
      <c r="X99" s="53"/>
      <c r="Y99" s="113"/>
      <c r="Z99" s="113"/>
      <c r="AA99" s="53"/>
      <c r="AB99" s="113"/>
      <c r="AC99" s="113"/>
      <c r="AD99" s="53"/>
      <c r="AE99" s="113"/>
      <c r="AF99" s="113"/>
      <c r="AG99" s="53"/>
      <c r="AH99" s="113"/>
      <c r="AI99" s="113"/>
      <c r="AJ99" s="53"/>
      <c r="AK99" s="113"/>
      <c r="AL99" s="113"/>
      <c r="AM99" s="53"/>
      <c r="AN99" s="113"/>
      <c r="AO99" s="113"/>
      <c r="AP99" s="53"/>
      <c r="AQ99" s="113"/>
      <c r="AR99" s="113"/>
    </row>
    <row r="100" spans="1:44" ht="15">
      <c r="A100" s="113"/>
      <c r="B100" s="113"/>
      <c r="C100" s="53"/>
      <c r="D100" s="113"/>
      <c r="E100" s="113"/>
      <c r="F100" s="53"/>
      <c r="G100" s="113"/>
      <c r="H100" s="113"/>
      <c r="I100" s="53"/>
      <c r="J100" s="113"/>
      <c r="K100" s="113"/>
      <c r="L100" s="53"/>
      <c r="M100" s="113"/>
      <c r="N100" s="113"/>
      <c r="O100" s="53"/>
      <c r="P100" s="113"/>
      <c r="Q100" s="113"/>
      <c r="R100" s="53"/>
      <c r="S100" s="113"/>
      <c r="T100" s="113"/>
      <c r="U100" s="53"/>
      <c r="V100" s="113"/>
      <c r="W100" s="113"/>
      <c r="X100" s="53"/>
      <c r="Y100" s="113"/>
      <c r="Z100" s="113"/>
      <c r="AA100" s="53"/>
      <c r="AB100" s="113"/>
      <c r="AC100" s="113"/>
      <c r="AD100" s="53"/>
      <c r="AE100" s="113"/>
      <c r="AF100" s="113"/>
      <c r="AG100" s="53"/>
      <c r="AH100" s="113"/>
      <c r="AI100" s="113"/>
      <c r="AJ100" s="53"/>
      <c r="AK100" s="113"/>
      <c r="AL100" s="113"/>
      <c r="AM100" s="53"/>
      <c r="AN100" s="113"/>
      <c r="AO100" s="113"/>
      <c r="AP100" s="53"/>
      <c r="AQ100" s="113"/>
      <c r="AR100" s="113"/>
    </row>
    <row r="101" spans="1:44" ht="15">
      <c r="A101" s="113"/>
      <c r="B101" s="113"/>
      <c r="C101" s="53"/>
      <c r="D101" s="113"/>
      <c r="E101" s="113"/>
      <c r="F101" s="53"/>
      <c r="G101" s="113"/>
      <c r="H101" s="113"/>
      <c r="I101" s="53"/>
      <c r="J101" s="113"/>
      <c r="K101" s="113"/>
      <c r="L101" s="53"/>
      <c r="M101" s="113"/>
      <c r="N101" s="113"/>
      <c r="O101" s="53"/>
      <c r="P101" s="113"/>
      <c r="Q101" s="113"/>
      <c r="R101" s="53"/>
      <c r="S101" s="113"/>
      <c r="T101" s="113"/>
      <c r="U101" s="53"/>
      <c r="V101" s="113"/>
      <c r="W101" s="113"/>
      <c r="X101" s="53"/>
      <c r="Y101" s="113"/>
      <c r="Z101" s="113"/>
      <c r="AA101" s="53"/>
      <c r="AB101" s="113"/>
      <c r="AC101" s="113"/>
      <c r="AD101" s="53"/>
      <c r="AE101" s="113"/>
      <c r="AF101" s="113"/>
      <c r="AG101" s="53"/>
      <c r="AH101" s="113"/>
      <c r="AI101" s="113"/>
      <c r="AJ101" s="53"/>
      <c r="AK101" s="113"/>
      <c r="AL101" s="113"/>
      <c r="AM101" s="53"/>
      <c r="AN101" s="113"/>
      <c r="AO101" s="113"/>
      <c r="AP101" s="53"/>
      <c r="AQ101" s="113"/>
      <c r="AR101" s="113"/>
    </row>
    <row r="102" spans="1:44" ht="15">
      <c r="A102" s="113"/>
      <c r="B102" s="113"/>
      <c r="C102" s="53"/>
      <c r="D102" s="113"/>
      <c r="E102" s="113"/>
      <c r="F102" s="53"/>
      <c r="G102" s="113"/>
      <c r="H102" s="113"/>
      <c r="I102" s="53"/>
      <c r="J102" s="113"/>
      <c r="K102" s="113"/>
      <c r="L102" s="53"/>
      <c r="M102" s="113"/>
      <c r="N102" s="113"/>
      <c r="O102" s="53"/>
      <c r="P102" s="113"/>
      <c r="Q102" s="113"/>
      <c r="R102" s="53"/>
      <c r="S102" s="113"/>
      <c r="T102" s="113"/>
      <c r="U102" s="53"/>
      <c r="V102" s="113"/>
      <c r="W102" s="113"/>
      <c r="X102" s="53"/>
      <c r="Y102" s="113"/>
      <c r="Z102" s="113"/>
      <c r="AA102" s="53"/>
      <c r="AB102" s="113"/>
      <c r="AC102" s="113"/>
      <c r="AD102" s="53"/>
      <c r="AE102" s="113"/>
      <c r="AF102" s="113"/>
      <c r="AG102" s="53"/>
      <c r="AH102" s="113"/>
      <c r="AI102" s="113"/>
      <c r="AJ102" s="53"/>
      <c r="AK102" s="113"/>
      <c r="AL102" s="113"/>
      <c r="AM102" s="53"/>
      <c r="AN102" s="113"/>
      <c r="AO102" s="113"/>
      <c r="AP102" s="53"/>
      <c r="AQ102" s="113"/>
      <c r="AR102" s="113"/>
    </row>
    <row r="103" spans="1:44" ht="15">
      <c r="A103" s="113"/>
      <c r="B103" s="113"/>
      <c r="C103" s="53"/>
      <c r="D103" s="113"/>
      <c r="E103" s="113"/>
      <c r="F103" s="53"/>
      <c r="G103" s="113"/>
      <c r="H103" s="113"/>
      <c r="I103" s="53"/>
      <c r="J103" s="113"/>
      <c r="K103" s="113"/>
      <c r="L103" s="53"/>
      <c r="M103" s="113"/>
      <c r="N103" s="113"/>
      <c r="O103" s="53"/>
      <c r="P103" s="113"/>
      <c r="Q103" s="113"/>
      <c r="R103" s="53"/>
      <c r="S103" s="113"/>
      <c r="T103" s="113"/>
      <c r="U103" s="53"/>
      <c r="V103" s="113"/>
      <c r="W103" s="113"/>
      <c r="X103" s="53"/>
      <c r="Y103" s="113"/>
      <c r="Z103" s="113"/>
      <c r="AA103" s="53"/>
      <c r="AB103" s="113"/>
      <c r="AC103" s="113"/>
      <c r="AD103" s="53"/>
      <c r="AE103" s="113"/>
      <c r="AF103" s="113"/>
      <c r="AG103" s="53"/>
      <c r="AH103" s="113"/>
      <c r="AI103" s="113"/>
      <c r="AJ103" s="53"/>
      <c r="AK103" s="113"/>
      <c r="AL103" s="113"/>
      <c r="AM103" s="53"/>
      <c r="AN103" s="113"/>
      <c r="AO103" s="113"/>
      <c r="AP103" s="53"/>
      <c r="AQ103" s="113"/>
      <c r="AR103" s="113"/>
    </row>
    <row r="104" spans="1:44" ht="15">
      <c r="A104" s="113"/>
      <c r="B104" s="113"/>
      <c r="C104" s="53"/>
      <c r="D104" s="113"/>
      <c r="E104" s="113"/>
      <c r="F104" s="53"/>
      <c r="G104" s="113"/>
      <c r="H104" s="113"/>
      <c r="I104" s="53"/>
      <c r="J104" s="113"/>
      <c r="K104" s="113"/>
      <c r="L104" s="53"/>
      <c r="M104" s="113"/>
      <c r="N104" s="113"/>
      <c r="O104" s="53"/>
      <c r="P104" s="113"/>
      <c r="Q104" s="113"/>
      <c r="R104" s="53"/>
      <c r="S104" s="113"/>
      <c r="T104" s="113"/>
      <c r="U104" s="53"/>
      <c r="V104" s="113"/>
      <c r="W104" s="113"/>
      <c r="X104" s="53"/>
      <c r="Y104" s="113"/>
      <c r="Z104" s="113"/>
      <c r="AA104" s="53"/>
      <c r="AB104" s="113"/>
      <c r="AC104" s="113"/>
      <c r="AD104" s="53"/>
      <c r="AE104" s="113"/>
      <c r="AF104" s="113"/>
      <c r="AG104" s="53"/>
      <c r="AH104" s="113"/>
      <c r="AI104" s="113"/>
      <c r="AJ104" s="53"/>
      <c r="AK104" s="113"/>
      <c r="AL104" s="113"/>
      <c r="AM104" s="53"/>
      <c r="AN104" s="113"/>
      <c r="AO104" s="113"/>
      <c r="AP104" s="53"/>
      <c r="AQ104" s="113"/>
      <c r="AR104" s="113"/>
    </row>
    <row r="105" spans="1:44" ht="15">
      <c r="A105" s="113"/>
      <c r="B105" s="113"/>
      <c r="C105" s="53"/>
      <c r="D105" s="113"/>
      <c r="E105" s="113"/>
      <c r="F105" s="53"/>
      <c r="G105" s="113"/>
      <c r="H105" s="113"/>
      <c r="I105" s="53"/>
      <c r="J105" s="113"/>
      <c r="K105" s="113"/>
      <c r="L105" s="53"/>
      <c r="M105" s="113"/>
      <c r="N105" s="113"/>
      <c r="O105" s="53"/>
      <c r="P105" s="113"/>
      <c r="Q105" s="113"/>
      <c r="R105" s="53"/>
      <c r="S105" s="113"/>
      <c r="T105" s="113"/>
      <c r="U105" s="53"/>
      <c r="V105" s="113"/>
      <c r="W105" s="113"/>
      <c r="X105" s="53"/>
      <c r="Y105" s="113"/>
      <c r="Z105" s="113"/>
      <c r="AA105" s="53"/>
      <c r="AB105" s="113"/>
      <c r="AC105" s="113"/>
      <c r="AD105" s="53"/>
      <c r="AE105" s="113"/>
      <c r="AF105" s="113"/>
      <c r="AG105" s="53"/>
      <c r="AH105" s="113"/>
      <c r="AI105" s="113"/>
      <c r="AJ105" s="53"/>
      <c r="AK105" s="113"/>
      <c r="AL105" s="113"/>
      <c r="AM105" s="53"/>
      <c r="AN105" s="113"/>
      <c r="AO105" s="113"/>
      <c r="AP105" s="53"/>
      <c r="AQ105" s="113"/>
      <c r="AR105" s="113"/>
    </row>
    <row r="106" spans="1:44" ht="15">
      <c r="A106" s="113"/>
      <c r="B106" s="113"/>
      <c r="C106" s="53"/>
      <c r="D106" s="113"/>
      <c r="E106" s="113"/>
      <c r="F106" s="53"/>
      <c r="G106" s="113"/>
      <c r="H106" s="113"/>
      <c r="I106" s="53"/>
      <c r="J106" s="113"/>
      <c r="K106" s="113"/>
      <c r="L106" s="53"/>
      <c r="M106" s="113"/>
      <c r="N106" s="113"/>
      <c r="O106" s="53"/>
      <c r="P106" s="113"/>
      <c r="Q106" s="113"/>
      <c r="R106" s="53"/>
      <c r="S106" s="113"/>
      <c r="T106" s="113"/>
      <c r="U106" s="53"/>
      <c r="V106" s="113"/>
      <c r="W106" s="113"/>
      <c r="X106" s="53"/>
      <c r="Y106" s="113"/>
      <c r="Z106" s="113"/>
      <c r="AA106" s="53"/>
      <c r="AB106" s="113"/>
      <c r="AC106" s="113"/>
      <c r="AD106" s="53"/>
      <c r="AE106" s="113"/>
      <c r="AF106" s="113"/>
      <c r="AG106" s="53"/>
      <c r="AH106" s="113"/>
      <c r="AI106" s="113"/>
      <c r="AJ106" s="53"/>
      <c r="AK106" s="113"/>
      <c r="AL106" s="113"/>
      <c r="AM106" s="53"/>
      <c r="AN106" s="113"/>
      <c r="AO106" s="113"/>
      <c r="AP106" s="53"/>
      <c r="AQ106" s="113"/>
      <c r="AR106" s="113"/>
    </row>
    <row r="107" spans="1:44" ht="15">
      <c r="A107" s="113"/>
      <c r="B107" s="113"/>
      <c r="C107" s="53"/>
      <c r="D107" s="113"/>
      <c r="E107" s="113"/>
      <c r="F107" s="53"/>
      <c r="G107" s="113"/>
      <c r="H107" s="113"/>
      <c r="I107" s="53"/>
      <c r="J107" s="113"/>
      <c r="K107" s="113"/>
      <c r="L107" s="53"/>
      <c r="M107" s="113"/>
      <c r="N107" s="113"/>
      <c r="O107" s="53"/>
      <c r="P107" s="113"/>
      <c r="Q107" s="113"/>
      <c r="R107" s="53"/>
      <c r="S107" s="113"/>
      <c r="T107" s="113"/>
      <c r="U107" s="53"/>
      <c r="V107" s="113"/>
      <c r="W107" s="113"/>
      <c r="X107" s="53"/>
      <c r="Y107" s="113"/>
      <c r="Z107" s="113"/>
      <c r="AA107" s="53"/>
      <c r="AB107" s="113"/>
      <c r="AC107" s="113"/>
      <c r="AD107" s="53"/>
      <c r="AE107" s="113"/>
      <c r="AF107" s="113"/>
      <c r="AG107" s="53"/>
      <c r="AH107" s="113"/>
      <c r="AI107" s="113"/>
      <c r="AJ107" s="53"/>
      <c r="AK107" s="113"/>
      <c r="AL107" s="113"/>
      <c r="AM107" s="53"/>
      <c r="AN107" s="113"/>
      <c r="AO107" s="113"/>
      <c r="AP107" s="53"/>
      <c r="AQ107" s="113"/>
      <c r="AR107" s="113"/>
    </row>
    <row r="108" spans="1:44" ht="15">
      <c r="A108" s="113"/>
      <c r="B108" s="113"/>
      <c r="C108" s="53"/>
      <c r="D108" s="113"/>
      <c r="E108" s="113"/>
      <c r="F108" s="53"/>
      <c r="G108" s="113"/>
      <c r="H108" s="113"/>
      <c r="I108" s="53"/>
      <c r="J108" s="113"/>
      <c r="K108" s="113"/>
      <c r="L108" s="53"/>
      <c r="M108" s="113"/>
      <c r="N108" s="113"/>
      <c r="O108" s="53"/>
      <c r="P108" s="113"/>
      <c r="Q108" s="113"/>
      <c r="R108" s="53"/>
      <c r="S108" s="113"/>
      <c r="T108" s="113"/>
      <c r="U108" s="53"/>
      <c r="V108" s="113"/>
      <c r="W108" s="113"/>
      <c r="X108" s="53"/>
      <c r="Y108" s="113"/>
      <c r="Z108" s="113"/>
      <c r="AA108" s="53"/>
      <c r="AB108" s="113"/>
      <c r="AC108" s="113"/>
      <c r="AD108" s="53"/>
      <c r="AE108" s="113"/>
      <c r="AF108" s="113"/>
      <c r="AG108" s="53"/>
      <c r="AH108" s="113"/>
      <c r="AI108" s="113"/>
      <c r="AJ108" s="53"/>
      <c r="AK108" s="113"/>
      <c r="AL108" s="113"/>
      <c r="AM108" s="53"/>
      <c r="AN108" s="113"/>
      <c r="AO108" s="113"/>
      <c r="AP108" s="53"/>
      <c r="AQ108" s="113"/>
      <c r="AR108" s="113"/>
    </row>
    <row r="109" spans="1:44" ht="15">
      <c r="A109" s="113"/>
      <c r="B109" s="113"/>
      <c r="C109" s="53"/>
      <c r="D109" s="113"/>
      <c r="E109" s="113"/>
      <c r="F109" s="53"/>
      <c r="G109" s="113"/>
      <c r="H109" s="113"/>
      <c r="I109" s="53"/>
      <c r="J109" s="113"/>
      <c r="K109" s="113"/>
      <c r="L109" s="53"/>
      <c r="M109" s="113"/>
      <c r="N109" s="113"/>
      <c r="O109" s="53"/>
      <c r="P109" s="113"/>
      <c r="Q109" s="113"/>
      <c r="R109" s="53"/>
      <c r="S109" s="113"/>
      <c r="T109" s="113"/>
      <c r="U109" s="53"/>
      <c r="V109" s="113"/>
      <c r="W109" s="113"/>
      <c r="X109" s="53"/>
      <c r="Y109" s="113"/>
      <c r="Z109" s="113"/>
      <c r="AA109" s="53"/>
      <c r="AB109" s="113"/>
      <c r="AC109" s="113"/>
      <c r="AD109" s="53"/>
      <c r="AE109" s="113"/>
      <c r="AF109" s="113"/>
      <c r="AG109" s="53"/>
      <c r="AH109" s="113"/>
      <c r="AI109" s="113"/>
      <c r="AJ109" s="53"/>
      <c r="AK109" s="113"/>
      <c r="AL109" s="113"/>
      <c r="AM109" s="53"/>
      <c r="AN109" s="113"/>
      <c r="AO109" s="113"/>
      <c r="AP109" s="53"/>
      <c r="AQ109" s="113"/>
      <c r="AR109" s="113"/>
    </row>
    <row r="110" spans="1:44" ht="15">
      <c r="A110" s="113"/>
      <c r="B110" s="113"/>
      <c r="C110" s="53"/>
      <c r="D110" s="113"/>
      <c r="E110" s="113"/>
      <c r="F110" s="53"/>
      <c r="G110" s="113"/>
      <c r="H110" s="113"/>
      <c r="I110" s="53"/>
      <c r="J110" s="113"/>
      <c r="K110" s="113"/>
      <c r="L110" s="53"/>
      <c r="M110" s="113"/>
      <c r="N110" s="113"/>
      <c r="O110" s="53"/>
      <c r="P110" s="113"/>
      <c r="Q110" s="113"/>
      <c r="R110" s="53"/>
      <c r="S110" s="113"/>
      <c r="T110" s="113"/>
      <c r="U110" s="53"/>
      <c r="V110" s="113"/>
      <c r="W110" s="113"/>
      <c r="X110" s="53"/>
      <c r="Y110" s="113"/>
      <c r="Z110" s="113"/>
      <c r="AA110" s="53"/>
      <c r="AB110" s="113"/>
      <c r="AC110" s="113"/>
      <c r="AD110" s="53"/>
      <c r="AE110" s="113"/>
      <c r="AF110" s="113"/>
      <c r="AG110" s="53"/>
      <c r="AH110" s="113"/>
      <c r="AI110" s="113"/>
      <c r="AJ110" s="53"/>
      <c r="AK110" s="113"/>
      <c r="AL110" s="113"/>
      <c r="AM110" s="53"/>
      <c r="AN110" s="113"/>
      <c r="AO110" s="113"/>
      <c r="AP110" s="53"/>
      <c r="AQ110" s="113"/>
      <c r="AR110" s="113"/>
    </row>
    <row r="111" spans="1:44" ht="15">
      <c r="A111" s="113"/>
      <c r="B111" s="113"/>
      <c r="C111" s="53"/>
      <c r="D111" s="113"/>
      <c r="E111" s="113"/>
      <c r="F111" s="53"/>
      <c r="G111" s="113"/>
      <c r="H111" s="113"/>
      <c r="I111" s="53"/>
      <c r="J111" s="113"/>
      <c r="K111" s="113"/>
      <c r="L111" s="53"/>
      <c r="M111" s="113"/>
      <c r="N111" s="113"/>
      <c r="O111" s="53"/>
      <c r="P111" s="113"/>
      <c r="Q111" s="113"/>
      <c r="R111" s="53"/>
      <c r="S111" s="113"/>
      <c r="T111" s="113"/>
      <c r="U111" s="53"/>
      <c r="V111" s="113"/>
      <c r="W111" s="113"/>
      <c r="X111" s="53"/>
      <c r="Y111" s="113"/>
      <c r="Z111" s="113"/>
      <c r="AA111" s="53"/>
      <c r="AB111" s="113"/>
      <c r="AC111" s="113"/>
      <c r="AD111" s="53"/>
      <c r="AE111" s="113"/>
      <c r="AF111" s="113"/>
      <c r="AG111" s="53"/>
      <c r="AH111" s="113"/>
      <c r="AI111" s="113"/>
      <c r="AJ111" s="53"/>
      <c r="AK111" s="113"/>
      <c r="AL111" s="113"/>
      <c r="AM111" s="53"/>
      <c r="AN111" s="113"/>
      <c r="AO111" s="113"/>
      <c r="AP111" s="53"/>
      <c r="AQ111" s="113"/>
      <c r="AR111" s="113"/>
    </row>
    <row r="112" spans="1:44" ht="15">
      <c r="A112" s="113"/>
      <c r="B112" s="113"/>
      <c r="C112" s="53"/>
      <c r="D112" s="113"/>
      <c r="E112" s="113"/>
      <c r="F112" s="53"/>
      <c r="G112" s="113"/>
      <c r="H112" s="113"/>
      <c r="I112" s="53"/>
      <c r="J112" s="113"/>
      <c r="K112" s="113"/>
      <c r="L112" s="53"/>
      <c r="M112" s="113"/>
      <c r="N112" s="113"/>
      <c r="O112" s="53"/>
      <c r="P112" s="113"/>
      <c r="Q112" s="113"/>
      <c r="R112" s="53"/>
      <c r="S112" s="113"/>
      <c r="T112" s="113"/>
      <c r="U112" s="53"/>
      <c r="V112" s="113"/>
      <c r="W112" s="113"/>
      <c r="X112" s="53"/>
      <c r="Y112" s="113"/>
      <c r="Z112" s="113"/>
      <c r="AA112" s="53"/>
      <c r="AB112" s="113"/>
      <c r="AC112" s="113"/>
      <c r="AD112" s="53"/>
      <c r="AE112" s="113"/>
      <c r="AF112" s="113"/>
      <c r="AG112" s="53"/>
      <c r="AH112" s="113"/>
      <c r="AI112" s="113"/>
      <c r="AJ112" s="53"/>
      <c r="AK112" s="113"/>
      <c r="AL112" s="113"/>
      <c r="AM112" s="53"/>
      <c r="AN112" s="113"/>
      <c r="AO112" s="113"/>
      <c r="AP112" s="53"/>
      <c r="AQ112" s="113"/>
      <c r="AR112" s="113"/>
    </row>
    <row r="113" spans="1:44" ht="15">
      <c r="A113" s="113"/>
      <c r="B113" s="113"/>
      <c r="C113" s="53"/>
      <c r="D113" s="113"/>
      <c r="E113" s="113"/>
      <c r="F113" s="53"/>
      <c r="G113" s="113"/>
      <c r="H113" s="113"/>
      <c r="I113" s="53"/>
      <c r="J113" s="113"/>
      <c r="K113" s="113"/>
      <c r="L113" s="53"/>
      <c r="M113" s="113"/>
      <c r="N113" s="113"/>
      <c r="O113" s="53"/>
      <c r="P113" s="113"/>
      <c r="Q113" s="113"/>
      <c r="R113" s="53"/>
      <c r="S113" s="113"/>
      <c r="T113" s="113"/>
      <c r="U113" s="53"/>
      <c r="V113" s="113"/>
      <c r="W113" s="113"/>
      <c r="X113" s="53"/>
      <c r="Y113" s="113"/>
      <c r="Z113" s="113"/>
      <c r="AA113" s="53"/>
      <c r="AB113" s="113"/>
      <c r="AC113" s="113"/>
      <c r="AD113" s="53"/>
      <c r="AE113" s="113"/>
      <c r="AF113" s="113"/>
      <c r="AG113" s="53"/>
      <c r="AH113" s="113"/>
      <c r="AI113" s="113"/>
      <c r="AJ113" s="53"/>
      <c r="AK113" s="113"/>
      <c r="AL113" s="113"/>
      <c r="AM113" s="53"/>
      <c r="AN113" s="113"/>
      <c r="AO113" s="113"/>
      <c r="AP113" s="53"/>
      <c r="AQ113" s="113"/>
      <c r="AR113" s="113"/>
    </row>
    <row r="114" spans="1:44" ht="15">
      <c r="A114" s="113"/>
      <c r="B114" s="113"/>
      <c r="C114" s="53"/>
      <c r="D114" s="113"/>
      <c r="E114" s="113"/>
      <c r="F114" s="53"/>
      <c r="G114" s="113"/>
      <c r="H114" s="113"/>
      <c r="I114" s="53"/>
      <c r="J114" s="113"/>
      <c r="K114" s="113"/>
      <c r="L114" s="53"/>
      <c r="M114" s="113"/>
      <c r="N114" s="113"/>
      <c r="O114" s="53"/>
      <c r="P114" s="113"/>
      <c r="Q114" s="113"/>
      <c r="R114" s="53"/>
      <c r="S114" s="113"/>
      <c r="T114" s="113"/>
      <c r="U114" s="53"/>
      <c r="V114" s="113"/>
      <c r="W114" s="113"/>
      <c r="X114" s="53"/>
      <c r="Y114" s="113"/>
      <c r="Z114" s="113"/>
      <c r="AA114" s="53"/>
      <c r="AB114" s="113"/>
      <c r="AC114" s="113"/>
      <c r="AD114" s="53"/>
      <c r="AE114" s="113"/>
      <c r="AF114" s="113"/>
      <c r="AG114" s="53"/>
      <c r="AH114" s="113"/>
      <c r="AI114" s="113"/>
      <c r="AJ114" s="53"/>
      <c r="AK114" s="113"/>
      <c r="AL114" s="113"/>
      <c r="AM114" s="53"/>
      <c r="AN114" s="113"/>
      <c r="AO114" s="113"/>
      <c r="AP114" s="53"/>
      <c r="AQ114" s="113"/>
      <c r="AR114" s="113"/>
    </row>
    <row r="115" spans="1:44" ht="15">
      <c r="A115" s="113"/>
      <c r="B115" s="113"/>
      <c r="C115" s="53"/>
      <c r="D115" s="113"/>
      <c r="E115" s="113"/>
      <c r="F115" s="53"/>
      <c r="G115" s="113"/>
      <c r="H115" s="113"/>
      <c r="I115" s="53"/>
      <c r="J115" s="113"/>
      <c r="K115" s="113"/>
      <c r="L115" s="53"/>
      <c r="M115" s="113"/>
      <c r="N115" s="113"/>
      <c r="O115" s="53"/>
      <c r="P115" s="113"/>
      <c r="Q115" s="113"/>
      <c r="R115" s="53"/>
      <c r="S115" s="113"/>
      <c r="T115" s="113"/>
      <c r="U115" s="53"/>
      <c r="V115" s="113"/>
      <c r="W115" s="113"/>
      <c r="X115" s="53"/>
      <c r="Y115" s="113"/>
      <c r="Z115" s="113"/>
      <c r="AA115" s="53"/>
      <c r="AB115" s="113"/>
      <c r="AC115" s="113"/>
      <c r="AD115" s="53"/>
      <c r="AE115" s="113"/>
      <c r="AF115" s="113"/>
      <c r="AG115" s="53"/>
      <c r="AH115" s="113"/>
      <c r="AI115" s="113"/>
      <c r="AJ115" s="53"/>
      <c r="AK115" s="113"/>
      <c r="AL115" s="113"/>
      <c r="AM115" s="53"/>
      <c r="AN115" s="113"/>
      <c r="AO115" s="113"/>
      <c r="AP115" s="53"/>
      <c r="AQ115" s="113"/>
      <c r="AR115" s="113"/>
    </row>
    <row r="116" spans="1:44" ht="15">
      <c r="A116" s="113"/>
      <c r="B116" s="113"/>
      <c r="C116" s="53"/>
      <c r="D116" s="113"/>
      <c r="E116" s="113"/>
      <c r="F116" s="53"/>
      <c r="G116" s="113"/>
      <c r="H116" s="113"/>
      <c r="I116" s="53"/>
      <c r="J116" s="113"/>
      <c r="K116" s="113"/>
      <c r="L116" s="53"/>
      <c r="M116" s="113"/>
      <c r="N116" s="113"/>
      <c r="O116" s="53"/>
      <c r="P116" s="113"/>
      <c r="Q116" s="113"/>
      <c r="R116" s="53"/>
      <c r="S116" s="113"/>
      <c r="T116" s="113"/>
      <c r="U116" s="53"/>
      <c r="V116" s="113"/>
      <c r="W116" s="113"/>
      <c r="X116" s="53"/>
      <c r="Y116" s="113"/>
      <c r="Z116" s="113"/>
      <c r="AA116" s="53"/>
      <c r="AB116" s="113"/>
      <c r="AC116" s="113"/>
      <c r="AD116" s="53"/>
      <c r="AE116" s="113"/>
      <c r="AF116" s="113"/>
      <c r="AG116" s="53"/>
      <c r="AH116" s="113"/>
      <c r="AI116" s="113"/>
      <c r="AJ116" s="53"/>
      <c r="AK116" s="113"/>
      <c r="AL116" s="113"/>
      <c r="AM116" s="53"/>
      <c r="AN116" s="113"/>
      <c r="AO116" s="113"/>
      <c r="AP116" s="53"/>
      <c r="AQ116" s="113"/>
      <c r="AR116" s="113"/>
    </row>
    <row r="117" spans="1:44" ht="15">
      <c r="A117" s="113"/>
      <c r="B117" s="113"/>
      <c r="C117" s="53"/>
      <c r="D117" s="113"/>
      <c r="E117" s="113"/>
      <c r="F117" s="53"/>
      <c r="G117" s="113"/>
      <c r="H117" s="113"/>
      <c r="I117" s="53"/>
      <c r="J117" s="113"/>
      <c r="K117" s="113"/>
      <c r="L117" s="53"/>
      <c r="M117" s="113"/>
      <c r="N117" s="113"/>
      <c r="O117" s="53"/>
      <c r="P117" s="113"/>
      <c r="Q117" s="113"/>
      <c r="R117" s="53"/>
      <c r="S117" s="113"/>
      <c r="T117" s="113"/>
      <c r="U117" s="53"/>
      <c r="V117" s="113"/>
      <c r="W117" s="113"/>
      <c r="X117" s="53"/>
      <c r="Y117" s="113"/>
      <c r="Z117" s="113"/>
      <c r="AA117" s="53"/>
      <c r="AB117" s="113"/>
      <c r="AC117" s="113"/>
      <c r="AD117" s="53"/>
      <c r="AE117" s="113"/>
      <c r="AF117" s="113"/>
      <c r="AG117" s="53"/>
      <c r="AH117" s="113"/>
      <c r="AI117" s="113"/>
      <c r="AJ117" s="53"/>
      <c r="AK117" s="113"/>
      <c r="AL117" s="113"/>
      <c r="AM117" s="53"/>
      <c r="AN117" s="113"/>
      <c r="AO117" s="113"/>
      <c r="AP117" s="53"/>
      <c r="AQ117" s="113"/>
      <c r="AR117" s="113"/>
    </row>
    <row r="118" spans="1:44" ht="15">
      <c r="A118" s="113"/>
      <c r="B118" s="113"/>
      <c r="C118" s="53"/>
      <c r="D118" s="113"/>
      <c r="E118" s="113"/>
      <c r="F118" s="53"/>
      <c r="G118" s="113"/>
      <c r="H118" s="113"/>
      <c r="I118" s="53"/>
      <c r="J118" s="113"/>
      <c r="K118" s="113"/>
      <c r="L118" s="53"/>
      <c r="M118" s="113"/>
      <c r="N118" s="113"/>
      <c r="O118" s="53"/>
      <c r="P118" s="113"/>
      <c r="Q118" s="113"/>
      <c r="R118" s="53"/>
      <c r="S118" s="113"/>
      <c r="T118" s="113"/>
      <c r="U118" s="53"/>
      <c r="V118" s="113"/>
      <c r="W118" s="113"/>
      <c r="X118" s="53"/>
      <c r="Y118" s="113"/>
      <c r="Z118" s="113"/>
      <c r="AA118" s="53"/>
      <c r="AB118" s="113"/>
      <c r="AC118" s="113"/>
      <c r="AD118" s="53"/>
      <c r="AE118" s="113"/>
      <c r="AF118" s="113"/>
      <c r="AG118" s="53"/>
      <c r="AH118" s="113"/>
      <c r="AI118" s="113"/>
      <c r="AJ118" s="53"/>
      <c r="AK118" s="113"/>
      <c r="AL118" s="113"/>
      <c r="AM118" s="53"/>
      <c r="AN118" s="113"/>
      <c r="AO118" s="113"/>
      <c r="AP118" s="53"/>
      <c r="AQ118" s="113"/>
      <c r="AR118" s="113"/>
    </row>
    <row r="119" spans="1:44" ht="15">
      <c r="A119" s="113"/>
      <c r="B119" s="113"/>
      <c r="C119" s="53"/>
      <c r="D119" s="113"/>
      <c r="E119" s="113"/>
      <c r="F119" s="53"/>
      <c r="G119" s="113"/>
      <c r="H119" s="113"/>
      <c r="I119" s="53"/>
      <c r="J119" s="113"/>
      <c r="K119" s="113"/>
      <c r="L119" s="53"/>
      <c r="M119" s="113"/>
      <c r="N119" s="113"/>
      <c r="O119" s="53"/>
      <c r="P119" s="113"/>
      <c r="Q119" s="113"/>
      <c r="R119" s="53"/>
      <c r="S119" s="113"/>
      <c r="T119" s="113"/>
      <c r="U119" s="53"/>
      <c r="V119" s="113"/>
      <c r="W119" s="113"/>
      <c r="X119" s="53"/>
      <c r="Y119" s="113"/>
      <c r="Z119" s="113"/>
      <c r="AA119" s="53"/>
      <c r="AB119" s="113"/>
      <c r="AC119" s="113"/>
      <c r="AD119" s="53"/>
      <c r="AE119" s="113"/>
      <c r="AF119" s="113"/>
      <c r="AG119" s="53"/>
      <c r="AH119" s="113"/>
      <c r="AI119" s="113"/>
      <c r="AJ119" s="53"/>
      <c r="AK119" s="113"/>
      <c r="AL119" s="113"/>
      <c r="AM119" s="53"/>
      <c r="AN119" s="113"/>
      <c r="AO119" s="113"/>
      <c r="AP119" s="53"/>
      <c r="AQ119" s="113"/>
      <c r="AR119" s="113"/>
    </row>
    <row r="120" spans="1:44" ht="15">
      <c r="A120" s="113"/>
      <c r="B120" s="113"/>
      <c r="C120" s="53"/>
      <c r="D120" s="113"/>
      <c r="E120" s="113"/>
      <c r="F120" s="53"/>
      <c r="G120" s="113"/>
      <c r="H120" s="113"/>
      <c r="I120" s="53"/>
      <c r="J120" s="113"/>
      <c r="K120" s="113"/>
      <c r="L120" s="53"/>
      <c r="M120" s="113"/>
      <c r="N120" s="113"/>
      <c r="O120" s="53"/>
      <c r="P120" s="113"/>
      <c r="Q120" s="113"/>
      <c r="R120" s="53"/>
      <c r="S120" s="113"/>
      <c r="T120" s="113"/>
      <c r="U120" s="53"/>
      <c r="V120" s="113"/>
      <c r="W120" s="113"/>
      <c r="X120" s="53"/>
      <c r="Y120" s="113"/>
      <c r="Z120" s="113"/>
      <c r="AA120" s="53"/>
      <c r="AB120" s="113"/>
      <c r="AC120" s="113"/>
      <c r="AD120" s="53"/>
      <c r="AE120" s="113"/>
      <c r="AF120" s="113"/>
      <c r="AG120" s="53"/>
      <c r="AH120" s="113"/>
      <c r="AI120" s="113"/>
      <c r="AJ120" s="53"/>
      <c r="AK120" s="113"/>
      <c r="AL120" s="113"/>
      <c r="AM120" s="53"/>
      <c r="AN120" s="113"/>
      <c r="AO120" s="113"/>
      <c r="AP120" s="53"/>
      <c r="AQ120" s="113"/>
      <c r="AR120" s="113"/>
    </row>
    <row r="121" spans="1:44" ht="15">
      <c r="A121" s="113"/>
      <c r="B121" s="113"/>
      <c r="C121" s="53"/>
      <c r="D121" s="113"/>
      <c r="E121" s="113"/>
      <c r="F121" s="53"/>
      <c r="G121" s="113"/>
      <c r="H121" s="113"/>
      <c r="I121" s="53"/>
      <c r="J121" s="113"/>
      <c r="K121" s="113"/>
      <c r="L121" s="53"/>
      <c r="M121" s="113"/>
      <c r="N121" s="113"/>
      <c r="O121" s="53"/>
      <c r="P121" s="113"/>
      <c r="Q121" s="113"/>
      <c r="R121" s="53"/>
      <c r="S121" s="113"/>
      <c r="T121" s="113"/>
      <c r="U121" s="53"/>
      <c r="V121" s="113"/>
      <c r="W121" s="113"/>
      <c r="X121" s="53"/>
      <c r="Y121" s="113"/>
      <c r="Z121" s="113"/>
      <c r="AA121" s="53"/>
      <c r="AB121" s="113"/>
      <c r="AC121" s="113"/>
      <c r="AD121" s="53"/>
      <c r="AE121" s="113"/>
      <c r="AF121" s="113"/>
      <c r="AG121" s="53"/>
      <c r="AH121" s="113"/>
      <c r="AI121" s="113"/>
      <c r="AJ121" s="53"/>
      <c r="AK121" s="113"/>
      <c r="AL121" s="113"/>
      <c r="AM121" s="53"/>
      <c r="AN121" s="113"/>
      <c r="AO121" s="113"/>
      <c r="AP121" s="53"/>
      <c r="AQ121" s="113"/>
      <c r="AR121" s="113"/>
    </row>
    <row r="122" spans="1:44" ht="15">
      <c r="A122" s="113"/>
      <c r="B122" s="113"/>
      <c r="C122" s="53"/>
      <c r="D122" s="113"/>
      <c r="E122" s="113"/>
      <c r="F122" s="53"/>
      <c r="G122" s="113"/>
      <c r="H122" s="113"/>
      <c r="I122" s="53"/>
      <c r="J122" s="113"/>
      <c r="K122" s="113"/>
      <c r="L122" s="53"/>
      <c r="M122" s="113"/>
      <c r="N122" s="113"/>
      <c r="O122" s="53"/>
      <c r="P122" s="113"/>
      <c r="Q122" s="113"/>
      <c r="R122" s="53"/>
      <c r="S122" s="113"/>
      <c r="T122" s="113"/>
      <c r="U122" s="53"/>
      <c r="V122" s="113"/>
      <c r="W122" s="113"/>
      <c r="X122" s="53"/>
      <c r="Y122" s="113"/>
      <c r="Z122" s="113"/>
      <c r="AA122" s="53"/>
      <c r="AB122" s="113"/>
      <c r="AC122" s="113"/>
      <c r="AD122" s="53"/>
      <c r="AE122" s="113"/>
      <c r="AF122" s="113"/>
      <c r="AG122" s="53"/>
      <c r="AH122" s="113"/>
      <c r="AI122" s="113"/>
      <c r="AJ122" s="53"/>
      <c r="AK122" s="113"/>
      <c r="AL122" s="113"/>
      <c r="AM122" s="53"/>
      <c r="AN122" s="113"/>
      <c r="AO122" s="113"/>
      <c r="AP122" s="53"/>
      <c r="AQ122" s="113"/>
      <c r="AR122" s="113"/>
    </row>
    <row r="123" spans="1:44" ht="15">
      <c r="A123" s="113"/>
      <c r="B123" s="113"/>
      <c r="C123" s="53"/>
      <c r="D123" s="113"/>
      <c r="E123" s="113"/>
      <c r="F123" s="53"/>
      <c r="G123" s="113"/>
      <c r="H123" s="113"/>
      <c r="I123" s="53"/>
      <c r="J123" s="113"/>
      <c r="K123" s="113"/>
      <c r="L123" s="53"/>
      <c r="M123" s="113"/>
      <c r="N123" s="113"/>
      <c r="O123" s="53"/>
      <c r="P123" s="113"/>
      <c r="Q123" s="113"/>
      <c r="R123" s="53"/>
      <c r="S123" s="113"/>
      <c r="T123" s="113"/>
      <c r="U123" s="53"/>
      <c r="V123" s="113"/>
      <c r="W123" s="113"/>
      <c r="X123" s="53"/>
      <c r="Y123" s="113"/>
      <c r="Z123" s="113"/>
      <c r="AA123" s="53"/>
      <c r="AB123" s="113"/>
      <c r="AC123" s="113"/>
      <c r="AD123" s="53"/>
      <c r="AE123" s="113"/>
      <c r="AF123" s="113"/>
      <c r="AG123" s="53"/>
      <c r="AH123" s="113"/>
      <c r="AI123" s="113"/>
      <c r="AJ123" s="53"/>
      <c r="AK123" s="113"/>
      <c r="AL123" s="113"/>
      <c r="AM123" s="53"/>
      <c r="AN123" s="113"/>
      <c r="AO123" s="113"/>
      <c r="AP123" s="53"/>
      <c r="AQ123" s="113"/>
      <c r="AR123" s="113"/>
    </row>
    <row r="124" spans="1:44" ht="15">
      <c r="A124" s="113"/>
      <c r="B124" s="113"/>
      <c r="C124" s="53"/>
      <c r="D124" s="113"/>
      <c r="E124" s="113"/>
      <c r="F124" s="53"/>
      <c r="G124" s="113"/>
      <c r="H124" s="113"/>
      <c r="I124" s="53"/>
      <c r="J124" s="113"/>
      <c r="K124" s="113"/>
      <c r="L124" s="53"/>
      <c r="M124" s="113"/>
      <c r="N124" s="113"/>
      <c r="O124" s="53"/>
      <c r="P124" s="113"/>
      <c r="Q124" s="113"/>
      <c r="R124" s="53"/>
      <c r="S124" s="113"/>
      <c r="T124" s="113"/>
      <c r="U124" s="53"/>
      <c r="V124" s="113"/>
      <c r="W124" s="113"/>
      <c r="X124" s="53"/>
      <c r="Y124" s="113"/>
      <c r="Z124" s="113"/>
      <c r="AA124" s="53"/>
      <c r="AB124" s="113"/>
      <c r="AC124" s="113"/>
      <c r="AD124" s="53"/>
      <c r="AE124" s="113"/>
      <c r="AF124" s="113"/>
      <c r="AG124" s="53"/>
      <c r="AH124" s="113"/>
      <c r="AI124" s="113"/>
      <c r="AJ124" s="53"/>
      <c r="AK124" s="113"/>
      <c r="AL124" s="113"/>
      <c r="AM124" s="53"/>
      <c r="AN124" s="113"/>
      <c r="AO124" s="113"/>
      <c r="AP124" s="53"/>
      <c r="AQ124" s="113"/>
      <c r="AR124" s="113"/>
    </row>
    <row r="125" spans="1:44" ht="15">
      <c r="A125" s="113"/>
      <c r="B125" s="113"/>
      <c r="C125" s="53"/>
      <c r="D125" s="113"/>
      <c r="E125" s="113"/>
      <c r="F125" s="53"/>
      <c r="G125" s="113"/>
      <c r="H125" s="113"/>
      <c r="I125" s="53"/>
      <c r="J125" s="113"/>
      <c r="K125" s="113"/>
      <c r="L125" s="53"/>
      <c r="M125" s="113"/>
      <c r="N125" s="113"/>
      <c r="O125" s="53"/>
      <c r="P125" s="113"/>
      <c r="Q125" s="113"/>
      <c r="R125" s="53"/>
      <c r="S125" s="113"/>
      <c r="T125" s="113"/>
      <c r="U125" s="53"/>
      <c r="V125" s="113"/>
      <c r="W125" s="113"/>
      <c r="X125" s="53"/>
      <c r="Y125" s="113"/>
      <c r="Z125" s="113"/>
      <c r="AA125" s="53"/>
      <c r="AB125" s="113"/>
      <c r="AC125" s="113"/>
      <c r="AD125" s="53"/>
      <c r="AE125" s="113"/>
      <c r="AF125" s="113"/>
      <c r="AG125" s="53"/>
      <c r="AH125" s="113"/>
      <c r="AI125" s="113"/>
      <c r="AJ125" s="53"/>
      <c r="AK125" s="113"/>
      <c r="AL125" s="113"/>
      <c r="AM125" s="53"/>
      <c r="AN125" s="113"/>
      <c r="AO125" s="113"/>
      <c r="AP125" s="53"/>
      <c r="AQ125" s="113"/>
      <c r="AR125" s="113"/>
    </row>
    <row r="126" spans="1:44" ht="15">
      <c r="A126" s="113"/>
      <c r="B126" s="113"/>
      <c r="C126" s="53"/>
      <c r="D126" s="113"/>
      <c r="E126" s="113"/>
      <c r="F126" s="53"/>
      <c r="G126" s="113"/>
      <c r="H126" s="113"/>
      <c r="I126" s="53"/>
      <c r="J126" s="113"/>
      <c r="K126" s="113"/>
      <c r="L126" s="53"/>
      <c r="M126" s="113"/>
      <c r="N126" s="113"/>
      <c r="O126" s="53"/>
      <c r="P126" s="113"/>
      <c r="Q126" s="113"/>
      <c r="R126" s="53"/>
      <c r="S126" s="113"/>
      <c r="T126" s="113"/>
      <c r="U126" s="53"/>
      <c r="V126" s="113"/>
      <c r="W126" s="113"/>
      <c r="X126" s="53"/>
      <c r="Y126" s="113"/>
      <c r="Z126" s="113"/>
      <c r="AA126" s="53"/>
      <c r="AB126" s="113"/>
      <c r="AC126" s="113"/>
      <c r="AD126" s="53"/>
      <c r="AE126" s="113"/>
      <c r="AF126" s="113"/>
      <c r="AG126" s="53"/>
      <c r="AH126" s="113"/>
      <c r="AI126" s="113"/>
      <c r="AJ126" s="53"/>
      <c r="AK126" s="113"/>
      <c r="AL126" s="113"/>
      <c r="AM126" s="53"/>
      <c r="AN126" s="113"/>
      <c r="AO126" s="113"/>
      <c r="AP126" s="53"/>
      <c r="AQ126" s="113"/>
      <c r="AR126" s="113"/>
    </row>
    <row r="127" spans="1:44" ht="15">
      <c r="A127" s="113"/>
      <c r="B127" s="113"/>
      <c r="C127" s="53"/>
      <c r="D127" s="113"/>
      <c r="E127" s="113"/>
      <c r="F127" s="53"/>
      <c r="G127" s="113"/>
      <c r="H127" s="113"/>
      <c r="I127" s="53"/>
      <c r="J127" s="113"/>
      <c r="K127" s="113"/>
      <c r="L127" s="53"/>
      <c r="M127" s="113"/>
      <c r="N127" s="113"/>
      <c r="O127" s="53"/>
      <c r="P127" s="113"/>
      <c r="Q127" s="113"/>
      <c r="R127" s="53"/>
      <c r="S127" s="113"/>
      <c r="T127" s="113"/>
      <c r="U127" s="53"/>
      <c r="V127" s="113"/>
      <c r="W127" s="113"/>
      <c r="X127" s="53"/>
      <c r="Y127" s="113"/>
      <c r="Z127" s="113"/>
      <c r="AA127" s="53"/>
      <c r="AB127" s="113"/>
      <c r="AC127" s="113"/>
      <c r="AD127" s="53"/>
      <c r="AE127" s="113"/>
      <c r="AF127" s="113"/>
      <c r="AG127" s="53"/>
      <c r="AH127" s="113"/>
      <c r="AI127" s="113"/>
      <c r="AJ127" s="53"/>
      <c r="AK127" s="113"/>
      <c r="AL127" s="113"/>
      <c r="AM127" s="53"/>
      <c r="AN127" s="113"/>
      <c r="AO127" s="113"/>
      <c r="AP127" s="53"/>
      <c r="AQ127" s="113"/>
      <c r="AR127" s="113"/>
    </row>
    <row r="128" spans="1:44" ht="15">
      <c r="A128" s="113"/>
      <c r="B128" s="113"/>
      <c r="C128" s="53"/>
      <c r="D128" s="113"/>
      <c r="E128" s="113"/>
      <c r="F128" s="53"/>
      <c r="G128" s="113"/>
      <c r="H128" s="113"/>
      <c r="I128" s="53"/>
      <c r="J128" s="113"/>
      <c r="K128" s="113"/>
      <c r="L128" s="53"/>
      <c r="M128" s="113"/>
      <c r="N128" s="113"/>
      <c r="O128" s="53"/>
      <c r="P128" s="113"/>
      <c r="Q128" s="113"/>
      <c r="R128" s="53"/>
      <c r="S128" s="113"/>
      <c r="T128" s="113"/>
      <c r="U128" s="53"/>
      <c r="V128" s="113"/>
      <c r="W128" s="113"/>
      <c r="X128" s="53"/>
      <c r="Y128" s="113"/>
      <c r="Z128" s="113"/>
      <c r="AA128" s="53"/>
      <c r="AB128" s="113"/>
      <c r="AC128" s="113"/>
      <c r="AD128" s="53"/>
      <c r="AE128" s="113"/>
      <c r="AF128" s="113"/>
      <c r="AG128" s="53"/>
      <c r="AH128" s="113"/>
      <c r="AI128" s="113"/>
      <c r="AJ128" s="53"/>
      <c r="AK128" s="113"/>
      <c r="AL128" s="113"/>
      <c r="AM128" s="53"/>
      <c r="AN128" s="113"/>
      <c r="AO128" s="113"/>
      <c r="AP128" s="53"/>
      <c r="AQ128" s="113"/>
      <c r="AR128" s="113"/>
    </row>
    <row r="129" spans="1:44" ht="15">
      <c r="A129" s="113"/>
      <c r="B129" s="113"/>
      <c r="C129" s="53"/>
      <c r="D129" s="113"/>
      <c r="E129" s="113"/>
      <c r="F129" s="53"/>
      <c r="G129" s="113"/>
      <c r="H129" s="113"/>
      <c r="I129" s="53"/>
      <c r="J129" s="113"/>
      <c r="K129" s="113"/>
      <c r="L129" s="53"/>
      <c r="M129" s="113"/>
      <c r="N129" s="113"/>
      <c r="O129" s="53"/>
      <c r="P129" s="113"/>
      <c r="Q129" s="113"/>
      <c r="R129" s="53"/>
      <c r="S129" s="113"/>
      <c r="T129" s="113"/>
      <c r="U129" s="53"/>
      <c r="V129" s="113"/>
      <c r="W129" s="113"/>
      <c r="X129" s="53"/>
      <c r="Y129" s="113"/>
      <c r="Z129" s="113"/>
      <c r="AA129" s="53"/>
      <c r="AB129" s="113"/>
      <c r="AC129" s="113"/>
      <c r="AD129" s="53"/>
      <c r="AE129" s="113"/>
      <c r="AF129" s="113"/>
      <c r="AG129" s="53"/>
      <c r="AH129" s="113"/>
      <c r="AI129" s="113"/>
      <c r="AJ129" s="53"/>
      <c r="AK129" s="113"/>
      <c r="AL129" s="113"/>
      <c r="AM129" s="53"/>
      <c r="AN129" s="113"/>
      <c r="AO129" s="113"/>
      <c r="AP129" s="53"/>
      <c r="AQ129" s="113"/>
      <c r="AR129" s="113"/>
    </row>
    <row r="130" spans="1:44" ht="15">
      <c r="A130" s="113"/>
      <c r="B130" s="113"/>
      <c r="C130" s="53"/>
      <c r="D130" s="113"/>
      <c r="E130" s="113"/>
      <c r="F130" s="53"/>
      <c r="G130" s="113"/>
      <c r="H130" s="113"/>
      <c r="I130" s="53"/>
      <c r="J130" s="113"/>
      <c r="K130" s="113"/>
      <c r="L130" s="53"/>
      <c r="M130" s="113"/>
      <c r="N130" s="113"/>
      <c r="O130" s="53"/>
      <c r="P130" s="113"/>
      <c r="Q130" s="113"/>
      <c r="R130" s="53"/>
      <c r="S130" s="113"/>
      <c r="T130" s="113"/>
      <c r="U130" s="53"/>
      <c r="V130" s="113"/>
      <c r="W130" s="113"/>
      <c r="X130" s="53"/>
      <c r="Y130" s="113"/>
      <c r="Z130" s="113"/>
      <c r="AA130" s="53"/>
      <c r="AB130" s="113"/>
      <c r="AC130" s="113"/>
      <c r="AD130" s="53"/>
      <c r="AE130" s="113"/>
      <c r="AF130" s="113"/>
      <c r="AG130" s="53"/>
      <c r="AH130" s="113"/>
      <c r="AI130" s="113"/>
      <c r="AJ130" s="53"/>
      <c r="AK130" s="113"/>
      <c r="AL130" s="113"/>
      <c r="AM130" s="53"/>
      <c r="AN130" s="113"/>
      <c r="AO130" s="113"/>
      <c r="AP130" s="53"/>
      <c r="AQ130" s="113"/>
      <c r="AR130" s="113"/>
    </row>
    <row r="131" spans="1:44" ht="15">
      <c r="A131" s="113"/>
      <c r="B131" s="113"/>
      <c r="C131" s="53"/>
      <c r="D131" s="113"/>
      <c r="E131" s="113"/>
      <c r="F131" s="53"/>
      <c r="G131" s="113"/>
      <c r="H131" s="113"/>
      <c r="I131" s="53"/>
      <c r="J131" s="113"/>
      <c r="K131" s="113"/>
      <c r="L131" s="53"/>
      <c r="M131" s="113"/>
      <c r="N131" s="113"/>
      <c r="O131" s="53"/>
      <c r="P131" s="113"/>
      <c r="Q131" s="113"/>
      <c r="R131" s="53"/>
      <c r="S131" s="113"/>
      <c r="T131" s="113"/>
      <c r="U131" s="53"/>
      <c r="V131" s="113"/>
      <c r="W131" s="113"/>
      <c r="X131" s="53"/>
      <c r="Y131" s="113"/>
      <c r="Z131" s="113"/>
      <c r="AA131" s="53"/>
      <c r="AB131" s="113"/>
      <c r="AC131" s="113"/>
      <c r="AD131" s="53"/>
      <c r="AE131" s="113"/>
      <c r="AF131" s="113"/>
      <c r="AG131" s="53"/>
      <c r="AH131" s="113"/>
      <c r="AI131" s="113"/>
      <c r="AJ131" s="53"/>
      <c r="AK131" s="113"/>
      <c r="AL131" s="113"/>
      <c r="AM131" s="53"/>
      <c r="AN131" s="113"/>
      <c r="AO131" s="113"/>
      <c r="AP131" s="53"/>
      <c r="AQ131" s="113"/>
      <c r="AR131" s="113"/>
    </row>
    <row r="132" spans="1:44" ht="15">
      <c r="A132" s="113"/>
      <c r="B132" s="113"/>
      <c r="C132" s="53"/>
      <c r="D132" s="113"/>
      <c r="E132" s="113"/>
      <c r="F132" s="53"/>
      <c r="G132" s="113"/>
      <c r="H132" s="113"/>
      <c r="I132" s="53"/>
      <c r="J132" s="113"/>
      <c r="K132" s="113"/>
      <c r="L132" s="53"/>
      <c r="M132" s="113"/>
      <c r="N132" s="113"/>
      <c r="O132" s="53"/>
      <c r="P132" s="113"/>
      <c r="Q132" s="113"/>
      <c r="R132" s="53"/>
      <c r="S132" s="113"/>
      <c r="T132" s="113"/>
      <c r="U132" s="53"/>
      <c r="V132" s="113"/>
      <c r="W132" s="113"/>
      <c r="X132" s="53"/>
      <c r="Y132" s="113"/>
      <c r="Z132" s="113"/>
      <c r="AA132" s="53"/>
      <c r="AB132" s="113"/>
      <c r="AC132" s="113"/>
      <c r="AD132" s="53"/>
      <c r="AE132" s="113"/>
      <c r="AF132" s="113"/>
      <c r="AG132" s="53"/>
      <c r="AH132" s="113"/>
      <c r="AI132" s="113"/>
      <c r="AJ132" s="53"/>
      <c r="AK132" s="113"/>
      <c r="AL132" s="113"/>
      <c r="AM132" s="53"/>
      <c r="AN132" s="113"/>
      <c r="AO132" s="113"/>
      <c r="AP132" s="53"/>
      <c r="AQ132" s="113"/>
      <c r="AR132" s="113"/>
    </row>
    <row r="133" spans="1:44" ht="15">
      <c r="A133" s="113"/>
      <c r="B133" s="113"/>
      <c r="C133" s="53"/>
      <c r="D133" s="113"/>
      <c r="E133" s="113"/>
      <c r="F133" s="53"/>
      <c r="G133" s="113"/>
      <c r="H133" s="113"/>
      <c r="I133" s="53"/>
      <c r="J133" s="113"/>
      <c r="K133" s="113"/>
      <c r="L133" s="53"/>
      <c r="M133" s="113"/>
      <c r="N133" s="113"/>
      <c r="O133" s="53"/>
      <c r="P133" s="113"/>
      <c r="Q133" s="113"/>
      <c r="R133" s="53"/>
      <c r="S133" s="113"/>
      <c r="T133" s="113"/>
      <c r="U133" s="53"/>
      <c r="V133" s="113"/>
      <c r="W133" s="113"/>
      <c r="X133" s="53"/>
      <c r="Y133" s="113"/>
      <c r="Z133" s="113"/>
      <c r="AA133" s="53"/>
      <c r="AB133" s="113"/>
      <c r="AC133" s="113"/>
      <c r="AD133" s="53"/>
      <c r="AE133" s="113"/>
      <c r="AF133" s="113"/>
      <c r="AG133" s="53"/>
      <c r="AH133" s="113"/>
      <c r="AI133" s="113"/>
      <c r="AJ133" s="53"/>
      <c r="AK133" s="113"/>
      <c r="AL133" s="113"/>
      <c r="AM133" s="53"/>
      <c r="AN133" s="113"/>
      <c r="AO133" s="113"/>
      <c r="AP133" s="53"/>
      <c r="AQ133" s="113"/>
      <c r="AR133" s="113"/>
    </row>
    <row r="134" spans="1:44" ht="15">
      <c r="A134" s="113"/>
      <c r="B134" s="113"/>
      <c r="C134" s="53"/>
      <c r="D134" s="113"/>
      <c r="E134" s="113"/>
      <c r="F134" s="53"/>
      <c r="G134" s="113"/>
      <c r="H134" s="113"/>
      <c r="I134" s="53"/>
      <c r="J134" s="113"/>
      <c r="K134" s="113"/>
      <c r="L134" s="53"/>
      <c r="M134" s="113"/>
      <c r="N134" s="113"/>
      <c r="O134" s="53"/>
      <c r="P134" s="113"/>
      <c r="Q134" s="113"/>
      <c r="R134" s="53"/>
      <c r="S134" s="113"/>
      <c r="T134" s="113"/>
      <c r="U134" s="53"/>
      <c r="V134" s="113"/>
      <c r="W134" s="113"/>
      <c r="X134" s="53"/>
      <c r="Y134" s="113"/>
      <c r="Z134" s="113"/>
      <c r="AA134" s="53"/>
      <c r="AB134" s="113"/>
      <c r="AC134" s="113"/>
      <c r="AD134" s="53"/>
      <c r="AE134" s="113"/>
      <c r="AF134" s="113"/>
      <c r="AG134" s="53"/>
      <c r="AH134" s="113"/>
      <c r="AI134" s="113"/>
      <c r="AJ134" s="53"/>
      <c r="AK134" s="113"/>
      <c r="AL134" s="113"/>
      <c r="AM134" s="53"/>
      <c r="AN134" s="113"/>
      <c r="AO134" s="113"/>
      <c r="AP134" s="53"/>
      <c r="AQ134" s="113"/>
      <c r="AR134" s="113"/>
    </row>
    <row r="135" spans="1:44" ht="15">
      <c r="A135" s="113"/>
      <c r="B135" s="113"/>
      <c r="C135" s="53"/>
      <c r="D135" s="113"/>
      <c r="E135" s="113"/>
      <c r="F135" s="53"/>
      <c r="G135" s="113"/>
      <c r="H135" s="113"/>
      <c r="I135" s="53"/>
      <c r="J135" s="113"/>
      <c r="K135" s="113"/>
      <c r="L135" s="53"/>
      <c r="M135" s="113"/>
      <c r="N135" s="113"/>
      <c r="O135" s="53"/>
      <c r="P135" s="113"/>
      <c r="Q135" s="113"/>
      <c r="R135" s="53"/>
      <c r="S135" s="113"/>
      <c r="T135" s="113"/>
      <c r="U135" s="53"/>
      <c r="V135" s="113"/>
      <c r="W135" s="113"/>
      <c r="X135" s="53"/>
      <c r="Y135" s="113"/>
      <c r="Z135" s="113"/>
      <c r="AA135" s="53"/>
      <c r="AB135" s="113"/>
      <c r="AC135" s="113"/>
      <c r="AD135" s="53"/>
      <c r="AE135" s="113"/>
      <c r="AF135" s="113"/>
      <c r="AG135" s="53"/>
      <c r="AH135" s="113"/>
      <c r="AI135" s="113"/>
      <c r="AJ135" s="53"/>
      <c r="AK135" s="113"/>
      <c r="AL135" s="113"/>
      <c r="AM135" s="53"/>
      <c r="AN135" s="113"/>
      <c r="AO135" s="113"/>
      <c r="AP135" s="53"/>
      <c r="AQ135" s="113"/>
      <c r="AR135" s="113"/>
    </row>
    <row r="136" spans="1:44" ht="15">
      <c r="A136" s="113"/>
      <c r="B136" s="113"/>
      <c r="C136" s="53"/>
      <c r="D136" s="113"/>
      <c r="E136" s="113"/>
      <c r="F136" s="53"/>
      <c r="G136" s="113"/>
      <c r="H136" s="113"/>
      <c r="I136" s="53"/>
      <c r="J136" s="113"/>
      <c r="K136" s="113"/>
      <c r="L136" s="53"/>
      <c r="M136" s="113"/>
      <c r="N136" s="113"/>
      <c r="O136" s="53"/>
      <c r="P136" s="113"/>
      <c r="Q136" s="113"/>
      <c r="R136" s="53"/>
      <c r="S136" s="113"/>
      <c r="T136" s="113"/>
      <c r="U136" s="53"/>
      <c r="V136" s="113"/>
      <c r="W136" s="113"/>
      <c r="X136" s="53"/>
      <c r="Y136" s="113"/>
      <c r="Z136" s="113"/>
      <c r="AA136" s="53"/>
      <c r="AB136" s="113"/>
      <c r="AC136" s="113"/>
      <c r="AD136" s="53"/>
      <c r="AE136" s="113"/>
      <c r="AF136" s="113"/>
      <c r="AG136" s="53"/>
      <c r="AH136" s="113"/>
      <c r="AI136" s="113"/>
      <c r="AJ136" s="53"/>
      <c r="AK136" s="113"/>
      <c r="AL136" s="113"/>
      <c r="AM136" s="53"/>
      <c r="AN136" s="113"/>
      <c r="AO136" s="113"/>
      <c r="AP136" s="53"/>
      <c r="AQ136" s="113"/>
      <c r="AR136" s="113"/>
    </row>
    <row r="137" spans="1:44" ht="15">
      <c r="A137" s="113"/>
      <c r="B137" s="113"/>
      <c r="C137" s="53"/>
      <c r="D137" s="113"/>
      <c r="E137" s="113"/>
      <c r="F137" s="53"/>
      <c r="G137" s="113"/>
      <c r="H137" s="113"/>
      <c r="I137" s="53"/>
      <c r="J137" s="113"/>
      <c r="K137" s="113"/>
      <c r="L137" s="53"/>
      <c r="M137" s="113"/>
      <c r="N137" s="113"/>
      <c r="O137" s="53"/>
      <c r="P137" s="113"/>
      <c r="Q137" s="113"/>
      <c r="R137" s="53"/>
      <c r="S137" s="113"/>
      <c r="T137" s="113"/>
      <c r="U137" s="53"/>
      <c r="V137" s="113"/>
      <c r="W137" s="113"/>
      <c r="X137" s="53"/>
      <c r="Y137" s="113"/>
      <c r="Z137" s="113"/>
      <c r="AA137" s="53"/>
      <c r="AB137" s="113"/>
      <c r="AC137" s="113"/>
      <c r="AD137" s="53"/>
      <c r="AE137" s="113"/>
      <c r="AF137" s="113"/>
      <c r="AG137" s="53"/>
      <c r="AH137" s="113"/>
      <c r="AI137" s="113"/>
      <c r="AJ137" s="53"/>
      <c r="AK137" s="113"/>
      <c r="AL137" s="113"/>
      <c r="AM137" s="53"/>
      <c r="AN137" s="113"/>
      <c r="AO137" s="113"/>
      <c r="AP137" s="53"/>
      <c r="AQ137" s="113"/>
      <c r="AR137" s="113"/>
    </row>
    <row r="138" spans="1:44" ht="15">
      <c r="A138" s="113"/>
      <c r="B138" s="113"/>
      <c r="C138" s="53"/>
      <c r="D138" s="113"/>
      <c r="E138" s="113"/>
      <c r="F138" s="53"/>
      <c r="G138" s="113"/>
      <c r="H138" s="113"/>
      <c r="I138" s="53"/>
      <c r="J138" s="113"/>
      <c r="K138" s="113"/>
      <c r="L138" s="53"/>
      <c r="M138" s="113"/>
      <c r="N138" s="113"/>
      <c r="O138" s="53"/>
      <c r="P138" s="113"/>
      <c r="Q138" s="113"/>
      <c r="R138" s="53"/>
      <c r="S138" s="113"/>
      <c r="T138" s="113"/>
      <c r="U138" s="53"/>
      <c r="V138" s="113"/>
      <c r="W138" s="113"/>
      <c r="X138" s="53"/>
      <c r="Y138" s="113"/>
      <c r="Z138" s="113"/>
      <c r="AA138" s="53"/>
      <c r="AB138" s="113"/>
      <c r="AC138" s="113"/>
      <c r="AD138" s="53"/>
      <c r="AE138" s="113"/>
      <c r="AF138" s="113"/>
      <c r="AG138" s="53"/>
      <c r="AH138" s="113"/>
      <c r="AI138" s="113"/>
      <c r="AJ138" s="53"/>
      <c r="AK138" s="113"/>
      <c r="AL138" s="113"/>
      <c r="AM138" s="53"/>
      <c r="AN138" s="113"/>
      <c r="AO138" s="113"/>
      <c r="AP138" s="53"/>
      <c r="AQ138" s="113"/>
      <c r="AR138" s="113"/>
    </row>
    <row r="139" spans="1:44" ht="15">
      <c r="A139" s="113"/>
      <c r="B139" s="113"/>
      <c r="C139" s="53"/>
      <c r="D139" s="113"/>
      <c r="E139" s="113"/>
      <c r="F139" s="53"/>
      <c r="G139" s="113"/>
      <c r="H139" s="113"/>
      <c r="I139" s="53"/>
      <c r="J139" s="113"/>
      <c r="K139" s="113"/>
      <c r="L139" s="53"/>
      <c r="M139" s="113"/>
      <c r="N139" s="113"/>
      <c r="O139" s="53"/>
      <c r="P139" s="113"/>
      <c r="Q139" s="113"/>
      <c r="R139" s="53"/>
      <c r="S139" s="113"/>
      <c r="T139" s="113"/>
      <c r="U139" s="53"/>
      <c r="V139" s="113"/>
      <c r="W139" s="113"/>
      <c r="X139" s="53"/>
      <c r="Y139" s="113"/>
      <c r="Z139" s="113"/>
      <c r="AA139" s="53"/>
      <c r="AB139" s="113"/>
      <c r="AC139" s="113"/>
      <c r="AD139" s="53"/>
      <c r="AE139" s="113"/>
      <c r="AF139" s="113"/>
      <c r="AG139" s="53"/>
      <c r="AH139" s="113"/>
      <c r="AI139" s="113"/>
      <c r="AJ139" s="53"/>
      <c r="AK139" s="113"/>
      <c r="AL139" s="113"/>
      <c r="AM139" s="53"/>
      <c r="AN139" s="113"/>
      <c r="AO139" s="113"/>
      <c r="AP139" s="53"/>
      <c r="AQ139" s="113"/>
      <c r="AR139" s="113"/>
    </row>
    <row r="140" spans="1:44" ht="15">
      <c r="A140" s="113"/>
      <c r="B140" s="113"/>
      <c r="C140" s="53"/>
      <c r="D140" s="113"/>
      <c r="E140" s="113"/>
      <c r="F140" s="53"/>
      <c r="G140" s="113"/>
      <c r="H140" s="113"/>
      <c r="I140" s="53"/>
      <c r="J140" s="113"/>
      <c r="K140" s="113"/>
      <c r="L140" s="53"/>
      <c r="M140" s="113"/>
      <c r="N140" s="113"/>
      <c r="O140" s="53"/>
      <c r="P140" s="113"/>
      <c r="Q140" s="113"/>
      <c r="R140" s="53"/>
      <c r="S140" s="113"/>
      <c r="T140" s="113"/>
      <c r="U140" s="53"/>
      <c r="V140" s="113"/>
      <c r="W140" s="113"/>
      <c r="X140" s="53"/>
      <c r="Y140" s="113"/>
      <c r="Z140" s="113"/>
      <c r="AA140" s="53"/>
      <c r="AB140" s="113"/>
      <c r="AC140" s="113"/>
      <c r="AD140" s="53"/>
      <c r="AE140" s="113"/>
      <c r="AF140" s="113"/>
      <c r="AG140" s="53"/>
      <c r="AH140" s="113"/>
      <c r="AI140" s="113"/>
      <c r="AJ140" s="53"/>
      <c r="AK140" s="113"/>
      <c r="AL140" s="113"/>
      <c r="AM140" s="53"/>
      <c r="AN140" s="113"/>
      <c r="AO140" s="113"/>
      <c r="AP140" s="53"/>
      <c r="AQ140" s="113"/>
      <c r="AR140" s="113"/>
    </row>
    <row r="141" spans="1:44" ht="15">
      <c r="A141" s="113"/>
      <c r="B141" s="113"/>
      <c r="C141" s="53"/>
      <c r="D141" s="113"/>
      <c r="E141" s="113"/>
      <c r="F141" s="53"/>
      <c r="G141" s="113"/>
      <c r="H141" s="113"/>
      <c r="I141" s="53"/>
      <c r="J141" s="113"/>
      <c r="K141" s="113"/>
      <c r="L141" s="53"/>
      <c r="M141" s="113"/>
      <c r="N141" s="113"/>
      <c r="O141" s="53"/>
      <c r="P141" s="113"/>
      <c r="Q141" s="113"/>
      <c r="R141" s="53"/>
      <c r="S141" s="113"/>
      <c r="T141" s="113"/>
      <c r="U141" s="53"/>
      <c r="V141" s="113"/>
      <c r="W141" s="113"/>
      <c r="X141" s="53"/>
      <c r="Y141" s="113"/>
      <c r="Z141" s="113"/>
      <c r="AA141" s="53"/>
      <c r="AB141" s="113"/>
      <c r="AC141" s="113"/>
      <c r="AD141" s="53"/>
      <c r="AE141" s="113"/>
      <c r="AF141" s="113"/>
      <c r="AG141" s="53"/>
      <c r="AH141" s="113"/>
      <c r="AI141" s="113"/>
      <c r="AJ141" s="53"/>
      <c r="AK141" s="113"/>
      <c r="AL141" s="113"/>
      <c r="AM141" s="53"/>
      <c r="AN141" s="113"/>
      <c r="AO141" s="113"/>
      <c r="AP141" s="53"/>
      <c r="AQ141" s="113"/>
      <c r="AR141" s="113"/>
    </row>
    <row r="142" spans="1:44" ht="15">
      <c r="A142" s="113"/>
      <c r="B142" s="113"/>
      <c r="C142" s="53"/>
      <c r="D142" s="113"/>
      <c r="E142" s="113"/>
      <c r="F142" s="53"/>
      <c r="G142" s="113"/>
      <c r="H142" s="113"/>
      <c r="I142" s="53"/>
      <c r="J142" s="113"/>
      <c r="K142" s="113"/>
      <c r="L142" s="53"/>
      <c r="M142" s="113"/>
      <c r="N142" s="113"/>
      <c r="O142" s="53"/>
      <c r="P142" s="113"/>
      <c r="Q142" s="113"/>
      <c r="R142" s="53"/>
      <c r="S142" s="113"/>
      <c r="T142" s="113"/>
      <c r="U142" s="53"/>
      <c r="V142" s="113"/>
      <c r="W142" s="113"/>
      <c r="X142" s="53"/>
      <c r="Y142" s="113"/>
      <c r="Z142" s="113"/>
      <c r="AA142" s="53"/>
      <c r="AB142" s="113"/>
      <c r="AC142" s="113"/>
      <c r="AD142" s="53"/>
      <c r="AE142" s="113"/>
      <c r="AF142" s="113"/>
      <c r="AG142" s="53"/>
      <c r="AH142" s="113"/>
      <c r="AI142" s="113"/>
      <c r="AJ142" s="53"/>
      <c r="AK142" s="113"/>
      <c r="AL142" s="113"/>
      <c r="AM142" s="53"/>
      <c r="AN142" s="113"/>
      <c r="AO142" s="113"/>
      <c r="AP142" s="53"/>
      <c r="AQ142" s="113"/>
      <c r="AR142" s="113"/>
    </row>
    <row r="143" spans="1:44" ht="15">
      <c r="A143" s="113"/>
      <c r="B143" s="113"/>
      <c r="C143" s="53"/>
      <c r="D143" s="113"/>
      <c r="E143" s="113"/>
      <c r="F143" s="53"/>
      <c r="G143" s="113"/>
      <c r="H143" s="113"/>
      <c r="I143" s="53"/>
      <c r="J143" s="113"/>
      <c r="K143" s="113"/>
      <c r="L143" s="53"/>
      <c r="M143" s="113"/>
      <c r="N143" s="113"/>
      <c r="O143" s="53"/>
      <c r="P143" s="113"/>
      <c r="Q143" s="113"/>
      <c r="R143" s="53"/>
      <c r="S143" s="113"/>
      <c r="T143" s="113"/>
      <c r="U143" s="53"/>
      <c r="V143" s="113"/>
      <c r="W143" s="113"/>
      <c r="X143" s="53"/>
      <c r="Y143" s="113"/>
      <c r="Z143" s="113"/>
      <c r="AA143" s="53"/>
      <c r="AB143" s="113"/>
      <c r="AC143" s="113"/>
      <c r="AD143" s="53"/>
      <c r="AE143" s="113"/>
      <c r="AF143" s="113"/>
      <c r="AG143" s="53"/>
      <c r="AH143" s="113"/>
      <c r="AI143" s="113"/>
      <c r="AJ143" s="53"/>
      <c r="AK143" s="113"/>
      <c r="AL143" s="113"/>
      <c r="AM143" s="53"/>
      <c r="AN143" s="113"/>
      <c r="AO143" s="113"/>
      <c r="AP143" s="53"/>
      <c r="AQ143" s="113"/>
      <c r="AR143" s="113"/>
    </row>
    <row r="144" spans="1:44" ht="15">
      <c r="A144" s="113"/>
      <c r="B144" s="113"/>
      <c r="C144" s="53"/>
      <c r="D144" s="113"/>
      <c r="E144" s="113"/>
      <c r="F144" s="53"/>
      <c r="G144" s="113"/>
      <c r="H144" s="113"/>
      <c r="I144" s="53"/>
      <c r="J144" s="113"/>
      <c r="K144" s="113"/>
      <c r="L144" s="53"/>
      <c r="M144" s="113"/>
      <c r="N144" s="113"/>
      <c r="O144" s="53"/>
      <c r="P144" s="113"/>
      <c r="Q144" s="113"/>
      <c r="R144" s="53"/>
      <c r="S144" s="113"/>
      <c r="T144" s="113"/>
      <c r="U144" s="53"/>
      <c r="V144" s="113"/>
      <c r="W144" s="113"/>
      <c r="X144" s="53"/>
      <c r="Y144" s="113"/>
      <c r="Z144" s="113"/>
      <c r="AA144" s="53"/>
      <c r="AB144" s="113"/>
      <c r="AC144" s="113"/>
      <c r="AD144" s="53"/>
      <c r="AE144" s="113"/>
      <c r="AF144" s="113"/>
      <c r="AG144" s="53"/>
      <c r="AH144" s="113"/>
      <c r="AI144" s="113"/>
      <c r="AJ144" s="53"/>
      <c r="AK144" s="113"/>
      <c r="AL144" s="113"/>
      <c r="AM144" s="53"/>
      <c r="AN144" s="113"/>
      <c r="AO144" s="113"/>
      <c r="AP144" s="53"/>
      <c r="AQ144" s="113"/>
      <c r="AR144" s="113"/>
    </row>
    <row r="145" spans="1:44" ht="15">
      <c r="A145" s="113"/>
      <c r="B145" s="113"/>
      <c r="C145" s="53"/>
      <c r="D145" s="113"/>
      <c r="E145" s="113"/>
      <c r="F145" s="53"/>
      <c r="G145" s="113"/>
      <c r="H145" s="113"/>
      <c r="I145" s="53"/>
      <c r="J145" s="113"/>
      <c r="K145" s="113"/>
      <c r="L145" s="53"/>
      <c r="M145" s="113"/>
      <c r="N145" s="113"/>
      <c r="O145" s="53"/>
      <c r="P145" s="113"/>
      <c r="Q145" s="113"/>
      <c r="R145" s="53"/>
      <c r="S145" s="113"/>
      <c r="T145" s="113"/>
      <c r="U145" s="53"/>
      <c r="V145" s="113"/>
      <c r="W145" s="113"/>
      <c r="X145" s="53"/>
      <c r="Y145" s="113"/>
      <c r="Z145" s="113"/>
      <c r="AA145" s="53"/>
      <c r="AB145" s="113"/>
      <c r="AC145" s="113"/>
      <c r="AD145" s="53"/>
      <c r="AE145" s="113"/>
      <c r="AF145" s="113"/>
      <c r="AG145" s="53"/>
      <c r="AH145" s="113"/>
      <c r="AI145" s="113"/>
      <c r="AJ145" s="53"/>
      <c r="AK145" s="113"/>
      <c r="AL145" s="113"/>
      <c r="AM145" s="53"/>
      <c r="AN145" s="113"/>
      <c r="AO145" s="113"/>
      <c r="AP145" s="53"/>
      <c r="AQ145" s="113"/>
      <c r="AR145" s="113"/>
    </row>
    <row r="146" spans="1:44" ht="15">
      <c r="A146" s="113"/>
      <c r="B146" s="113"/>
      <c r="C146" s="53"/>
      <c r="D146" s="113"/>
      <c r="E146" s="113"/>
      <c r="F146" s="53"/>
      <c r="G146" s="113"/>
      <c r="H146" s="113"/>
      <c r="I146" s="53"/>
      <c r="J146" s="113"/>
      <c r="K146" s="113"/>
      <c r="L146" s="53"/>
      <c r="M146" s="113"/>
      <c r="N146" s="113"/>
      <c r="O146" s="53"/>
      <c r="P146" s="113"/>
      <c r="Q146" s="113"/>
      <c r="R146" s="53"/>
      <c r="S146" s="113"/>
      <c r="T146" s="113"/>
      <c r="U146" s="53"/>
      <c r="V146" s="113"/>
      <c r="W146" s="113"/>
      <c r="X146" s="53"/>
      <c r="Y146" s="113"/>
      <c r="Z146" s="113"/>
      <c r="AA146" s="53"/>
      <c r="AB146" s="113"/>
      <c r="AC146" s="113"/>
      <c r="AD146" s="53"/>
      <c r="AE146" s="113"/>
      <c r="AF146" s="113"/>
      <c r="AG146" s="53"/>
      <c r="AH146" s="113"/>
      <c r="AI146" s="113"/>
      <c r="AJ146" s="53"/>
      <c r="AK146" s="113"/>
      <c r="AL146" s="113"/>
      <c r="AM146" s="53"/>
      <c r="AN146" s="113"/>
      <c r="AO146" s="113"/>
      <c r="AP146" s="53"/>
      <c r="AQ146" s="113"/>
      <c r="AR146" s="113"/>
    </row>
    <row r="147" spans="1:44" ht="15">
      <c r="A147" s="113"/>
      <c r="B147" s="113"/>
      <c r="C147" s="53"/>
      <c r="D147" s="113"/>
      <c r="E147" s="113"/>
      <c r="F147" s="53"/>
      <c r="G147" s="113"/>
      <c r="H147" s="113"/>
      <c r="I147" s="53"/>
      <c r="J147" s="113"/>
      <c r="K147" s="113"/>
      <c r="L147" s="53"/>
      <c r="M147" s="113"/>
      <c r="N147" s="113"/>
      <c r="O147" s="53"/>
      <c r="P147" s="113"/>
      <c r="Q147" s="113"/>
      <c r="R147" s="53"/>
      <c r="S147" s="113"/>
      <c r="T147" s="113"/>
      <c r="U147" s="53"/>
      <c r="V147" s="113"/>
      <c r="W147" s="113"/>
      <c r="X147" s="53"/>
      <c r="Y147" s="113"/>
      <c r="Z147" s="113"/>
      <c r="AA147" s="53"/>
      <c r="AB147" s="113"/>
      <c r="AC147" s="113"/>
      <c r="AD147" s="53"/>
      <c r="AE147" s="113"/>
      <c r="AF147" s="113"/>
      <c r="AG147" s="53"/>
      <c r="AH147" s="113"/>
      <c r="AI147" s="113"/>
      <c r="AJ147" s="53"/>
      <c r="AK147" s="113"/>
      <c r="AL147" s="113"/>
      <c r="AM147" s="53"/>
      <c r="AN147" s="113"/>
      <c r="AO147" s="113"/>
      <c r="AP147" s="53"/>
      <c r="AQ147" s="113"/>
      <c r="AR147" s="113"/>
    </row>
    <row r="148" spans="1:44" ht="15">
      <c r="A148" s="113"/>
      <c r="B148" s="113"/>
      <c r="C148" s="53"/>
      <c r="D148" s="113"/>
      <c r="E148" s="113"/>
      <c r="F148" s="53"/>
      <c r="G148" s="113"/>
      <c r="H148" s="113"/>
      <c r="I148" s="53"/>
      <c r="J148" s="113"/>
      <c r="K148" s="113"/>
      <c r="L148" s="53"/>
      <c r="M148" s="113"/>
      <c r="N148" s="113"/>
      <c r="O148" s="53"/>
      <c r="P148" s="113"/>
      <c r="Q148" s="113"/>
      <c r="R148" s="53"/>
      <c r="S148" s="113"/>
      <c r="T148" s="113"/>
      <c r="U148" s="53"/>
      <c r="V148" s="113"/>
      <c r="W148" s="113"/>
      <c r="X148" s="53"/>
      <c r="Y148" s="113"/>
      <c r="Z148" s="113"/>
      <c r="AA148" s="53"/>
      <c r="AB148" s="113"/>
      <c r="AC148" s="113"/>
      <c r="AD148" s="53"/>
      <c r="AE148" s="113"/>
      <c r="AF148" s="113"/>
      <c r="AG148" s="53"/>
      <c r="AH148" s="113"/>
      <c r="AI148" s="113"/>
      <c r="AJ148" s="53"/>
      <c r="AK148" s="113"/>
      <c r="AL148" s="113"/>
      <c r="AM148" s="53"/>
      <c r="AN148" s="113"/>
      <c r="AO148" s="113"/>
      <c r="AP148" s="53"/>
      <c r="AQ148" s="113"/>
      <c r="AR148" s="113"/>
    </row>
    <row r="149" spans="1:44" ht="15">
      <c r="A149" s="113"/>
      <c r="B149" s="113"/>
      <c r="C149" s="53"/>
      <c r="D149" s="113"/>
      <c r="E149" s="113"/>
      <c r="F149" s="53"/>
      <c r="G149" s="113"/>
      <c r="H149" s="113"/>
      <c r="I149" s="53"/>
      <c r="J149" s="113"/>
      <c r="K149" s="113"/>
      <c r="L149" s="53"/>
      <c r="M149" s="113"/>
      <c r="N149" s="113"/>
      <c r="O149" s="53"/>
      <c r="P149" s="113"/>
      <c r="Q149" s="113"/>
      <c r="R149" s="53"/>
      <c r="S149" s="113"/>
      <c r="T149" s="113"/>
      <c r="U149" s="53"/>
      <c r="V149" s="113"/>
      <c r="W149" s="113"/>
      <c r="X149" s="53"/>
      <c r="Y149" s="113"/>
      <c r="Z149" s="113"/>
      <c r="AA149" s="53"/>
      <c r="AB149" s="113"/>
      <c r="AC149" s="113"/>
      <c r="AD149" s="53"/>
      <c r="AE149" s="113"/>
      <c r="AF149" s="113"/>
      <c r="AG149" s="53"/>
      <c r="AH149" s="113"/>
      <c r="AI149" s="113"/>
      <c r="AJ149" s="53"/>
      <c r="AK149" s="113"/>
      <c r="AL149" s="113"/>
      <c r="AM149" s="53"/>
      <c r="AN149" s="113"/>
      <c r="AO149" s="113"/>
      <c r="AP149" s="53"/>
      <c r="AQ149" s="113"/>
      <c r="AR149" s="113"/>
    </row>
    <row r="150" spans="1:44" ht="15">
      <c r="A150" s="113"/>
      <c r="B150" s="113"/>
      <c r="C150" s="53"/>
      <c r="D150" s="113"/>
      <c r="E150" s="113"/>
      <c r="F150" s="53"/>
      <c r="G150" s="113"/>
      <c r="H150" s="113"/>
      <c r="I150" s="53"/>
      <c r="J150" s="113"/>
      <c r="K150" s="113"/>
      <c r="L150" s="53"/>
      <c r="M150" s="113"/>
      <c r="N150" s="113"/>
      <c r="O150" s="53"/>
      <c r="P150" s="113"/>
      <c r="Q150" s="113"/>
      <c r="R150" s="53"/>
      <c r="S150" s="113"/>
      <c r="T150" s="113"/>
      <c r="U150" s="53"/>
      <c r="V150" s="113"/>
      <c r="W150" s="113"/>
      <c r="X150" s="53"/>
      <c r="Y150" s="113"/>
      <c r="Z150" s="113"/>
      <c r="AA150" s="53"/>
      <c r="AB150" s="113"/>
      <c r="AC150" s="113"/>
      <c r="AD150" s="53"/>
      <c r="AE150" s="113"/>
      <c r="AF150" s="113"/>
      <c r="AG150" s="53"/>
      <c r="AH150" s="113"/>
      <c r="AI150" s="113"/>
      <c r="AJ150" s="53"/>
      <c r="AK150" s="113"/>
      <c r="AL150" s="113"/>
      <c r="AM150" s="53"/>
      <c r="AN150" s="113"/>
      <c r="AO150" s="113"/>
      <c r="AP150" s="53"/>
      <c r="AQ150" s="113"/>
      <c r="AR150" s="113"/>
    </row>
    <row r="151" spans="1:44" ht="15">
      <c r="A151" s="113"/>
      <c r="B151" s="113"/>
      <c r="C151" s="53"/>
      <c r="D151" s="113"/>
      <c r="E151" s="113"/>
      <c r="F151" s="53"/>
      <c r="G151" s="113"/>
      <c r="H151" s="113"/>
      <c r="I151" s="53"/>
      <c r="J151" s="113"/>
      <c r="K151" s="113"/>
      <c r="L151" s="53"/>
      <c r="M151" s="113"/>
      <c r="N151" s="113"/>
      <c r="O151" s="53"/>
      <c r="P151" s="113"/>
      <c r="Q151" s="113"/>
      <c r="R151" s="53"/>
      <c r="S151" s="113"/>
      <c r="T151" s="113"/>
      <c r="U151" s="53"/>
      <c r="V151" s="113"/>
      <c r="W151" s="113"/>
      <c r="X151" s="53"/>
      <c r="Y151" s="113"/>
      <c r="Z151" s="113"/>
      <c r="AA151" s="53"/>
      <c r="AB151" s="113"/>
      <c r="AC151" s="113"/>
      <c r="AD151" s="53"/>
      <c r="AE151" s="113"/>
      <c r="AF151" s="113"/>
      <c r="AG151" s="53"/>
      <c r="AH151" s="113"/>
      <c r="AI151" s="113"/>
      <c r="AJ151" s="53"/>
      <c r="AK151" s="113"/>
      <c r="AL151" s="113"/>
      <c r="AM151" s="53"/>
      <c r="AN151" s="113"/>
      <c r="AO151" s="113"/>
      <c r="AP151" s="53"/>
      <c r="AQ151" s="113"/>
      <c r="AR151" s="113"/>
    </row>
    <row r="152" spans="1:44" ht="15">
      <c r="A152" s="113"/>
      <c r="B152" s="113"/>
      <c r="C152" s="53"/>
      <c r="D152" s="113"/>
      <c r="E152" s="113"/>
      <c r="F152" s="53"/>
      <c r="G152" s="113"/>
      <c r="H152" s="113"/>
      <c r="I152" s="53"/>
      <c r="J152" s="113"/>
      <c r="K152" s="113"/>
      <c r="L152" s="53"/>
      <c r="M152" s="113"/>
      <c r="N152" s="113"/>
      <c r="O152" s="53"/>
      <c r="P152" s="113"/>
      <c r="Q152" s="113"/>
      <c r="R152" s="53"/>
      <c r="S152" s="113"/>
      <c r="T152" s="113"/>
      <c r="U152" s="53"/>
      <c r="V152" s="113"/>
      <c r="W152" s="113"/>
      <c r="X152" s="53"/>
      <c r="Y152" s="113"/>
      <c r="Z152" s="113"/>
      <c r="AA152" s="53"/>
      <c r="AB152" s="113"/>
      <c r="AC152" s="113"/>
      <c r="AD152" s="53"/>
      <c r="AE152" s="113"/>
      <c r="AF152" s="113"/>
      <c r="AG152" s="53"/>
      <c r="AH152" s="113"/>
      <c r="AI152" s="113"/>
      <c r="AJ152" s="53"/>
      <c r="AK152" s="113"/>
      <c r="AL152" s="113"/>
      <c r="AM152" s="53"/>
      <c r="AN152" s="113"/>
      <c r="AO152" s="113"/>
      <c r="AP152" s="53"/>
      <c r="AQ152" s="113"/>
      <c r="AR152" s="113"/>
    </row>
    <row r="153" spans="1:44" ht="15">
      <c r="A153" s="113"/>
      <c r="B153" s="113"/>
      <c r="C153" s="53"/>
      <c r="D153" s="113"/>
      <c r="E153" s="113"/>
      <c r="F153" s="53"/>
      <c r="G153" s="113"/>
      <c r="H153" s="113"/>
      <c r="I153" s="53"/>
      <c r="J153" s="113"/>
      <c r="K153" s="113"/>
      <c r="L153" s="53"/>
      <c r="M153" s="113"/>
      <c r="N153" s="113"/>
      <c r="O153" s="53"/>
      <c r="P153" s="113"/>
      <c r="Q153" s="113"/>
      <c r="R153" s="53"/>
      <c r="S153" s="113"/>
      <c r="T153" s="113"/>
      <c r="U153" s="53"/>
      <c r="V153" s="113"/>
      <c r="W153" s="113"/>
      <c r="X153" s="53"/>
      <c r="Y153" s="113"/>
      <c r="Z153" s="113"/>
      <c r="AA153" s="53"/>
      <c r="AB153" s="113"/>
      <c r="AC153" s="113"/>
      <c r="AD153" s="53"/>
      <c r="AE153" s="113"/>
      <c r="AF153" s="113"/>
      <c r="AG153" s="53"/>
      <c r="AH153" s="113"/>
      <c r="AI153" s="113"/>
      <c r="AJ153" s="53"/>
      <c r="AK153" s="113"/>
      <c r="AL153" s="113"/>
      <c r="AM153" s="53"/>
      <c r="AN153" s="113"/>
      <c r="AO153" s="113"/>
      <c r="AP153" s="53"/>
      <c r="AQ153" s="113"/>
      <c r="AR153" s="113"/>
    </row>
    <row r="154" spans="1:44" ht="15">
      <c r="A154" s="113"/>
      <c r="B154" s="113"/>
      <c r="C154" s="53"/>
      <c r="D154" s="113"/>
      <c r="E154" s="113"/>
      <c r="F154" s="53"/>
      <c r="G154" s="113"/>
      <c r="H154" s="113"/>
      <c r="I154" s="53"/>
      <c r="J154" s="113"/>
      <c r="K154" s="113"/>
      <c r="L154" s="53"/>
      <c r="M154" s="113"/>
      <c r="N154" s="113"/>
      <c r="O154" s="53"/>
      <c r="P154" s="113"/>
      <c r="Q154" s="113"/>
      <c r="R154" s="53"/>
      <c r="S154" s="113"/>
      <c r="T154" s="113"/>
      <c r="U154" s="53"/>
      <c r="V154" s="113"/>
      <c r="W154" s="113"/>
      <c r="X154" s="53"/>
      <c r="Y154" s="113"/>
      <c r="Z154" s="113"/>
      <c r="AA154" s="53"/>
      <c r="AB154" s="113"/>
      <c r="AC154" s="113"/>
      <c r="AD154" s="53"/>
      <c r="AE154" s="113"/>
      <c r="AF154" s="113"/>
      <c r="AG154" s="53"/>
      <c r="AH154" s="113"/>
      <c r="AI154" s="113"/>
      <c r="AJ154" s="53"/>
      <c r="AK154" s="113"/>
      <c r="AL154" s="113"/>
      <c r="AM154" s="53"/>
      <c r="AN154" s="113"/>
      <c r="AO154" s="113"/>
      <c r="AP154" s="53"/>
      <c r="AQ154" s="113"/>
      <c r="AR154" s="113"/>
    </row>
    <row r="155" spans="1:44" ht="15">
      <c r="A155" s="113"/>
      <c r="B155" s="113"/>
      <c r="C155" s="53"/>
      <c r="D155" s="113"/>
      <c r="E155" s="113"/>
      <c r="F155" s="53"/>
      <c r="G155" s="113"/>
      <c r="H155" s="113"/>
      <c r="I155" s="53"/>
      <c r="J155" s="113"/>
      <c r="K155" s="113"/>
      <c r="L155" s="53"/>
      <c r="M155" s="113"/>
      <c r="N155" s="113"/>
      <c r="O155" s="53"/>
      <c r="P155" s="113"/>
      <c r="Q155" s="113"/>
      <c r="R155" s="53"/>
      <c r="S155" s="113"/>
      <c r="T155" s="113"/>
      <c r="U155" s="53"/>
      <c r="V155" s="113"/>
      <c r="W155" s="113"/>
      <c r="X155" s="53"/>
      <c r="Y155" s="113"/>
      <c r="Z155" s="113"/>
      <c r="AA155" s="53"/>
      <c r="AB155" s="113"/>
      <c r="AC155" s="113"/>
      <c r="AD155" s="53"/>
      <c r="AE155" s="113"/>
      <c r="AF155" s="113"/>
      <c r="AG155" s="53"/>
      <c r="AH155" s="113"/>
      <c r="AI155" s="113"/>
      <c r="AJ155" s="53"/>
      <c r="AK155" s="113"/>
      <c r="AL155" s="113"/>
      <c r="AM155" s="53"/>
      <c r="AN155" s="113"/>
      <c r="AO155" s="113"/>
      <c r="AP155" s="53"/>
      <c r="AQ155" s="113"/>
      <c r="AR155" s="113"/>
    </row>
    <row r="156" spans="1:44" ht="15">
      <c r="A156" s="113"/>
      <c r="B156" s="113"/>
      <c r="C156" s="53"/>
      <c r="D156" s="113"/>
      <c r="E156" s="113"/>
      <c r="F156" s="53"/>
      <c r="G156" s="113"/>
      <c r="H156" s="113"/>
      <c r="I156" s="53"/>
      <c r="J156" s="113"/>
      <c r="K156" s="113"/>
      <c r="L156" s="53"/>
      <c r="M156" s="113"/>
      <c r="N156" s="113"/>
      <c r="O156" s="53"/>
      <c r="P156" s="113"/>
      <c r="Q156" s="113"/>
      <c r="R156" s="53"/>
      <c r="S156" s="113"/>
      <c r="T156" s="113"/>
      <c r="U156" s="53"/>
      <c r="V156" s="113"/>
      <c r="W156" s="113"/>
      <c r="X156" s="53"/>
      <c r="Y156" s="113"/>
      <c r="Z156" s="113"/>
      <c r="AA156" s="53"/>
      <c r="AB156" s="113"/>
      <c r="AC156" s="113"/>
      <c r="AD156" s="53"/>
      <c r="AE156" s="113"/>
      <c r="AF156" s="113"/>
      <c r="AG156" s="53"/>
      <c r="AH156" s="113"/>
      <c r="AI156" s="113"/>
      <c r="AJ156" s="53"/>
      <c r="AK156" s="113"/>
      <c r="AL156" s="113"/>
      <c r="AM156" s="53"/>
      <c r="AN156" s="113"/>
      <c r="AO156" s="113"/>
      <c r="AP156" s="53"/>
      <c r="AQ156" s="113"/>
      <c r="AR156" s="113"/>
    </row>
    <row r="157" spans="1:44" ht="15">
      <c r="A157" s="113"/>
      <c r="B157" s="113"/>
      <c r="C157" s="53"/>
      <c r="D157" s="113"/>
      <c r="E157" s="113"/>
      <c r="F157" s="53"/>
      <c r="G157" s="113"/>
      <c r="H157" s="113"/>
      <c r="I157" s="53"/>
      <c r="J157" s="113"/>
      <c r="K157" s="113"/>
      <c r="L157" s="53"/>
      <c r="M157" s="113"/>
      <c r="N157" s="113"/>
      <c r="O157" s="53"/>
      <c r="P157" s="113"/>
      <c r="Q157" s="113"/>
      <c r="R157" s="53"/>
      <c r="S157" s="113"/>
      <c r="T157" s="113"/>
      <c r="U157" s="53"/>
      <c r="V157" s="113"/>
      <c r="W157" s="113"/>
      <c r="X157" s="53"/>
      <c r="Y157" s="113"/>
      <c r="Z157" s="113"/>
      <c r="AA157" s="53"/>
      <c r="AB157" s="113"/>
      <c r="AC157" s="113"/>
      <c r="AD157" s="53"/>
      <c r="AE157" s="113"/>
      <c r="AF157" s="113"/>
      <c r="AG157" s="53"/>
      <c r="AH157" s="113"/>
      <c r="AI157" s="113"/>
      <c r="AJ157" s="53"/>
      <c r="AK157" s="113"/>
      <c r="AL157" s="113"/>
      <c r="AM157" s="53"/>
      <c r="AN157" s="113"/>
      <c r="AO157" s="113"/>
      <c r="AP157" s="53"/>
      <c r="AQ157" s="113"/>
      <c r="AR157" s="113"/>
    </row>
    <row r="158" spans="1:44" ht="15">
      <c r="A158" s="113"/>
      <c r="B158" s="113"/>
      <c r="C158" s="53"/>
      <c r="D158" s="113"/>
      <c r="E158" s="113"/>
      <c r="F158" s="53"/>
      <c r="G158" s="113"/>
      <c r="H158" s="113"/>
      <c r="I158" s="53"/>
      <c r="J158" s="113"/>
      <c r="K158" s="113"/>
      <c r="L158" s="53"/>
      <c r="M158" s="113"/>
      <c r="N158" s="113"/>
      <c r="O158" s="53"/>
      <c r="P158" s="113"/>
      <c r="Q158" s="113"/>
      <c r="R158" s="53"/>
      <c r="S158" s="113"/>
      <c r="T158" s="113"/>
      <c r="U158" s="53"/>
      <c r="V158" s="113"/>
      <c r="W158" s="113"/>
      <c r="X158" s="53"/>
      <c r="Y158" s="113"/>
      <c r="Z158" s="113"/>
      <c r="AA158" s="53"/>
      <c r="AB158" s="113"/>
      <c r="AC158" s="113"/>
      <c r="AD158" s="53"/>
      <c r="AE158" s="113"/>
      <c r="AF158" s="113"/>
      <c r="AG158" s="53"/>
      <c r="AH158" s="113"/>
      <c r="AI158" s="113"/>
      <c r="AJ158" s="53"/>
      <c r="AK158" s="113"/>
      <c r="AL158" s="113"/>
      <c r="AM158" s="53"/>
      <c r="AN158" s="113"/>
      <c r="AO158" s="113"/>
      <c r="AP158" s="53"/>
      <c r="AQ158" s="113"/>
      <c r="AR158" s="113"/>
    </row>
    <row r="159" spans="1:44" ht="15">
      <c r="A159" s="113"/>
      <c r="B159" s="113"/>
      <c r="C159" s="53"/>
      <c r="D159" s="113"/>
      <c r="E159" s="113"/>
      <c r="F159" s="53"/>
      <c r="G159" s="113"/>
      <c r="H159" s="113"/>
      <c r="I159" s="53"/>
      <c r="J159" s="113"/>
      <c r="K159" s="113"/>
      <c r="L159" s="53"/>
      <c r="M159" s="113"/>
      <c r="N159" s="113"/>
      <c r="O159" s="53"/>
      <c r="P159" s="113"/>
      <c r="Q159" s="113"/>
      <c r="R159" s="53"/>
      <c r="S159" s="113"/>
      <c r="T159" s="113"/>
      <c r="U159" s="53"/>
      <c r="V159" s="113"/>
      <c r="W159" s="113"/>
      <c r="X159" s="53"/>
      <c r="Y159" s="113"/>
      <c r="Z159" s="113"/>
      <c r="AA159" s="53"/>
      <c r="AB159" s="113"/>
      <c r="AC159" s="113"/>
      <c r="AD159" s="53"/>
      <c r="AE159" s="113"/>
      <c r="AF159" s="113"/>
      <c r="AG159" s="53"/>
      <c r="AH159" s="113"/>
      <c r="AI159" s="113"/>
      <c r="AJ159" s="53"/>
      <c r="AK159" s="113"/>
      <c r="AL159" s="113"/>
      <c r="AM159" s="53"/>
      <c r="AN159" s="113"/>
      <c r="AO159" s="113"/>
      <c r="AP159" s="53"/>
      <c r="AQ159" s="113"/>
      <c r="AR159" s="113"/>
    </row>
    <row r="160" spans="1:44" ht="15">
      <c r="A160" s="113"/>
      <c r="B160" s="113"/>
      <c r="C160" s="53"/>
      <c r="D160" s="113"/>
      <c r="E160" s="113"/>
      <c r="F160" s="53"/>
      <c r="G160" s="113"/>
      <c r="H160" s="113"/>
      <c r="I160" s="53"/>
      <c r="J160" s="113"/>
      <c r="K160" s="113"/>
      <c r="L160" s="53"/>
      <c r="M160" s="113"/>
      <c r="N160" s="113"/>
      <c r="O160" s="53"/>
      <c r="P160" s="113"/>
      <c r="Q160" s="113"/>
      <c r="R160" s="53"/>
      <c r="S160" s="113"/>
      <c r="T160" s="113"/>
      <c r="U160" s="53"/>
      <c r="V160" s="113"/>
      <c r="W160" s="113"/>
      <c r="X160" s="53"/>
      <c r="Y160" s="113"/>
      <c r="Z160" s="113"/>
      <c r="AA160" s="53"/>
      <c r="AB160" s="113"/>
      <c r="AC160" s="113"/>
      <c r="AD160" s="53"/>
      <c r="AE160" s="113"/>
      <c r="AF160" s="113"/>
      <c r="AG160" s="53"/>
      <c r="AH160" s="113"/>
      <c r="AI160" s="113"/>
      <c r="AJ160" s="53"/>
      <c r="AK160" s="113"/>
      <c r="AL160" s="113"/>
      <c r="AM160" s="53"/>
      <c r="AN160" s="113"/>
      <c r="AO160" s="113"/>
      <c r="AP160" s="53"/>
      <c r="AQ160" s="113"/>
      <c r="AR160" s="113"/>
    </row>
    <row r="161" spans="1:44" ht="15">
      <c r="A161" s="113"/>
      <c r="B161" s="113"/>
      <c r="C161" s="53"/>
      <c r="D161" s="113"/>
      <c r="E161" s="113"/>
      <c r="F161" s="53"/>
      <c r="G161" s="113"/>
      <c r="H161" s="113"/>
      <c r="I161" s="53"/>
      <c r="J161" s="113"/>
      <c r="K161" s="113"/>
      <c r="L161" s="53"/>
      <c r="M161" s="113"/>
      <c r="N161" s="113"/>
      <c r="O161" s="53"/>
      <c r="P161" s="113"/>
      <c r="Q161" s="113"/>
      <c r="R161" s="53"/>
      <c r="S161" s="113"/>
      <c r="T161" s="113"/>
      <c r="U161" s="53"/>
      <c r="V161" s="113"/>
      <c r="W161" s="113"/>
      <c r="X161" s="53"/>
      <c r="Y161" s="113"/>
      <c r="Z161" s="113"/>
      <c r="AA161" s="53"/>
      <c r="AB161" s="113"/>
      <c r="AC161" s="113"/>
      <c r="AD161" s="53"/>
      <c r="AE161" s="113"/>
      <c r="AF161" s="113"/>
      <c r="AG161" s="53"/>
      <c r="AH161" s="113"/>
      <c r="AI161" s="113"/>
      <c r="AJ161" s="53"/>
      <c r="AK161" s="113"/>
      <c r="AL161" s="113"/>
      <c r="AM161" s="53"/>
      <c r="AN161" s="113"/>
      <c r="AO161" s="113"/>
      <c r="AP161" s="53"/>
      <c r="AQ161" s="113"/>
      <c r="AR161" s="113"/>
    </row>
    <row r="162" spans="1:44" ht="15">
      <c r="A162" s="113"/>
      <c r="B162" s="113"/>
      <c r="C162" s="53"/>
      <c r="D162" s="113"/>
      <c r="E162" s="113"/>
      <c r="F162" s="53"/>
      <c r="G162" s="113"/>
      <c r="H162" s="113"/>
      <c r="I162" s="53"/>
      <c r="J162" s="113"/>
      <c r="K162" s="113"/>
      <c r="L162" s="53"/>
      <c r="M162" s="113"/>
      <c r="N162" s="113"/>
      <c r="O162" s="53"/>
      <c r="P162" s="113"/>
      <c r="Q162" s="113"/>
      <c r="R162" s="53"/>
      <c r="S162" s="113"/>
      <c r="T162" s="113"/>
      <c r="U162" s="53"/>
      <c r="V162" s="113"/>
      <c r="W162" s="113"/>
      <c r="X162" s="53"/>
      <c r="Y162" s="113"/>
      <c r="Z162" s="113"/>
      <c r="AA162" s="53"/>
      <c r="AB162" s="113"/>
      <c r="AC162" s="113"/>
      <c r="AD162" s="53"/>
      <c r="AE162" s="113"/>
      <c r="AF162" s="113"/>
      <c r="AG162" s="53"/>
      <c r="AH162" s="113"/>
      <c r="AI162" s="113"/>
      <c r="AJ162" s="53"/>
      <c r="AK162" s="113"/>
      <c r="AL162" s="113"/>
      <c r="AM162" s="53"/>
      <c r="AN162" s="113"/>
      <c r="AO162" s="113"/>
      <c r="AP162" s="53"/>
      <c r="AQ162" s="113"/>
      <c r="AR162" s="113"/>
    </row>
    <row r="163" spans="1:44" ht="15">
      <c r="A163" s="113"/>
      <c r="B163" s="113"/>
      <c r="C163" s="53"/>
      <c r="D163" s="113"/>
      <c r="E163" s="113"/>
      <c r="F163" s="53"/>
      <c r="G163" s="113"/>
      <c r="H163" s="113"/>
      <c r="I163" s="53"/>
      <c r="J163" s="113"/>
      <c r="K163" s="113"/>
      <c r="L163" s="53"/>
      <c r="M163" s="113"/>
      <c r="N163" s="113"/>
      <c r="O163" s="53"/>
      <c r="P163" s="113"/>
      <c r="Q163" s="113"/>
      <c r="R163" s="53"/>
      <c r="S163" s="113"/>
      <c r="T163" s="113"/>
      <c r="U163" s="53"/>
      <c r="V163" s="113"/>
      <c r="W163" s="113"/>
      <c r="X163" s="53"/>
      <c r="Y163" s="113"/>
      <c r="Z163" s="113"/>
      <c r="AA163" s="53"/>
      <c r="AB163" s="113"/>
      <c r="AC163" s="113"/>
      <c r="AD163" s="53"/>
      <c r="AE163" s="113"/>
      <c r="AF163" s="113"/>
      <c r="AG163" s="53"/>
      <c r="AH163" s="113"/>
      <c r="AI163" s="113"/>
      <c r="AJ163" s="53"/>
      <c r="AK163" s="113"/>
      <c r="AL163" s="113"/>
      <c r="AM163" s="53"/>
      <c r="AN163" s="113"/>
      <c r="AO163" s="113"/>
      <c r="AP163" s="53"/>
      <c r="AQ163" s="113"/>
      <c r="AR163" s="113"/>
    </row>
    <row r="164" spans="1:44" ht="15">
      <c r="A164" s="113"/>
      <c r="B164" s="113"/>
      <c r="C164" s="53"/>
      <c r="D164" s="113"/>
      <c r="E164" s="113"/>
      <c r="F164" s="53"/>
      <c r="G164" s="113"/>
      <c r="H164" s="113"/>
      <c r="I164" s="53"/>
      <c r="J164" s="113"/>
      <c r="K164" s="113"/>
      <c r="L164" s="53"/>
      <c r="M164" s="113"/>
      <c r="N164" s="113"/>
      <c r="O164" s="53"/>
      <c r="P164" s="113"/>
      <c r="Q164" s="113"/>
      <c r="R164" s="53"/>
      <c r="S164" s="113"/>
      <c r="T164" s="113"/>
      <c r="U164" s="53"/>
      <c r="V164" s="113"/>
      <c r="W164" s="113"/>
      <c r="X164" s="53"/>
      <c r="Y164" s="113"/>
      <c r="Z164" s="113"/>
      <c r="AA164" s="53"/>
      <c r="AB164" s="113"/>
      <c r="AC164" s="113"/>
      <c r="AD164" s="53"/>
      <c r="AE164" s="113"/>
      <c r="AF164" s="113"/>
      <c r="AG164" s="53"/>
      <c r="AH164" s="113"/>
      <c r="AI164" s="113"/>
      <c r="AJ164" s="53"/>
      <c r="AK164" s="113"/>
      <c r="AL164" s="113"/>
      <c r="AM164" s="53"/>
      <c r="AN164" s="113"/>
      <c r="AO164" s="113"/>
      <c r="AP164" s="53"/>
      <c r="AQ164" s="113"/>
      <c r="AR164" s="113"/>
    </row>
    <row r="165" spans="1:44" ht="15">
      <c r="A165" s="113"/>
      <c r="B165" s="113"/>
      <c r="C165" s="53"/>
      <c r="D165" s="113"/>
      <c r="E165" s="113"/>
      <c r="F165" s="53"/>
      <c r="G165" s="113"/>
      <c r="H165" s="113"/>
      <c r="I165" s="53"/>
      <c r="J165" s="113"/>
      <c r="K165" s="113"/>
      <c r="L165" s="53"/>
      <c r="M165" s="113"/>
      <c r="N165" s="113"/>
      <c r="O165" s="53"/>
      <c r="P165" s="113"/>
      <c r="Q165" s="113"/>
      <c r="R165" s="53"/>
      <c r="S165" s="113"/>
      <c r="T165" s="113"/>
      <c r="U165" s="53"/>
      <c r="V165" s="113"/>
      <c r="W165" s="113"/>
      <c r="X165" s="53"/>
      <c r="Y165" s="113"/>
      <c r="Z165" s="113"/>
      <c r="AA165" s="53"/>
      <c r="AB165" s="113"/>
      <c r="AC165" s="113"/>
      <c r="AD165" s="53"/>
      <c r="AE165" s="113"/>
      <c r="AF165" s="113"/>
      <c r="AG165" s="53"/>
      <c r="AH165" s="113"/>
      <c r="AI165" s="113"/>
      <c r="AJ165" s="53"/>
      <c r="AK165" s="113"/>
      <c r="AL165" s="113"/>
      <c r="AM165" s="53"/>
      <c r="AN165" s="113"/>
      <c r="AO165" s="113"/>
      <c r="AP165" s="53"/>
      <c r="AQ165" s="113"/>
      <c r="AR165" s="113"/>
    </row>
    <row r="166" spans="1:44" ht="15">
      <c r="A166" s="113"/>
      <c r="B166" s="113"/>
      <c r="C166" s="53"/>
      <c r="D166" s="113"/>
      <c r="E166" s="113"/>
      <c r="F166" s="53"/>
      <c r="G166" s="113"/>
      <c r="H166" s="113"/>
      <c r="I166" s="53"/>
      <c r="J166" s="113"/>
      <c r="K166" s="113"/>
      <c r="L166" s="53"/>
      <c r="M166" s="113"/>
      <c r="N166" s="113"/>
      <c r="O166" s="53"/>
      <c r="P166" s="113"/>
      <c r="Q166" s="113"/>
      <c r="R166" s="53"/>
      <c r="S166" s="113"/>
      <c r="T166" s="113"/>
      <c r="U166" s="53"/>
      <c r="V166" s="113"/>
      <c r="W166" s="113"/>
      <c r="X166" s="53"/>
      <c r="Y166" s="113"/>
      <c r="Z166" s="113"/>
      <c r="AA166" s="53"/>
      <c r="AB166" s="113"/>
      <c r="AC166" s="113"/>
      <c r="AD166" s="53"/>
      <c r="AE166" s="113"/>
      <c r="AF166" s="113"/>
      <c r="AG166" s="53"/>
      <c r="AH166" s="113"/>
      <c r="AI166" s="113"/>
      <c r="AJ166" s="53"/>
      <c r="AK166" s="113"/>
      <c r="AL166" s="113"/>
      <c r="AM166" s="53"/>
      <c r="AN166" s="113"/>
      <c r="AO166" s="113"/>
      <c r="AP166" s="53"/>
      <c r="AQ166" s="113"/>
      <c r="AR166" s="113"/>
    </row>
    <row r="167" spans="1:44" ht="15">
      <c r="A167" s="113"/>
      <c r="B167" s="113"/>
      <c r="C167" s="53"/>
      <c r="D167" s="113"/>
      <c r="E167" s="113"/>
      <c r="F167" s="53"/>
      <c r="G167" s="113"/>
      <c r="H167" s="113"/>
      <c r="I167" s="53"/>
      <c r="J167" s="113"/>
      <c r="K167" s="113"/>
      <c r="L167" s="53"/>
      <c r="M167" s="113"/>
      <c r="N167" s="113"/>
      <c r="O167" s="53"/>
      <c r="P167" s="113"/>
      <c r="Q167" s="113"/>
      <c r="R167" s="53"/>
      <c r="S167" s="113"/>
      <c r="T167" s="113"/>
      <c r="U167" s="53"/>
      <c r="V167" s="113"/>
      <c r="W167" s="113"/>
      <c r="X167" s="53"/>
      <c r="Y167" s="113"/>
      <c r="Z167" s="113"/>
      <c r="AA167" s="53"/>
      <c r="AB167" s="113"/>
      <c r="AC167" s="113"/>
      <c r="AD167" s="53"/>
      <c r="AE167" s="113"/>
      <c r="AF167" s="113"/>
      <c r="AG167" s="53"/>
      <c r="AH167" s="113"/>
      <c r="AI167" s="113"/>
      <c r="AJ167" s="53"/>
      <c r="AK167" s="113"/>
      <c r="AL167" s="113"/>
      <c r="AM167" s="53"/>
      <c r="AN167" s="113"/>
      <c r="AO167" s="113"/>
      <c r="AP167" s="53"/>
      <c r="AQ167" s="113"/>
      <c r="AR167" s="113"/>
    </row>
    <row r="168" spans="1:44" ht="15">
      <c r="A168" s="113"/>
      <c r="B168" s="113"/>
      <c r="C168" s="53"/>
      <c r="D168" s="113"/>
      <c r="E168" s="113"/>
      <c r="F168" s="53"/>
      <c r="G168" s="113"/>
      <c r="H168" s="113"/>
      <c r="I168" s="53"/>
      <c r="J168" s="113"/>
      <c r="K168" s="113"/>
      <c r="L168" s="53"/>
      <c r="M168" s="113"/>
      <c r="N168" s="113"/>
      <c r="O168" s="53"/>
      <c r="P168" s="113"/>
      <c r="Q168" s="113"/>
      <c r="R168" s="53"/>
      <c r="S168" s="113"/>
      <c r="T168" s="113"/>
      <c r="U168" s="53"/>
      <c r="V168" s="113"/>
      <c r="W168" s="113"/>
      <c r="X168" s="53"/>
      <c r="Y168" s="113"/>
      <c r="Z168" s="113"/>
      <c r="AA168" s="53"/>
      <c r="AB168" s="113"/>
      <c r="AC168" s="113"/>
      <c r="AD168" s="53"/>
      <c r="AE168" s="113"/>
      <c r="AF168" s="113"/>
      <c r="AG168" s="53"/>
      <c r="AH168" s="113"/>
      <c r="AI168" s="113"/>
      <c r="AJ168" s="53"/>
      <c r="AK168" s="113"/>
      <c r="AL168" s="113"/>
      <c r="AM168" s="53"/>
      <c r="AN168" s="113"/>
      <c r="AO168" s="113"/>
      <c r="AP168" s="53"/>
      <c r="AQ168" s="113"/>
      <c r="AR168" s="113"/>
    </row>
    <row r="169" spans="1:44" ht="15">
      <c r="A169" s="113"/>
      <c r="B169" s="113"/>
      <c r="C169" s="53"/>
      <c r="D169" s="113"/>
      <c r="E169" s="113"/>
      <c r="F169" s="53"/>
      <c r="G169" s="113"/>
      <c r="H169" s="113"/>
      <c r="I169" s="53"/>
      <c r="J169" s="113"/>
      <c r="K169" s="113"/>
      <c r="L169" s="53"/>
      <c r="M169" s="113"/>
      <c r="N169" s="113"/>
      <c r="O169" s="53"/>
      <c r="P169" s="113"/>
      <c r="Q169" s="113"/>
      <c r="R169" s="53"/>
      <c r="S169" s="113"/>
      <c r="T169" s="113"/>
      <c r="U169" s="53"/>
      <c r="V169" s="113"/>
      <c r="W169" s="113"/>
      <c r="X169" s="53"/>
      <c r="Y169" s="113"/>
      <c r="Z169" s="113"/>
      <c r="AA169" s="53"/>
      <c r="AB169" s="113"/>
      <c r="AC169" s="113"/>
      <c r="AD169" s="53"/>
      <c r="AE169" s="113"/>
      <c r="AF169" s="113"/>
      <c r="AG169" s="53"/>
      <c r="AH169" s="113"/>
      <c r="AI169" s="113"/>
      <c r="AJ169" s="53"/>
      <c r="AK169" s="113"/>
      <c r="AL169" s="113"/>
      <c r="AM169" s="53"/>
      <c r="AN169" s="113"/>
      <c r="AO169" s="113"/>
      <c r="AP169" s="53"/>
      <c r="AQ169" s="113"/>
      <c r="AR169" s="113"/>
    </row>
    <row r="170" spans="1:44" ht="15">
      <c r="A170" s="113"/>
      <c r="B170" s="113"/>
      <c r="C170" s="53"/>
      <c r="D170" s="113"/>
      <c r="E170" s="113"/>
      <c r="F170" s="53"/>
      <c r="G170" s="113"/>
      <c r="H170" s="113"/>
      <c r="I170" s="53"/>
      <c r="J170" s="113"/>
      <c r="K170" s="113"/>
      <c r="L170" s="53"/>
      <c r="M170" s="113"/>
      <c r="N170" s="113"/>
      <c r="O170" s="53"/>
      <c r="P170" s="113"/>
      <c r="Q170" s="113"/>
      <c r="R170" s="53"/>
      <c r="S170" s="113"/>
      <c r="T170" s="113"/>
      <c r="U170" s="53"/>
      <c r="V170" s="113"/>
      <c r="W170" s="113"/>
      <c r="X170" s="53"/>
      <c r="Y170" s="113"/>
      <c r="Z170" s="113"/>
      <c r="AA170" s="53"/>
      <c r="AB170" s="113"/>
      <c r="AC170" s="113"/>
      <c r="AD170" s="53"/>
      <c r="AE170" s="113"/>
      <c r="AF170" s="113"/>
      <c r="AG170" s="53"/>
      <c r="AH170" s="113"/>
      <c r="AI170" s="113"/>
      <c r="AJ170" s="53"/>
      <c r="AK170" s="113"/>
      <c r="AL170" s="113"/>
      <c r="AM170" s="53"/>
      <c r="AN170" s="113"/>
      <c r="AO170" s="113"/>
      <c r="AP170" s="53"/>
      <c r="AQ170" s="113"/>
      <c r="AR170" s="113"/>
    </row>
    <row r="171" spans="1:44" ht="15">
      <c r="A171" s="113"/>
      <c r="B171" s="113"/>
      <c r="C171" s="53"/>
      <c r="D171" s="113"/>
      <c r="E171" s="113"/>
      <c r="F171" s="53"/>
      <c r="G171" s="113"/>
      <c r="H171" s="113"/>
      <c r="I171" s="53"/>
      <c r="J171" s="113"/>
      <c r="K171" s="113"/>
      <c r="L171" s="53"/>
      <c r="M171" s="113"/>
      <c r="N171" s="113"/>
      <c r="O171" s="53"/>
      <c r="P171" s="113"/>
      <c r="Q171" s="113"/>
      <c r="R171" s="53"/>
      <c r="S171" s="113"/>
      <c r="T171" s="113"/>
      <c r="U171" s="53"/>
      <c r="V171" s="113"/>
      <c r="W171" s="113"/>
      <c r="X171" s="53"/>
      <c r="Y171" s="113"/>
      <c r="Z171" s="113"/>
      <c r="AA171" s="53"/>
      <c r="AB171" s="113"/>
      <c r="AC171" s="113"/>
      <c r="AD171" s="53"/>
      <c r="AE171" s="113"/>
      <c r="AF171" s="113"/>
      <c r="AG171" s="53"/>
      <c r="AH171" s="113"/>
      <c r="AI171" s="113"/>
      <c r="AJ171" s="53"/>
      <c r="AK171" s="113"/>
      <c r="AL171" s="113"/>
      <c r="AM171" s="53"/>
      <c r="AN171" s="113"/>
      <c r="AO171" s="113"/>
      <c r="AP171" s="53"/>
      <c r="AQ171" s="113"/>
      <c r="AR171" s="113"/>
    </row>
    <row r="172" spans="1:44" ht="15">
      <c r="A172" s="113"/>
      <c r="B172" s="113"/>
      <c r="C172" s="53"/>
      <c r="D172" s="113"/>
      <c r="E172" s="113"/>
      <c r="F172" s="53"/>
      <c r="G172" s="113"/>
      <c r="H172" s="113"/>
      <c r="I172" s="53"/>
      <c r="J172" s="113"/>
      <c r="K172" s="113"/>
      <c r="L172" s="53"/>
      <c r="M172" s="113"/>
      <c r="N172" s="113"/>
      <c r="O172" s="53"/>
      <c r="P172" s="113"/>
      <c r="Q172" s="113"/>
      <c r="R172" s="53"/>
      <c r="S172" s="113"/>
      <c r="T172" s="113"/>
      <c r="U172" s="53"/>
      <c r="V172" s="113"/>
      <c r="W172" s="113"/>
      <c r="X172" s="53"/>
      <c r="Y172" s="113"/>
      <c r="Z172" s="113"/>
      <c r="AA172" s="53"/>
      <c r="AB172" s="113"/>
      <c r="AC172" s="113"/>
      <c r="AD172" s="53"/>
      <c r="AE172" s="113"/>
      <c r="AF172" s="113"/>
      <c r="AG172" s="53"/>
      <c r="AH172" s="113"/>
      <c r="AI172" s="113"/>
      <c r="AJ172" s="53"/>
      <c r="AK172" s="113"/>
      <c r="AL172" s="113"/>
      <c r="AM172" s="53"/>
      <c r="AN172" s="113"/>
      <c r="AO172" s="113"/>
      <c r="AP172" s="53"/>
      <c r="AQ172" s="113"/>
      <c r="AR172" s="113"/>
    </row>
    <row r="173" spans="1:44" ht="15">
      <c r="A173" s="113"/>
      <c r="B173" s="113"/>
      <c r="C173" s="53"/>
      <c r="D173" s="113"/>
      <c r="E173" s="113"/>
      <c r="F173" s="53"/>
      <c r="G173" s="113"/>
      <c r="H173" s="113"/>
      <c r="I173" s="53"/>
      <c r="J173" s="113"/>
      <c r="K173" s="113"/>
      <c r="L173" s="53"/>
      <c r="M173" s="113"/>
      <c r="N173" s="113"/>
      <c r="O173" s="53"/>
      <c r="P173" s="113"/>
      <c r="Q173" s="113"/>
      <c r="R173" s="53"/>
      <c r="S173" s="113"/>
      <c r="T173" s="113"/>
      <c r="U173" s="53"/>
      <c r="V173" s="113"/>
      <c r="W173" s="113"/>
      <c r="X173" s="53"/>
      <c r="Y173" s="113"/>
      <c r="Z173" s="113"/>
      <c r="AA173" s="53"/>
      <c r="AB173" s="113"/>
      <c r="AC173" s="113"/>
      <c r="AD173" s="53"/>
      <c r="AE173" s="113"/>
      <c r="AF173" s="113"/>
      <c r="AG173" s="53"/>
      <c r="AH173" s="113"/>
      <c r="AI173" s="113"/>
      <c r="AJ173" s="53"/>
      <c r="AK173" s="113"/>
      <c r="AL173" s="113"/>
      <c r="AM173" s="53"/>
      <c r="AN173" s="113"/>
      <c r="AO173" s="113"/>
      <c r="AP173" s="53"/>
      <c r="AQ173" s="113"/>
      <c r="AR173" s="113"/>
    </row>
    <row r="174" spans="1:44" ht="15">
      <c r="A174" s="113"/>
      <c r="B174" s="113"/>
      <c r="C174" s="53"/>
      <c r="D174" s="113"/>
      <c r="E174" s="113"/>
      <c r="F174" s="53"/>
      <c r="G174" s="113"/>
      <c r="H174" s="113"/>
      <c r="I174" s="53"/>
      <c r="J174" s="113"/>
      <c r="K174" s="113"/>
      <c r="L174" s="53"/>
      <c r="M174" s="113"/>
      <c r="N174" s="113"/>
      <c r="O174" s="53"/>
      <c r="P174" s="113"/>
      <c r="Q174" s="113"/>
      <c r="R174" s="53"/>
      <c r="S174" s="113"/>
      <c r="T174" s="113"/>
      <c r="U174" s="53"/>
      <c r="V174" s="113"/>
      <c r="W174" s="113"/>
      <c r="X174" s="53"/>
      <c r="Y174" s="113"/>
      <c r="Z174" s="113"/>
      <c r="AA174" s="53"/>
      <c r="AB174" s="113"/>
      <c r="AC174" s="113"/>
      <c r="AD174" s="53"/>
      <c r="AE174" s="113"/>
      <c r="AF174" s="113"/>
      <c r="AG174" s="53"/>
      <c r="AH174" s="113"/>
      <c r="AI174" s="113"/>
      <c r="AJ174" s="53"/>
      <c r="AK174" s="113"/>
      <c r="AL174" s="113"/>
      <c r="AM174" s="53"/>
      <c r="AN174" s="113"/>
      <c r="AO174" s="113"/>
      <c r="AP174" s="53"/>
      <c r="AQ174" s="113"/>
      <c r="AR174" s="113"/>
    </row>
    <row r="175" spans="1:44" ht="15">
      <c r="A175" s="113"/>
      <c r="B175" s="113"/>
      <c r="C175" s="53"/>
      <c r="D175" s="113"/>
      <c r="E175" s="113"/>
      <c r="F175" s="53"/>
      <c r="G175" s="113"/>
      <c r="H175" s="113"/>
      <c r="I175" s="53"/>
      <c r="J175" s="113"/>
      <c r="K175" s="113"/>
      <c r="L175" s="53"/>
      <c r="M175" s="113"/>
      <c r="N175" s="113"/>
      <c r="O175" s="53"/>
      <c r="P175" s="113"/>
      <c r="Q175" s="113"/>
      <c r="R175" s="53"/>
      <c r="S175" s="113"/>
      <c r="T175" s="113"/>
      <c r="U175" s="53"/>
      <c r="V175" s="113"/>
      <c r="W175" s="113"/>
      <c r="X175" s="53"/>
      <c r="Y175" s="113"/>
      <c r="Z175" s="113"/>
      <c r="AA175" s="53"/>
      <c r="AB175" s="113"/>
      <c r="AC175" s="113"/>
      <c r="AD175" s="53"/>
      <c r="AE175" s="113"/>
      <c r="AF175" s="113"/>
      <c r="AG175" s="53"/>
      <c r="AH175" s="113"/>
      <c r="AI175" s="113"/>
      <c r="AJ175" s="53"/>
      <c r="AK175" s="113"/>
      <c r="AL175" s="113"/>
      <c r="AM175" s="53"/>
      <c r="AN175" s="113"/>
      <c r="AO175" s="113"/>
      <c r="AP175" s="53"/>
      <c r="AQ175" s="113"/>
      <c r="AR175" s="113"/>
    </row>
    <row r="176" spans="1:44" ht="15">
      <c r="A176" s="113"/>
      <c r="B176" s="113"/>
      <c r="C176" s="53"/>
      <c r="D176" s="113"/>
      <c r="E176" s="113"/>
      <c r="F176" s="53"/>
      <c r="G176" s="113"/>
      <c r="H176" s="113"/>
      <c r="I176" s="53"/>
      <c r="J176" s="113"/>
      <c r="K176" s="113"/>
      <c r="L176" s="53"/>
      <c r="M176" s="113"/>
      <c r="N176" s="113"/>
      <c r="O176" s="53"/>
      <c r="P176" s="113"/>
      <c r="Q176" s="113"/>
      <c r="R176" s="53"/>
      <c r="S176" s="113"/>
      <c r="T176" s="113"/>
      <c r="U176" s="53"/>
      <c r="V176" s="113"/>
      <c r="W176" s="113"/>
      <c r="X176" s="53"/>
      <c r="Y176" s="113"/>
      <c r="Z176" s="113"/>
      <c r="AA176" s="53"/>
      <c r="AB176" s="113"/>
      <c r="AC176" s="113"/>
      <c r="AD176" s="53"/>
      <c r="AE176" s="113"/>
      <c r="AF176" s="113"/>
      <c r="AG176" s="53"/>
      <c r="AH176" s="113"/>
      <c r="AI176" s="113"/>
      <c r="AJ176" s="53"/>
      <c r="AK176" s="113"/>
      <c r="AL176" s="113"/>
      <c r="AM176" s="53"/>
      <c r="AN176" s="113"/>
      <c r="AO176" s="113"/>
      <c r="AP176" s="53"/>
      <c r="AQ176" s="113"/>
      <c r="AR176" s="113"/>
    </row>
    <row r="177" spans="1:44" ht="15">
      <c r="A177" s="113"/>
      <c r="B177" s="113"/>
      <c r="C177" s="53"/>
      <c r="D177" s="113"/>
      <c r="E177" s="113"/>
      <c r="F177" s="53"/>
      <c r="G177" s="113"/>
      <c r="H177" s="113"/>
      <c r="I177" s="53"/>
      <c r="J177" s="113"/>
      <c r="K177" s="113"/>
      <c r="L177" s="53"/>
      <c r="M177" s="113"/>
      <c r="N177" s="113"/>
      <c r="O177" s="53"/>
      <c r="P177" s="113"/>
      <c r="Q177" s="113"/>
      <c r="R177" s="53"/>
      <c r="S177" s="113"/>
      <c r="T177" s="113"/>
      <c r="U177" s="53"/>
      <c r="V177" s="113"/>
      <c r="W177" s="113"/>
      <c r="X177" s="53"/>
      <c r="Y177" s="113"/>
      <c r="Z177" s="113"/>
      <c r="AA177" s="53"/>
      <c r="AB177" s="113"/>
      <c r="AC177" s="113"/>
      <c r="AD177" s="53"/>
      <c r="AE177" s="113"/>
      <c r="AF177" s="113"/>
      <c r="AG177" s="53"/>
      <c r="AH177" s="113"/>
      <c r="AI177" s="113"/>
      <c r="AJ177" s="53"/>
      <c r="AK177" s="113"/>
      <c r="AL177" s="113"/>
      <c r="AM177" s="53"/>
      <c r="AN177" s="113"/>
      <c r="AO177" s="113"/>
      <c r="AP177" s="53"/>
      <c r="AQ177" s="113"/>
      <c r="AR177" s="113"/>
    </row>
    <row r="178" spans="1:44" ht="15">
      <c r="A178" s="113"/>
      <c r="B178" s="113"/>
      <c r="C178" s="53"/>
      <c r="D178" s="113"/>
      <c r="E178" s="113"/>
      <c r="F178" s="53"/>
      <c r="G178" s="113"/>
      <c r="H178" s="113"/>
      <c r="I178" s="53"/>
      <c r="J178" s="113"/>
      <c r="K178" s="113"/>
      <c r="L178" s="53"/>
      <c r="M178" s="113"/>
      <c r="N178" s="113"/>
      <c r="O178" s="53"/>
      <c r="P178" s="113"/>
      <c r="Q178" s="113"/>
      <c r="R178" s="53"/>
      <c r="S178" s="113"/>
      <c r="T178" s="113"/>
      <c r="U178" s="53"/>
      <c r="V178" s="113"/>
      <c r="W178" s="113"/>
      <c r="X178" s="53"/>
      <c r="Y178" s="113"/>
      <c r="Z178" s="113"/>
      <c r="AA178" s="53"/>
      <c r="AB178" s="113"/>
      <c r="AC178" s="113"/>
      <c r="AD178" s="53"/>
      <c r="AE178" s="113"/>
      <c r="AF178" s="113"/>
      <c r="AG178" s="53"/>
      <c r="AH178" s="113"/>
      <c r="AI178" s="113"/>
      <c r="AJ178" s="53"/>
      <c r="AK178" s="113"/>
      <c r="AL178" s="113"/>
      <c r="AM178" s="53"/>
      <c r="AN178" s="113"/>
      <c r="AO178" s="113"/>
      <c r="AP178" s="53"/>
      <c r="AQ178" s="113"/>
      <c r="AR178" s="113"/>
    </row>
    <row r="179" spans="1:44" ht="15">
      <c r="A179" s="113"/>
      <c r="B179" s="113"/>
      <c r="C179" s="53"/>
      <c r="D179" s="113"/>
      <c r="E179" s="113"/>
      <c r="F179" s="53"/>
      <c r="G179" s="113"/>
      <c r="H179" s="113"/>
      <c r="I179" s="53"/>
      <c r="J179" s="113"/>
      <c r="K179" s="113"/>
      <c r="L179" s="53"/>
      <c r="M179" s="113"/>
      <c r="N179" s="113"/>
      <c r="O179" s="53"/>
      <c r="P179" s="113"/>
      <c r="Q179" s="113"/>
      <c r="R179" s="53"/>
      <c r="S179" s="113"/>
      <c r="T179" s="113"/>
      <c r="U179" s="53"/>
      <c r="V179" s="113"/>
      <c r="W179" s="113"/>
      <c r="X179" s="53"/>
      <c r="Y179" s="113"/>
      <c r="Z179" s="113"/>
      <c r="AA179" s="53"/>
      <c r="AB179" s="113"/>
      <c r="AC179" s="113"/>
      <c r="AD179" s="53"/>
      <c r="AE179" s="113"/>
      <c r="AF179" s="113"/>
      <c r="AG179" s="53"/>
      <c r="AH179" s="113"/>
      <c r="AI179" s="113"/>
      <c r="AJ179" s="53"/>
      <c r="AK179" s="113"/>
      <c r="AL179" s="113"/>
      <c r="AM179" s="53"/>
      <c r="AN179" s="113"/>
      <c r="AO179" s="113"/>
      <c r="AP179" s="53"/>
      <c r="AQ179" s="113"/>
      <c r="AR179" s="113"/>
    </row>
    <row r="180" spans="1:44" ht="15">
      <c r="A180" s="113"/>
      <c r="B180" s="113"/>
      <c r="C180" s="53"/>
      <c r="D180" s="113"/>
      <c r="E180" s="113"/>
      <c r="F180" s="53"/>
      <c r="G180" s="113"/>
      <c r="H180" s="113"/>
      <c r="I180" s="53"/>
      <c r="J180" s="113"/>
      <c r="K180" s="113"/>
      <c r="L180" s="53"/>
      <c r="M180" s="113"/>
      <c r="N180" s="113"/>
      <c r="O180" s="53"/>
      <c r="P180" s="113"/>
      <c r="Q180" s="113"/>
      <c r="R180" s="53"/>
      <c r="S180" s="113"/>
      <c r="T180" s="113"/>
      <c r="U180" s="53"/>
      <c r="V180" s="113"/>
      <c r="W180" s="113"/>
      <c r="X180" s="53"/>
      <c r="Y180" s="113"/>
      <c r="Z180" s="113"/>
      <c r="AA180" s="53"/>
      <c r="AB180" s="113"/>
      <c r="AC180" s="113"/>
      <c r="AD180" s="53"/>
      <c r="AE180" s="113"/>
      <c r="AF180" s="113"/>
      <c r="AG180" s="53"/>
      <c r="AH180" s="113"/>
      <c r="AI180" s="113"/>
      <c r="AJ180" s="53"/>
      <c r="AK180" s="113"/>
      <c r="AL180" s="113"/>
      <c r="AM180" s="53"/>
      <c r="AN180" s="113"/>
      <c r="AO180" s="113"/>
      <c r="AP180" s="53"/>
      <c r="AQ180" s="113"/>
      <c r="AR180" s="113"/>
    </row>
    <row r="181" spans="1:44" ht="15">
      <c r="A181" s="113"/>
      <c r="B181" s="113"/>
      <c r="C181" s="53"/>
      <c r="D181" s="113"/>
      <c r="E181" s="113"/>
      <c r="F181" s="53"/>
      <c r="G181" s="113"/>
      <c r="H181" s="113"/>
      <c r="I181" s="53"/>
      <c r="J181" s="113"/>
      <c r="K181" s="113"/>
      <c r="L181" s="53"/>
      <c r="M181" s="113"/>
      <c r="N181" s="113"/>
      <c r="O181" s="53"/>
      <c r="P181" s="113"/>
      <c r="Q181" s="113"/>
      <c r="R181" s="53"/>
      <c r="S181" s="113"/>
      <c r="T181" s="113"/>
      <c r="U181" s="53"/>
      <c r="V181" s="113"/>
      <c r="W181" s="113"/>
      <c r="X181" s="53"/>
      <c r="Y181" s="113"/>
      <c r="Z181" s="113"/>
      <c r="AA181" s="53"/>
      <c r="AB181" s="113"/>
      <c r="AC181" s="113"/>
      <c r="AD181" s="53"/>
      <c r="AE181" s="113"/>
      <c r="AF181" s="113"/>
      <c r="AG181" s="53"/>
      <c r="AH181" s="113"/>
      <c r="AI181" s="113"/>
      <c r="AJ181" s="53"/>
      <c r="AK181" s="113"/>
      <c r="AL181" s="113"/>
      <c r="AM181" s="53"/>
      <c r="AN181" s="113"/>
      <c r="AO181" s="113"/>
      <c r="AP181" s="53"/>
      <c r="AQ181" s="113"/>
      <c r="AR181" s="113"/>
    </row>
    <row r="182" spans="1:44" ht="15">
      <c r="A182" s="113"/>
      <c r="B182" s="113"/>
      <c r="C182" s="53"/>
      <c r="D182" s="113"/>
      <c r="E182" s="113"/>
      <c r="F182" s="53"/>
      <c r="G182" s="113"/>
      <c r="H182" s="113"/>
      <c r="I182" s="53"/>
      <c r="J182" s="113"/>
      <c r="K182" s="113"/>
      <c r="L182" s="53"/>
      <c r="M182" s="113"/>
      <c r="N182" s="113"/>
      <c r="O182" s="53"/>
      <c r="P182" s="113"/>
      <c r="Q182" s="113"/>
      <c r="R182" s="53"/>
      <c r="S182" s="113"/>
      <c r="T182" s="113"/>
      <c r="U182" s="53"/>
      <c r="V182" s="113"/>
      <c r="W182" s="113"/>
      <c r="X182" s="53"/>
      <c r="Y182" s="113"/>
      <c r="Z182" s="113"/>
      <c r="AA182" s="53"/>
      <c r="AB182" s="113"/>
      <c r="AC182" s="113"/>
      <c r="AD182" s="53"/>
      <c r="AE182" s="113"/>
      <c r="AF182" s="113"/>
      <c r="AG182" s="53"/>
      <c r="AH182" s="113"/>
      <c r="AI182" s="113"/>
      <c r="AJ182" s="53"/>
      <c r="AK182" s="113"/>
      <c r="AL182" s="113"/>
      <c r="AM182" s="53"/>
      <c r="AN182" s="113"/>
      <c r="AO182" s="113"/>
      <c r="AP182" s="53"/>
      <c r="AQ182" s="113"/>
      <c r="AR182" s="113"/>
    </row>
    <row r="183" spans="1:44" ht="15">
      <c r="A183" s="113"/>
      <c r="B183" s="113"/>
      <c r="C183" s="53"/>
      <c r="D183" s="113"/>
      <c r="E183" s="113"/>
      <c r="F183" s="53"/>
      <c r="G183" s="113"/>
      <c r="H183" s="113"/>
      <c r="I183" s="53"/>
      <c r="J183" s="113"/>
      <c r="K183" s="113"/>
      <c r="L183" s="53"/>
      <c r="M183" s="113"/>
      <c r="N183" s="113"/>
      <c r="O183" s="53"/>
      <c r="P183" s="113"/>
      <c r="Q183" s="113"/>
      <c r="R183" s="53"/>
      <c r="S183" s="113"/>
      <c r="T183" s="113"/>
      <c r="U183" s="53"/>
      <c r="V183" s="113"/>
      <c r="W183" s="113"/>
      <c r="X183" s="53"/>
      <c r="Y183" s="113"/>
      <c r="Z183" s="113"/>
      <c r="AA183" s="53"/>
      <c r="AB183" s="113"/>
      <c r="AC183" s="113"/>
      <c r="AD183" s="53"/>
      <c r="AE183" s="113"/>
      <c r="AF183" s="113"/>
      <c r="AG183" s="53"/>
      <c r="AH183" s="113"/>
      <c r="AI183" s="113"/>
      <c r="AJ183" s="53"/>
      <c r="AK183" s="113"/>
      <c r="AL183" s="113"/>
      <c r="AM183" s="53"/>
      <c r="AN183" s="113"/>
      <c r="AO183" s="113"/>
      <c r="AP183" s="53"/>
      <c r="AQ183" s="113"/>
      <c r="AR183" s="113"/>
    </row>
    <row r="184" spans="1:44" ht="15">
      <c r="A184" s="113"/>
      <c r="B184" s="113"/>
      <c r="C184" s="53"/>
      <c r="D184" s="113"/>
      <c r="E184" s="113"/>
      <c r="F184" s="53"/>
      <c r="G184" s="113"/>
      <c r="H184" s="113"/>
      <c r="I184" s="53"/>
      <c r="J184" s="113"/>
      <c r="K184" s="113"/>
      <c r="L184" s="53"/>
      <c r="M184" s="113"/>
      <c r="N184" s="113"/>
      <c r="O184" s="53"/>
      <c r="P184" s="113"/>
      <c r="Q184" s="113"/>
      <c r="R184" s="53"/>
      <c r="S184" s="113"/>
      <c r="T184" s="113"/>
      <c r="U184" s="53"/>
      <c r="V184" s="113"/>
      <c r="W184" s="113"/>
      <c r="X184" s="53"/>
      <c r="Y184" s="113"/>
      <c r="Z184" s="113"/>
      <c r="AA184" s="53"/>
      <c r="AB184" s="113"/>
      <c r="AC184" s="113"/>
      <c r="AD184" s="53"/>
      <c r="AE184" s="113"/>
      <c r="AF184" s="113"/>
      <c r="AG184" s="53"/>
      <c r="AH184" s="113"/>
      <c r="AI184" s="113"/>
      <c r="AJ184" s="53"/>
      <c r="AK184" s="113"/>
      <c r="AL184" s="113"/>
      <c r="AM184" s="53"/>
      <c r="AN184" s="113"/>
      <c r="AO184" s="113"/>
      <c r="AP184" s="53"/>
      <c r="AQ184" s="113"/>
      <c r="AR184" s="113"/>
    </row>
    <row r="185" spans="1:44" ht="15">
      <c r="A185" s="113"/>
      <c r="B185" s="113"/>
      <c r="C185" s="53"/>
      <c r="D185" s="113"/>
      <c r="E185" s="113"/>
      <c r="F185" s="53"/>
      <c r="G185" s="113"/>
      <c r="H185" s="113"/>
      <c r="I185" s="53"/>
      <c r="J185" s="113"/>
      <c r="K185" s="113"/>
      <c r="L185" s="53"/>
      <c r="M185" s="113"/>
      <c r="N185" s="113"/>
      <c r="O185" s="53"/>
      <c r="P185" s="113"/>
      <c r="Q185" s="113"/>
      <c r="R185" s="53"/>
      <c r="S185" s="113"/>
      <c r="T185" s="113"/>
      <c r="U185" s="53"/>
      <c r="V185" s="113"/>
      <c r="W185" s="113"/>
      <c r="X185" s="53"/>
      <c r="Y185" s="113"/>
      <c r="Z185" s="113"/>
      <c r="AA185" s="53"/>
      <c r="AB185" s="113"/>
      <c r="AC185" s="113"/>
      <c r="AD185" s="53"/>
      <c r="AE185" s="113"/>
      <c r="AF185" s="113"/>
      <c r="AG185" s="53"/>
      <c r="AH185" s="113"/>
      <c r="AI185" s="113"/>
      <c r="AJ185" s="53"/>
      <c r="AK185" s="113"/>
      <c r="AL185" s="113"/>
      <c r="AM185" s="53"/>
      <c r="AN185" s="113"/>
      <c r="AO185" s="113"/>
      <c r="AP185" s="53"/>
      <c r="AQ185" s="113"/>
      <c r="AR185" s="113"/>
    </row>
    <row r="186" spans="1:44" ht="15">
      <c r="A186" s="113"/>
      <c r="B186" s="113"/>
      <c r="C186" s="53"/>
      <c r="D186" s="113"/>
      <c r="E186" s="113"/>
      <c r="F186" s="53"/>
      <c r="G186" s="113"/>
      <c r="H186" s="113"/>
      <c r="I186" s="53"/>
      <c r="J186" s="113"/>
      <c r="K186" s="113"/>
      <c r="L186" s="53"/>
      <c r="M186" s="113"/>
      <c r="N186" s="113"/>
      <c r="O186" s="53"/>
      <c r="P186" s="113"/>
      <c r="Q186" s="113"/>
      <c r="R186" s="53"/>
      <c r="S186" s="113"/>
      <c r="T186" s="113"/>
      <c r="U186" s="53"/>
      <c r="V186" s="113"/>
      <c r="W186" s="113"/>
      <c r="X186" s="53"/>
      <c r="Y186" s="113"/>
      <c r="Z186" s="113"/>
      <c r="AA186" s="53"/>
      <c r="AB186" s="113"/>
      <c r="AC186" s="113"/>
      <c r="AD186" s="53"/>
      <c r="AE186" s="113"/>
      <c r="AF186" s="113"/>
      <c r="AG186" s="53"/>
      <c r="AH186" s="113"/>
      <c r="AI186" s="113"/>
      <c r="AJ186" s="53"/>
      <c r="AK186" s="113"/>
      <c r="AL186" s="113"/>
      <c r="AM186" s="53"/>
      <c r="AN186" s="113"/>
      <c r="AO186" s="113"/>
      <c r="AP186" s="53"/>
      <c r="AQ186" s="113"/>
      <c r="AR186" s="113"/>
    </row>
    <row r="187" spans="1:44" ht="15">
      <c r="A187" s="113"/>
      <c r="B187" s="113"/>
      <c r="C187" s="53"/>
      <c r="D187" s="113"/>
      <c r="E187" s="113"/>
      <c r="F187" s="53"/>
      <c r="G187" s="113"/>
      <c r="H187" s="113"/>
      <c r="I187" s="53"/>
      <c r="J187" s="113"/>
      <c r="K187" s="113"/>
      <c r="L187" s="53"/>
      <c r="M187" s="113"/>
      <c r="N187" s="113"/>
      <c r="O187" s="53"/>
      <c r="P187" s="113"/>
      <c r="Q187" s="113"/>
      <c r="R187" s="53"/>
      <c r="S187" s="113"/>
      <c r="T187" s="113"/>
      <c r="U187" s="53"/>
      <c r="V187" s="113"/>
      <c r="W187" s="113"/>
      <c r="X187" s="53"/>
      <c r="Y187" s="113"/>
      <c r="Z187" s="113"/>
      <c r="AA187" s="53"/>
      <c r="AB187" s="113"/>
      <c r="AC187" s="113"/>
      <c r="AD187" s="53"/>
      <c r="AE187" s="113"/>
      <c r="AF187" s="113"/>
      <c r="AG187" s="53"/>
      <c r="AH187" s="113"/>
      <c r="AI187" s="113"/>
      <c r="AJ187" s="53"/>
      <c r="AK187" s="113"/>
      <c r="AL187" s="113"/>
      <c r="AM187" s="53"/>
      <c r="AN187" s="113"/>
      <c r="AO187" s="113"/>
      <c r="AP187" s="53"/>
      <c r="AQ187" s="113"/>
      <c r="AR187" s="113"/>
    </row>
    <row r="188" spans="1:44" ht="15">
      <c r="A188" s="113"/>
      <c r="B188" s="113"/>
      <c r="C188" s="53"/>
      <c r="D188" s="113"/>
      <c r="E188" s="113"/>
      <c r="F188" s="53"/>
      <c r="G188" s="113"/>
      <c r="H188" s="113"/>
      <c r="I188" s="53"/>
      <c r="J188" s="113"/>
      <c r="K188" s="113"/>
      <c r="L188" s="53"/>
      <c r="M188" s="113"/>
      <c r="N188" s="113"/>
      <c r="O188" s="53"/>
      <c r="P188" s="113"/>
      <c r="Q188" s="113"/>
      <c r="R188" s="53"/>
      <c r="S188" s="113"/>
      <c r="T188" s="113"/>
      <c r="U188" s="53"/>
      <c r="V188" s="113"/>
      <c r="W188" s="113"/>
      <c r="X188" s="53"/>
      <c r="Y188" s="113"/>
      <c r="Z188" s="113"/>
      <c r="AA188" s="53"/>
      <c r="AB188" s="113"/>
      <c r="AC188" s="113"/>
      <c r="AD188" s="53"/>
      <c r="AE188" s="113"/>
      <c r="AF188" s="113"/>
      <c r="AG188" s="53"/>
      <c r="AH188" s="113"/>
      <c r="AI188" s="113"/>
      <c r="AJ188" s="53"/>
      <c r="AK188" s="113"/>
      <c r="AL188" s="113"/>
      <c r="AM188" s="53"/>
      <c r="AN188" s="113"/>
      <c r="AO188" s="113"/>
      <c r="AP188" s="53"/>
      <c r="AQ188" s="113"/>
      <c r="AR188" s="113"/>
    </row>
    <row r="189" spans="1:44" ht="15">
      <c r="A189" s="113"/>
      <c r="B189" s="113"/>
      <c r="C189" s="53"/>
      <c r="D189" s="113"/>
      <c r="E189" s="113"/>
      <c r="F189" s="53"/>
      <c r="G189" s="113"/>
      <c r="H189" s="113"/>
      <c r="I189" s="53"/>
      <c r="J189" s="113"/>
      <c r="K189" s="113"/>
      <c r="L189" s="53"/>
      <c r="M189" s="113"/>
      <c r="N189" s="113"/>
      <c r="O189" s="53"/>
      <c r="P189" s="113"/>
      <c r="Q189" s="113"/>
      <c r="R189" s="53"/>
      <c r="S189" s="113"/>
      <c r="T189" s="113"/>
      <c r="U189" s="53"/>
      <c r="V189" s="113"/>
      <c r="W189" s="113"/>
      <c r="X189" s="53"/>
      <c r="Y189" s="113"/>
      <c r="Z189" s="113"/>
      <c r="AA189" s="53"/>
      <c r="AB189" s="113"/>
      <c r="AC189" s="113"/>
      <c r="AD189" s="53"/>
      <c r="AE189" s="113"/>
      <c r="AF189" s="113"/>
      <c r="AG189" s="53"/>
      <c r="AH189" s="113"/>
      <c r="AI189" s="113"/>
      <c r="AJ189" s="53"/>
      <c r="AK189" s="113"/>
      <c r="AL189" s="113"/>
      <c r="AM189" s="53"/>
      <c r="AN189" s="113"/>
      <c r="AO189" s="113"/>
      <c r="AP189" s="53"/>
      <c r="AQ189" s="113"/>
      <c r="AR189" s="113"/>
    </row>
    <row r="190" spans="1:44" ht="15">
      <c r="A190" s="113"/>
      <c r="B190" s="113"/>
      <c r="C190" s="53"/>
      <c r="D190" s="113"/>
      <c r="E190" s="113"/>
      <c r="F190" s="53"/>
      <c r="G190" s="113"/>
      <c r="H190" s="113"/>
      <c r="I190" s="53"/>
      <c r="J190" s="113"/>
      <c r="K190" s="113"/>
      <c r="L190" s="53"/>
      <c r="M190" s="113"/>
      <c r="N190" s="113"/>
      <c r="O190" s="53"/>
      <c r="P190" s="113"/>
      <c r="Q190" s="113"/>
      <c r="R190" s="53"/>
      <c r="S190" s="113"/>
      <c r="T190" s="113"/>
      <c r="U190" s="53"/>
      <c r="V190" s="113"/>
      <c r="W190" s="113"/>
      <c r="X190" s="53"/>
      <c r="Y190" s="113"/>
      <c r="Z190" s="113"/>
      <c r="AA190" s="53"/>
      <c r="AB190" s="113"/>
      <c r="AC190" s="113"/>
      <c r="AD190" s="53"/>
      <c r="AE190" s="113"/>
      <c r="AF190" s="113"/>
      <c r="AG190" s="53"/>
      <c r="AH190" s="113"/>
      <c r="AI190" s="113"/>
      <c r="AJ190" s="53"/>
      <c r="AK190" s="113"/>
      <c r="AL190" s="113"/>
      <c r="AM190" s="53"/>
      <c r="AN190" s="113"/>
      <c r="AO190" s="113"/>
      <c r="AP190" s="53"/>
      <c r="AQ190" s="113"/>
      <c r="AR190" s="113"/>
    </row>
    <row r="191" spans="1:44" ht="15">
      <c r="A191" s="113"/>
      <c r="B191" s="113"/>
      <c r="C191" s="53"/>
      <c r="D191" s="113"/>
      <c r="E191" s="113"/>
      <c r="F191" s="53"/>
      <c r="G191" s="113"/>
      <c r="H191" s="113"/>
      <c r="I191" s="53"/>
      <c r="J191" s="113"/>
      <c r="K191" s="113"/>
      <c r="L191" s="53"/>
      <c r="M191" s="113"/>
      <c r="N191" s="113"/>
      <c r="O191" s="53"/>
      <c r="P191" s="113"/>
      <c r="Q191" s="113"/>
      <c r="R191" s="53"/>
      <c r="S191" s="113"/>
      <c r="T191" s="113"/>
      <c r="U191" s="53"/>
      <c r="V191" s="113"/>
      <c r="W191" s="113"/>
      <c r="X191" s="53"/>
      <c r="Y191" s="113"/>
      <c r="Z191" s="113"/>
      <c r="AA191" s="53"/>
      <c r="AB191" s="113"/>
      <c r="AC191" s="113"/>
      <c r="AD191" s="53"/>
      <c r="AE191" s="113"/>
      <c r="AF191" s="113"/>
      <c r="AG191" s="53"/>
      <c r="AH191" s="113"/>
      <c r="AI191" s="113"/>
      <c r="AJ191" s="53"/>
      <c r="AK191" s="113"/>
      <c r="AL191" s="113"/>
      <c r="AM191" s="53"/>
      <c r="AN191" s="113"/>
      <c r="AO191" s="113"/>
      <c r="AP191" s="53"/>
      <c r="AQ191" s="113"/>
      <c r="AR191" s="113"/>
    </row>
    <row r="192" spans="1:44" ht="15">
      <c r="A192" s="113"/>
      <c r="B192" s="113"/>
      <c r="C192" s="53"/>
      <c r="D192" s="113"/>
      <c r="E192" s="113"/>
      <c r="F192" s="53"/>
      <c r="G192" s="113"/>
      <c r="H192" s="113"/>
      <c r="I192" s="53"/>
      <c r="J192" s="113"/>
      <c r="K192" s="113"/>
      <c r="L192" s="53"/>
      <c r="M192" s="113"/>
      <c r="N192" s="113"/>
      <c r="O192" s="53"/>
      <c r="P192" s="113"/>
      <c r="Q192" s="113"/>
      <c r="R192" s="53"/>
      <c r="S192" s="113"/>
      <c r="T192" s="113"/>
      <c r="U192" s="53"/>
      <c r="V192" s="113"/>
      <c r="W192" s="113"/>
      <c r="X192" s="53"/>
      <c r="Y192" s="113"/>
      <c r="Z192" s="113"/>
      <c r="AA192" s="53"/>
      <c r="AB192" s="113"/>
      <c r="AC192" s="113"/>
      <c r="AD192" s="53"/>
      <c r="AE192" s="113"/>
      <c r="AF192" s="113"/>
      <c r="AG192" s="53"/>
      <c r="AH192" s="113"/>
      <c r="AI192" s="113"/>
      <c r="AJ192" s="53"/>
      <c r="AK192" s="113"/>
      <c r="AL192" s="113"/>
      <c r="AM192" s="53"/>
      <c r="AN192" s="113"/>
      <c r="AO192" s="113"/>
      <c r="AP192" s="53"/>
      <c r="AQ192" s="113"/>
      <c r="AR192" s="113"/>
    </row>
    <row r="193" spans="1:44" ht="15">
      <c r="A193" s="113"/>
      <c r="B193" s="113"/>
      <c r="C193" s="53"/>
      <c r="D193" s="113"/>
      <c r="E193" s="113"/>
      <c r="F193" s="53"/>
      <c r="G193" s="113"/>
      <c r="H193" s="113"/>
      <c r="I193" s="53"/>
      <c r="J193" s="113"/>
      <c r="K193" s="113"/>
      <c r="L193" s="53"/>
      <c r="M193" s="113"/>
      <c r="N193" s="113"/>
      <c r="O193" s="53"/>
      <c r="P193" s="113"/>
      <c r="Q193" s="113"/>
      <c r="R193" s="53"/>
      <c r="S193" s="113"/>
      <c r="T193" s="113"/>
      <c r="U193" s="53"/>
      <c r="V193" s="113"/>
      <c r="W193" s="113"/>
      <c r="X193" s="53"/>
      <c r="Y193" s="113"/>
      <c r="Z193" s="113"/>
      <c r="AA193" s="53"/>
      <c r="AB193" s="113"/>
      <c r="AC193" s="113"/>
      <c r="AD193" s="53"/>
      <c r="AE193" s="113"/>
      <c r="AF193" s="113"/>
      <c r="AG193" s="53"/>
      <c r="AH193" s="113"/>
      <c r="AI193" s="113"/>
      <c r="AJ193" s="53"/>
      <c r="AK193" s="113"/>
      <c r="AL193" s="113"/>
      <c r="AM193" s="53"/>
      <c r="AN193" s="113"/>
      <c r="AO193" s="113"/>
      <c r="AP193" s="53"/>
      <c r="AQ193" s="113"/>
      <c r="AR193" s="113"/>
    </row>
    <row r="194" spans="1:44" ht="15">
      <c r="A194" s="113"/>
      <c r="B194" s="113"/>
      <c r="C194" s="53"/>
      <c r="D194" s="113"/>
      <c r="E194" s="113"/>
      <c r="F194" s="53"/>
      <c r="G194" s="113"/>
      <c r="H194" s="113"/>
      <c r="I194" s="53"/>
      <c r="J194" s="113"/>
      <c r="K194" s="113"/>
      <c r="L194" s="53"/>
      <c r="M194" s="113"/>
      <c r="N194" s="113"/>
      <c r="O194" s="53"/>
      <c r="P194" s="113"/>
      <c r="Q194" s="113"/>
      <c r="R194" s="53"/>
      <c r="S194" s="113"/>
      <c r="T194" s="113"/>
      <c r="U194" s="53"/>
      <c r="V194" s="113"/>
      <c r="W194" s="113"/>
      <c r="X194" s="53"/>
      <c r="Y194" s="113"/>
      <c r="Z194" s="113"/>
      <c r="AA194" s="53"/>
      <c r="AB194" s="113"/>
      <c r="AC194" s="113"/>
      <c r="AD194" s="53"/>
      <c r="AE194" s="113"/>
      <c r="AF194" s="113"/>
      <c r="AG194" s="53"/>
      <c r="AH194" s="113"/>
      <c r="AI194" s="113"/>
      <c r="AJ194" s="53"/>
      <c r="AK194" s="113"/>
      <c r="AL194" s="113"/>
      <c r="AM194" s="53"/>
      <c r="AN194" s="113"/>
      <c r="AO194" s="113"/>
      <c r="AP194" s="53"/>
      <c r="AQ194" s="113"/>
      <c r="AR194" s="113"/>
    </row>
    <row r="195" spans="1:44" ht="15">
      <c r="A195" s="113"/>
      <c r="B195" s="113"/>
      <c r="C195" s="53"/>
      <c r="D195" s="113"/>
      <c r="E195" s="113"/>
      <c r="F195" s="53"/>
      <c r="G195" s="113"/>
      <c r="H195" s="113"/>
      <c r="I195" s="53"/>
      <c r="J195" s="113"/>
      <c r="K195" s="113"/>
      <c r="L195" s="53"/>
      <c r="M195" s="113"/>
      <c r="N195" s="113"/>
      <c r="O195" s="53"/>
      <c r="P195" s="113"/>
      <c r="Q195" s="113"/>
      <c r="R195" s="53"/>
      <c r="S195" s="113"/>
      <c r="T195" s="113"/>
      <c r="U195" s="53"/>
      <c r="V195" s="113"/>
      <c r="W195" s="113"/>
      <c r="X195" s="53"/>
      <c r="Y195" s="113"/>
      <c r="Z195" s="113"/>
      <c r="AA195" s="53"/>
      <c r="AB195" s="113"/>
      <c r="AC195" s="113"/>
      <c r="AD195" s="53"/>
      <c r="AE195" s="113"/>
      <c r="AF195" s="113"/>
      <c r="AG195" s="53"/>
      <c r="AH195" s="113"/>
      <c r="AI195" s="113"/>
      <c r="AJ195" s="53"/>
      <c r="AK195" s="113"/>
      <c r="AL195" s="113"/>
      <c r="AM195" s="53"/>
      <c r="AN195" s="113"/>
      <c r="AO195" s="113"/>
      <c r="AP195" s="53"/>
      <c r="AQ195" s="113"/>
      <c r="AR195" s="113"/>
    </row>
    <row r="196" spans="1:44" ht="15">
      <c r="A196" s="113"/>
      <c r="B196" s="113"/>
      <c r="C196" s="53"/>
      <c r="D196" s="113"/>
      <c r="E196" s="113"/>
      <c r="F196" s="53"/>
      <c r="G196" s="113"/>
      <c r="H196" s="113"/>
      <c r="I196" s="53"/>
      <c r="J196" s="113"/>
      <c r="K196" s="113"/>
      <c r="L196" s="53"/>
      <c r="M196" s="113"/>
      <c r="N196" s="113"/>
      <c r="O196" s="53"/>
      <c r="P196" s="113"/>
      <c r="Q196" s="113"/>
      <c r="R196" s="53"/>
      <c r="S196" s="113"/>
      <c r="T196" s="113"/>
      <c r="U196" s="53"/>
      <c r="V196" s="113"/>
      <c r="W196" s="113"/>
      <c r="X196" s="53"/>
      <c r="Y196" s="113"/>
      <c r="Z196" s="113"/>
      <c r="AA196" s="53"/>
      <c r="AB196" s="113"/>
      <c r="AC196" s="113"/>
      <c r="AD196" s="53"/>
      <c r="AE196" s="113"/>
      <c r="AF196" s="113"/>
      <c r="AG196" s="53"/>
      <c r="AH196" s="113"/>
      <c r="AI196" s="113"/>
      <c r="AJ196" s="53"/>
      <c r="AK196" s="113"/>
      <c r="AL196" s="113"/>
      <c r="AM196" s="53"/>
      <c r="AN196" s="113"/>
      <c r="AO196" s="113"/>
      <c r="AP196" s="53"/>
      <c r="AQ196" s="113"/>
      <c r="AR196" s="113"/>
    </row>
    <row r="197" spans="1:44" ht="15">
      <c r="A197" s="113"/>
      <c r="B197" s="113"/>
      <c r="C197" s="53"/>
      <c r="D197" s="113"/>
      <c r="E197" s="113"/>
      <c r="F197" s="53"/>
      <c r="G197" s="113"/>
      <c r="H197" s="113"/>
      <c r="I197" s="53"/>
      <c r="J197" s="113"/>
      <c r="K197" s="113"/>
      <c r="L197" s="53"/>
      <c r="M197" s="113"/>
      <c r="N197" s="113"/>
      <c r="O197" s="53"/>
      <c r="P197" s="113"/>
      <c r="Q197" s="113"/>
      <c r="R197" s="53"/>
      <c r="S197" s="113"/>
      <c r="T197" s="113"/>
      <c r="U197" s="53"/>
      <c r="V197" s="113"/>
      <c r="W197" s="113"/>
      <c r="X197" s="53"/>
      <c r="Y197" s="113"/>
      <c r="Z197" s="113"/>
      <c r="AA197" s="53"/>
      <c r="AB197" s="113"/>
      <c r="AC197" s="113"/>
      <c r="AD197" s="53"/>
      <c r="AE197" s="113"/>
      <c r="AF197" s="113"/>
      <c r="AG197" s="53"/>
      <c r="AH197" s="113"/>
      <c r="AI197" s="113"/>
      <c r="AJ197" s="53"/>
      <c r="AK197" s="113"/>
      <c r="AL197" s="113"/>
      <c r="AM197" s="53"/>
      <c r="AN197" s="113"/>
      <c r="AO197" s="113"/>
      <c r="AP197" s="53"/>
      <c r="AQ197" s="113"/>
      <c r="AR197" s="113"/>
    </row>
    <row r="198" spans="1:44" ht="15">
      <c r="A198" s="113"/>
      <c r="B198" s="113"/>
      <c r="C198" s="53"/>
      <c r="D198" s="113"/>
      <c r="E198" s="113"/>
      <c r="F198" s="53"/>
      <c r="G198" s="113"/>
      <c r="H198" s="113"/>
      <c r="I198" s="53"/>
      <c r="J198" s="113"/>
      <c r="K198" s="113"/>
      <c r="L198" s="53"/>
      <c r="M198" s="113"/>
      <c r="N198" s="113"/>
      <c r="O198" s="53"/>
      <c r="P198" s="113"/>
      <c r="Q198" s="113"/>
      <c r="R198" s="53"/>
      <c r="S198" s="113"/>
      <c r="T198" s="113"/>
      <c r="U198" s="53"/>
      <c r="V198" s="113"/>
      <c r="W198" s="113"/>
      <c r="X198" s="53"/>
      <c r="Y198" s="113"/>
      <c r="Z198" s="113"/>
      <c r="AA198" s="53"/>
      <c r="AB198" s="113"/>
      <c r="AC198" s="113"/>
      <c r="AD198" s="53"/>
      <c r="AE198" s="113"/>
      <c r="AF198" s="113"/>
      <c r="AG198" s="53"/>
      <c r="AH198" s="113"/>
      <c r="AI198" s="113"/>
      <c r="AJ198" s="53"/>
      <c r="AK198" s="113"/>
      <c r="AL198" s="113"/>
      <c r="AM198" s="53"/>
      <c r="AN198" s="113"/>
      <c r="AO198" s="113"/>
      <c r="AP198" s="53"/>
      <c r="AQ198" s="113"/>
      <c r="AR198" s="113"/>
    </row>
    <row r="199" spans="1:44" ht="15">
      <c r="A199" s="113"/>
      <c r="B199" s="113"/>
      <c r="C199" s="53"/>
      <c r="D199" s="113"/>
      <c r="E199" s="113"/>
      <c r="F199" s="53"/>
      <c r="G199" s="113"/>
      <c r="H199" s="113"/>
      <c r="I199" s="53"/>
      <c r="J199" s="113"/>
      <c r="K199" s="113"/>
      <c r="L199" s="53"/>
      <c r="M199" s="113"/>
      <c r="N199" s="113"/>
      <c r="O199" s="53"/>
      <c r="P199" s="113"/>
      <c r="Q199" s="113"/>
      <c r="R199" s="53"/>
      <c r="S199" s="113"/>
      <c r="T199" s="113"/>
      <c r="U199" s="53"/>
      <c r="V199" s="113"/>
      <c r="W199" s="113"/>
      <c r="X199" s="53"/>
      <c r="Y199" s="113"/>
      <c r="Z199" s="113"/>
      <c r="AA199" s="53"/>
      <c r="AB199" s="113"/>
      <c r="AC199" s="113"/>
      <c r="AD199" s="53"/>
      <c r="AE199" s="113"/>
      <c r="AF199" s="113"/>
      <c r="AG199" s="53"/>
      <c r="AH199" s="113"/>
      <c r="AI199" s="113"/>
      <c r="AJ199" s="53"/>
      <c r="AK199" s="113"/>
      <c r="AL199" s="113"/>
      <c r="AM199" s="53"/>
      <c r="AN199" s="113"/>
      <c r="AO199" s="113"/>
      <c r="AP199" s="53"/>
      <c r="AQ199" s="113"/>
      <c r="AR199" s="113"/>
    </row>
    <row r="200" spans="1:44" ht="15">
      <c r="A200" s="113"/>
      <c r="B200" s="113"/>
      <c r="C200" s="53"/>
      <c r="D200" s="113"/>
      <c r="E200" s="113"/>
      <c r="F200" s="53"/>
      <c r="G200" s="113"/>
      <c r="H200" s="113"/>
      <c r="I200" s="53"/>
      <c r="J200" s="113"/>
      <c r="K200" s="113"/>
      <c r="L200" s="53"/>
      <c r="M200" s="113"/>
      <c r="N200" s="113"/>
      <c r="O200" s="53"/>
      <c r="P200" s="113"/>
      <c r="Q200" s="113"/>
      <c r="R200" s="53"/>
      <c r="S200" s="113"/>
      <c r="T200" s="113"/>
      <c r="U200" s="53"/>
      <c r="V200" s="113"/>
      <c r="W200" s="113"/>
      <c r="X200" s="53"/>
      <c r="Y200" s="113"/>
      <c r="Z200" s="113"/>
      <c r="AA200" s="53"/>
      <c r="AB200" s="113"/>
      <c r="AC200" s="113"/>
      <c r="AD200" s="53"/>
      <c r="AE200" s="113"/>
      <c r="AF200" s="113"/>
      <c r="AG200" s="53"/>
      <c r="AH200" s="113"/>
      <c r="AI200" s="113"/>
      <c r="AJ200" s="53"/>
      <c r="AK200" s="113"/>
      <c r="AL200" s="113"/>
      <c r="AM200" s="53"/>
      <c r="AN200" s="113"/>
      <c r="AO200" s="113"/>
      <c r="AP200" s="53"/>
      <c r="AQ200" s="113"/>
      <c r="AR200" s="113"/>
    </row>
    <row r="201" spans="1:44" ht="15">
      <c r="A201" s="113"/>
      <c r="B201" s="113"/>
      <c r="C201" s="53"/>
      <c r="D201" s="113"/>
      <c r="E201" s="113"/>
      <c r="F201" s="53"/>
      <c r="G201" s="113"/>
      <c r="H201" s="113"/>
      <c r="I201" s="53"/>
      <c r="J201" s="113"/>
      <c r="K201" s="113"/>
      <c r="L201" s="53"/>
      <c r="M201" s="113"/>
      <c r="N201" s="113"/>
      <c r="O201" s="53"/>
      <c r="P201" s="113"/>
      <c r="Q201" s="113"/>
      <c r="R201" s="53"/>
      <c r="S201" s="113"/>
      <c r="T201" s="113"/>
      <c r="U201" s="53"/>
      <c r="V201" s="113"/>
      <c r="W201" s="113"/>
      <c r="X201" s="53"/>
      <c r="Y201" s="113"/>
      <c r="Z201" s="113"/>
      <c r="AA201" s="53"/>
      <c r="AB201" s="113"/>
      <c r="AC201" s="113"/>
      <c r="AD201" s="53"/>
      <c r="AE201" s="113"/>
      <c r="AF201" s="113"/>
      <c r="AG201" s="53"/>
      <c r="AH201" s="113"/>
      <c r="AI201" s="113"/>
      <c r="AJ201" s="53"/>
      <c r="AK201" s="113"/>
      <c r="AL201" s="113"/>
      <c r="AM201" s="53"/>
      <c r="AN201" s="113"/>
      <c r="AO201" s="113"/>
      <c r="AP201" s="53"/>
      <c r="AQ201" s="113"/>
      <c r="AR201" s="113"/>
    </row>
    <row r="202" spans="1:44" ht="15">
      <c r="A202" s="113"/>
      <c r="B202" s="113"/>
      <c r="C202" s="53"/>
      <c r="D202" s="113"/>
      <c r="E202" s="113"/>
      <c r="F202" s="53"/>
      <c r="G202" s="113"/>
      <c r="H202" s="113"/>
      <c r="I202" s="53"/>
      <c r="J202" s="113"/>
      <c r="K202" s="113"/>
      <c r="L202" s="53"/>
      <c r="M202" s="113"/>
      <c r="N202" s="113"/>
      <c r="O202" s="53"/>
      <c r="P202" s="113"/>
      <c r="Q202" s="113"/>
      <c r="R202" s="53"/>
      <c r="S202" s="113"/>
      <c r="T202" s="113"/>
      <c r="U202" s="53"/>
      <c r="V202" s="113"/>
      <c r="W202" s="113"/>
      <c r="X202" s="53"/>
      <c r="Y202" s="113"/>
      <c r="Z202" s="113"/>
      <c r="AA202" s="53"/>
      <c r="AB202" s="113"/>
      <c r="AC202" s="113"/>
      <c r="AD202" s="53"/>
      <c r="AE202" s="113"/>
      <c r="AF202" s="113"/>
      <c r="AG202" s="53"/>
      <c r="AH202" s="113"/>
      <c r="AI202" s="113"/>
      <c r="AJ202" s="53"/>
      <c r="AK202" s="113"/>
      <c r="AL202" s="113"/>
      <c r="AM202" s="53"/>
      <c r="AN202" s="113"/>
      <c r="AO202" s="113"/>
      <c r="AP202" s="53"/>
      <c r="AQ202" s="113"/>
      <c r="AR202" s="113"/>
    </row>
    <row r="203" spans="1:44" ht="15">
      <c r="A203" s="113"/>
      <c r="B203" s="113"/>
      <c r="C203" s="53"/>
      <c r="D203" s="113"/>
      <c r="E203" s="113"/>
      <c r="F203" s="53"/>
      <c r="G203" s="113"/>
      <c r="H203" s="113"/>
      <c r="I203" s="53"/>
      <c r="J203" s="113"/>
      <c r="K203" s="113"/>
      <c r="L203" s="53"/>
      <c r="M203" s="113"/>
      <c r="N203" s="113"/>
      <c r="O203" s="53"/>
      <c r="P203" s="113"/>
      <c r="Q203" s="113"/>
      <c r="R203" s="53"/>
      <c r="S203" s="113"/>
      <c r="T203" s="113"/>
      <c r="U203" s="53"/>
      <c r="V203" s="113"/>
      <c r="W203" s="113"/>
      <c r="X203" s="53"/>
      <c r="Y203" s="113"/>
      <c r="Z203" s="113"/>
      <c r="AA203" s="53"/>
      <c r="AB203" s="113"/>
      <c r="AC203" s="113"/>
      <c r="AD203" s="53"/>
      <c r="AE203" s="113"/>
      <c r="AF203" s="113"/>
      <c r="AG203" s="53"/>
      <c r="AH203" s="113"/>
      <c r="AI203" s="113"/>
      <c r="AJ203" s="53"/>
      <c r="AK203" s="113"/>
      <c r="AL203" s="113"/>
      <c r="AM203" s="53"/>
      <c r="AN203" s="113"/>
      <c r="AO203" s="113"/>
      <c r="AP203" s="53"/>
      <c r="AQ203" s="113"/>
      <c r="AR203" s="113"/>
    </row>
    <row r="204" spans="1:44" ht="15">
      <c r="A204" s="113"/>
      <c r="B204" s="113"/>
      <c r="C204" s="53"/>
      <c r="D204" s="113"/>
      <c r="E204" s="113"/>
      <c r="F204" s="53"/>
      <c r="G204" s="113"/>
      <c r="H204" s="113"/>
      <c r="I204" s="53"/>
      <c r="J204" s="113"/>
      <c r="K204" s="113"/>
      <c r="L204" s="53"/>
      <c r="M204" s="113"/>
      <c r="N204" s="113"/>
      <c r="O204" s="53"/>
      <c r="P204" s="113"/>
      <c r="Q204" s="113"/>
      <c r="R204" s="53"/>
      <c r="S204" s="113"/>
      <c r="T204" s="113"/>
      <c r="U204" s="53"/>
      <c r="V204" s="113"/>
      <c r="W204" s="113"/>
      <c r="X204" s="53"/>
      <c r="Y204" s="113"/>
      <c r="Z204" s="113"/>
      <c r="AA204" s="53"/>
      <c r="AB204" s="113"/>
      <c r="AC204" s="113"/>
      <c r="AD204" s="53"/>
      <c r="AE204" s="113"/>
      <c r="AF204" s="113"/>
      <c r="AG204" s="53"/>
      <c r="AH204" s="113"/>
      <c r="AI204" s="113"/>
      <c r="AJ204" s="53"/>
      <c r="AK204" s="113"/>
      <c r="AL204" s="113"/>
      <c r="AM204" s="53"/>
      <c r="AN204" s="113"/>
      <c r="AO204" s="113"/>
      <c r="AP204" s="53"/>
      <c r="AQ204" s="113"/>
      <c r="AR204" s="113"/>
    </row>
    <row r="205" spans="1:44" ht="15">
      <c r="A205" s="113"/>
      <c r="B205" s="113"/>
      <c r="C205" s="53"/>
      <c r="D205" s="113"/>
      <c r="E205" s="113"/>
      <c r="F205" s="53"/>
      <c r="G205" s="113"/>
      <c r="H205" s="113"/>
      <c r="I205" s="53"/>
      <c r="J205" s="113"/>
      <c r="K205" s="113"/>
      <c r="L205" s="53"/>
      <c r="M205" s="113"/>
      <c r="N205" s="113"/>
      <c r="O205" s="53"/>
      <c r="P205" s="113"/>
      <c r="Q205" s="113"/>
      <c r="R205" s="53"/>
      <c r="S205" s="113"/>
      <c r="T205" s="113"/>
      <c r="U205" s="53"/>
      <c r="V205" s="113"/>
      <c r="W205" s="113"/>
      <c r="X205" s="53"/>
      <c r="Y205" s="113"/>
      <c r="Z205" s="113"/>
      <c r="AA205" s="53"/>
      <c r="AB205" s="113"/>
      <c r="AC205" s="113"/>
      <c r="AD205" s="53"/>
      <c r="AE205" s="113"/>
      <c r="AF205" s="113"/>
      <c r="AG205" s="53"/>
      <c r="AH205" s="113"/>
      <c r="AI205" s="113"/>
      <c r="AJ205" s="53"/>
      <c r="AK205" s="113"/>
      <c r="AL205" s="113"/>
      <c r="AM205" s="53"/>
      <c r="AN205" s="113"/>
      <c r="AO205" s="113"/>
      <c r="AP205" s="53"/>
      <c r="AQ205" s="113"/>
      <c r="AR205" s="113"/>
    </row>
    <row r="206" spans="1:44" ht="15">
      <c r="A206" s="113"/>
      <c r="B206" s="113"/>
      <c r="C206" s="53"/>
      <c r="D206" s="113"/>
      <c r="E206" s="113"/>
      <c r="F206" s="53"/>
      <c r="G206" s="113"/>
      <c r="H206" s="113"/>
      <c r="I206" s="53"/>
      <c r="J206" s="113"/>
      <c r="K206" s="113"/>
      <c r="L206" s="53"/>
      <c r="M206" s="113"/>
      <c r="N206" s="113"/>
      <c r="O206" s="53"/>
      <c r="P206" s="113"/>
      <c r="Q206" s="113"/>
      <c r="R206" s="53"/>
      <c r="S206" s="113"/>
      <c r="T206" s="113"/>
      <c r="U206" s="53"/>
      <c r="V206" s="113"/>
      <c r="W206" s="113"/>
      <c r="X206" s="53"/>
      <c r="Y206" s="113"/>
      <c r="Z206" s="113"/>
      <c r="AA206" s="53"/>
      <c r="AB206" s="113"/>
      <c r="AC206" s="113"/>
      <c r="AD206" s="53"/>
      <c r="AE206" s="113"/>
      <c r="AF206" s="113"/>
      <c r="AG206" s="53"/>
      <c r="AH206" s="113"/>
      <c r="AI206" s="113"/>
      <c r="AJ206" s="53"/>
      <c r="AK206" s="113"/>
      <c r="AL206" s="113"/>
      <c r="AM206" s="53"/>
      <c r="AN206" s="113"/>
      <c r="AO206" s="113"/>
      <c r="AP206" s="53"/>
      <c r="AQ206" s="113"/>
      <c r="AR206" s="113"/>
    </row>
    <row r="207" spans="1:44" ht="15">
      <c r="A207" s="113"/>
      <c r="B207" s="113"/>
      <c r="C207" s="53"/>
      <c r="D207" s="113"/>
      <c r="E207" s="113"/>
      <c r="F207" s="53"/>
      <c r="G207" s="113"/>
      <c r="H207" s="113"/>
      <c r="I207" s="53"/>
      <c r="J207" s="113"/>
      <c r="K207" s="113"/>
      <c r="L207" s="53"/>
      <c r="M207" s="113"/>
      <c r="N207" s="113"/>
      <c r="O207" s="53"/>
      <c r="P207" s="113"/>
      <c r="Q207" s="113"/>
      <c r="R207" s="53"/>
      <c r="S207" s="113"/>
      <c r="T207" s="113"/>
      <c r="U207" s="53"/>
      <c r="V207" s="113"/>
      <c r="W207" s="113"/>
      <c r="X207" s="53"/>
      <c r="Y207" s="113"/>
      <c r="Z207" s="113"/>
      <c r="AA207" s="53"/>
      <c r="AB207" s="113"/>
      <c r="AC207" s="113"/>
      <c r="AD207" s="53"/>
      <c r="AE207" s="113"/>
      <c r="AF207" s="113"/>
      <c r="AG207" s="53"/>
      <c r="AH207" s="113"/>
      <c r="AI207" s="113"/>
      <c r="AJ207" s="53"/>
      <c r="AK207" s="113"/>
      <c r="AL207" s="113"/>
      <c r="AM207" s="53"/>
      <c r="AN207" s="113"/>
      <c r="AO207" s="113"/>
      <c r="AP207" s="53"/>
      <c r="AQ207" s="113"/>
      <c r="AR207" s="113"/>
    </row>
    <row r="208" spans="1:44" ht="15">
      <c r="A208" s="113"/>
      <c r="B208" s="113"/>
      <c r="C208" s="53"/>
      <c r="D208" s="113"/>
      <c r="E208" s="113"/>
      <c r="F208" s="53"/>
      <c r="G208" s="113"/>
      <c r="H208" s="113"/>
      <c r="I208" s="53"/>
      <c r="J208" s="113"/>
      <c r="K208" s="113"/>
      <c r="L208" s="53"/>
      <c r="M208" s="113"/>
      <c r="N208" s="113"/>
      <c r="O208" s="53"/>
      <c r="P208" s="113"/>
      <c r="Q208" s="113"/>
      <c r="R208" s="53"/>
      <c r="S208" s="113"/>
      <c r="T208" s="113"/>
      <c r="U208" s="53"/>
      <c r="V208" s="113"/>
      <c r="W208" s="113"/>
      <c r="X208" s="53"/>
      <c r="Y208" s="113"/>
      <c r="Z208" s="113"/>
      <c r="AA208" s="53"/>
      <c r="AB208" s="113"/>
      <c r="AC208" s="113"/>
      <c r="AD208" s="53"/>
      <c r="AE208" s="113"/>
      <c r="AF208" s="113"/>
      <c r="AG208" s="53"/>
      <c r="AH208" s="113"/>
      <c r="AI208" s="113"/>
      <c r="AJ208" s="53"/>
      <c r="AK208" s="113"/>
      <c r="AL208" s="113"/>
      <c r="AM208" s="53"/>
      <c r="AN208" s="113"/>
      <c r="AO208" s="113"/>
      <c r="AP208" s="53"/>
      <c r="AQ208" s="113"/>
      <c r="AR208" s="113"/>
    </row>
    <row r="209" spans="1:44" ht="15">
      <c r="A209" s="113"/>
      <c r="B209" s="113"/>
      <c r="C209" s="53"/>
      <c r="D209" s="113"/>
      <c r="E209" s="113"/>
      <c r="F209" s="53"/>
      <c r="G209" s="113"/>
      <c r="H209" s="113"/>
      <c r="I209" s="53"/>
      <c r="J209" s="113"/>
      <c r="K209" s="113"/>
      <c r="L209" s="53"/>
      <c r="M209" s="113"/>
      <c r="N209" s="113"/>
      <c r="O209" s="53"/>
      <c r="P209" s="113"/>
      <c r="Q209" s="113"/>
      <c r="R209" s="53"/>
      <c r="S209" s="113"/>
      <c r="T209" s="113"/>
      <c r="U209" s="53"/>
      <c r="V209" s="113"/>
      <c r="W209" s="113"/>
      <c r="X209" s="53"/>
      <c r="Y209" s="113"/>
      <c r="Z209" s="113"/>
      <c r="AA209" s="53"/>
      <c r="AB209" s="113"/>
      <c r="AC209" s="113"/>
      <c r="AD209" s="53"/>
      <c r="AE209" s="113"/>
      <c r="AF209" s="113"/>
      <c r="AG209" s="53"/>
      <c r="AH209" s="113"/>
      <c r="AI209" s="113"/>
      <c r="AJ209" s="53"/>
      <c r="AK209" s="113"/>
      <c r="AL209" s="113"/>
      <c r="AM209" s="53"/>
      <c r="AN209" s="113"/>
      <c r="AO209" s="113"/>
      <c r="AP209" s="53"/>
      <c r="AQ209" s="113"/>
      <c r="AR209" s="113"/>
    </row>
    <row r="210" spans="1:44" ht="15">
      <c r="A210" s="113"/>
      <c r="B210" s="113"/>
      <c r="C210" s="53"/>
      <c r="D210" s="113"/>
      <c r="E210" s="113"/>
      <c r="F210" s="53"/>
      <c r="G210" s="113"/>
      <c r="H210" s="113"/>
      <c r="I210" s="53"/>
      <c r="J210" s="113"/>
      <c r="K210" s="113"/>
      <c r="L210" s="53"/>
      <c r="M210" s="113"/>
      <c r="N210" s="113"/>
      <c r="O210" s="53"/>
      <c r="P210" s="113"/>
      <c r="Q210" s="113"/>
      <c r="R210" s="53"/>
      <c r="S210" s="113"/>
      <c r="T210" s="113"/>
      <c r="U210" s="53"/>
      <c r="V210" s="113"/>
      <c r="W210" s="113"/>
      <c r="X210" s="53"/>
      <c r="Y210" s="113"/>
      <c r="Z210" s="113"/>
      <c r="AA210" s="53"/>
      <c r="AB210" s="113"/>
      <c r="AC210" s="113"/>
      <c r="AD210" s="53"/>
      <c r="AE210" s="113"/>
      <c r="AF210" s="113"/>
      <c r="AG210" s="53"/>
      <c r="AH210" s="113"/>
      <c r="AI210" s="113"/>
      <c r="AJ210" s="53"/>
      <c r="AK210" s="113"/>
      <c r="AL210" s="113"/>
      <c r="AM210" s="53"/>
      <c r="AN210" s="113"/>
      <c r="AO210" s="113"/>
      <c r="AP210" s="53"/>
      <c r="AQ210" s="113"/>
      <c r="AR210" s="113"/>
    </row>
    <row r="211" spans="1:44" ht="15">
      <c r="A211" s="113"/>
      <c r="B211" s="113"/>
      <c r="C211" s="53"/>
      <c r="D211" s="113"/>
      <c r="E211" s="113"/>
      <c r="F211" s="53"/>
      <c r="G211" s="113"/>
      <c r="H211" s="113"/>
      <c r="I211" s="53"/>
      <c r="J211" s="113"/>
      <c r="K211" s="113"/>
      <c r="L211" s="53"/>
      <c r="M211" s="113"/>
      <c r="N211" s="113"/>
      <c r="O211" s="53"/>
      <c r="P211" s="113"/>
      <c r="Q211" s="113"/>
      <c r="R211" s="53"/>
      <c r="S211" s="113"/>
      <c r="T211" s="113"/>
      <c r="U211" s="53"/>
      <c r="V211" s="113"/>
      <c r="W211" s="113"/>
      <c r="X211" s="53"/>
      <c r="Y211" s="113"/>
      <c r="Z211" s="113"/>
      <c r="AA211" s="53"/>
      <c r="AB211" s="113"/>
      <c r="AC211" s="113"/>
      <c r="AD211" s="53"/>
      <c r="AE211" s="113"/>
      <c r="AF211" s="113"/>
      <c r="AG211" s="53"/>
      <c r="AH211" s="113"/>
      <c r="AI211" s="113"/>
      <c r="AJ211" s="53"/>
      <c r="AK211" s="113"/>
      <c r="AL211" s="113"/>
      <c r="AM211" s="53"/>
      <c r="AN211" s="113"/>
      <c r="AO211" s="113"/>
      <c r="AP211" s="53"/>
      <c r="AQ211" s="113"/>
      <c r="AR211" s="113"/>
    </row>
    <row r="212" spans="1:44" ht="15">
      <c r="A212" s="113"/>
      <c r="B212" s="113"/>
      <c r="C212" s="53"/>
      <c r="D212" s="113"/>
      <c r="E212" s="113"/>
      <c r="F212" s="53"/>
      <c r="G212" s="113"/>
      <c r="H212" s="113"/>
      <c r="I212" s="53"/>
      <c r="J212" s="113"/>
      <c r="K212" s="113"/>
      <c r="L212" s="53"/>
      <c r="M212" s="113"/>
      <c r="N212" s="113"/>
      <c r="O212" s="53"/>
      <c r="P212" s="113"/>
      <c r="Q212" s="113"/>
      <c r="R212" s="53"/>
      <c r="S212" s="113"/>
      <c r="T212" s="113"/>
      <c r="U212" s="53"/>
      <c r="V212" s="113"/>
      <c r="W212" s="113"/>
      <c r="X212" s="53"/>
      <c r="Y212" s="113"/>
      <c r="Z212" s="113"/>
      <c r="AA212" s="53"/>
      <c r="AB212" s="113"/>
      <c r="AC212" s="113"/>
      <c r="AD212" s="53"/>
      <c r="AE212" s="113"/>
      <c r="AF212" s="113"/>
      <c r="AG212" s="53"/>
      <c r="AH212" s="113"/>
      <c r="AI212" s="113"/>
      <c r="AJ212" s="53"/>
      <c r="AK212" s="113"/>
      <c r="AL212" s="113"/>
      <c r="AM212" s="53"/>
      <c r="AN212" s="113"/>
      <c r="AO212" s="113"/>
      <c r="AP212" s="53"/>
      <c r="AQ212" s="113"/>
      <c r="AR212" s="113"/>
    </row>
    <row r="213" spans="1:44" ht="15">
      <c r="A213" s="113"/>
      <c r="B213" s="113"/>
      <c r="C213" s="53"/>
      <c r="D213" s="113"/>
      <c r="E213" s="113"/>
      <c r="F213" s="53"/>
      <c r="G213" s="113"/>
      <c r="H213" s="113"/>
      <c r="I213" s="53"/>
      <c r="J213" s="113"/>
      <c r="K213" s="113"/>
      <c r="L213" s="53"/>
      <c r="M213" s="113"/>
      <c r="N213" s="113"/>
      <c r="O213" s="53"/>
      <c r="P213" s="113"/>
      <c r="Q213" s="113"/>
      <c r="R213" s="53"/>
      <c r="S213" s="113"/>
      <c r="T213" s="113"/>
      <c r="U213" s="53"/>
      <c r="V213" s="113"/>
      <c r="W213" s="113"/>
      <c r="X213" s="53"/>
      <c r="Y213" s="113"/>
      <c r="Z213" s="113"/>
      <c r="AA213" s="53"/>
      <c r="AB213" s="113"/>
      <c r="AC213" s="113"/>
      <c r="AD213" s="53"/>
      <c r="AE213" s="113"/>
      <c r="AF213" s="113"/>
      <c r="AG213" s="53"/>
      <c r="AH213" s="113"/>
      <c r="AI213" s="113"/>
      <c r="AJ213" s="53"/>
      <c r="AK213" s="113"/>
      <c r="AL213" s="113"/>
      <c r="AM213" s="53"/>
      <c r="AN213" s="113"/>
      <c r="AO213" s="113"/>
      <c r="AP213" s="53"/>
      <c r="AQ213" s="113"/>
      <c r="AR213" s="113"/>
    </row>
    <row r="214" spans="1:44" ht="15">
      <c r="A214" s="113"/>
      <c r="B214" s="113"/>
      <c r="C214" s="53"/>
      <c r="D214" s="113"/>
      <c r="E214" s="113"/>
      <c r="F214" s="53"/>
      <c r="G214" s="113"/>
      <c r="H214" s="113"/>
      <c r="I214" s="53"/>
      <c r="J214" s="113"/>
      <c r="K214" s="113"/>
      <c r="L214" s="53"/>
      <c r="M214" s="113"/>
      <c r="N214" s="113"/>
      <c r="O214" s="53"/>
      <c r="P214" s="113"/>
      <c r="Q214" s="113"/>
      <c r="R214" s="53"/>
      <c r="S214" s="113"/>
      <c r="T214" s="113"/>
      <c r="U214" s="53"/>
      <c r="V214" s="113"/>
      <c r="W214" s="113"/>
      <c r="X214" s="53"/>
      <c r="Y214" s="113"/>
      <c r="Z214" s="113"/>
      <c r="AA214" s="53"/>
      <c r="AB214" s="113"/>
      <c r="AC214" s="113"/>
      <c r="AD214" s="53"/>
      <c r="AE214" s="113"/>
      <c r="AF214" s="113"/>
      <c r="AG214" s="53"/>
      <c r="AH214" s="113"/>
      <c r="AI214" s="113"/>
      <c r="AJ214" s="53"/>
      <c r="AK214" s="113"/>
      <c r="AL214" s="113"/>
      <c r="AM214" s="53"/>
      <c r="AN214" s="113"/>
      <c r="AO214" s="113"/>
      <c r="AP214" s="53"/>
      <c r="AQ214" s="113"/>
      <c r="AR214" s="113"/>
    </row>
    <row r="215" spans="1:44" ht="15">
      <c r="A215" s="113"/>
      <c r="B215" s="113"/>
      <c r="C215" s="53"/>
      <c r="D215" s="113"/>
      <c r="E215" s="113"/>
      <c r="F215" s="53"/>
      <c r="G215" s="113"/>
      <c r="H215" s="113"/>
      <c r="I215" s="53"/>
      <c r="J215" s="113"/>
      <c r="K215" s="113"/>
      <c r="L215" s="53"/>
      <c r="M215" s="113"/>
      <c r="N215" s="113"/>
      <c r="O215" s="53"/>
      <c r="P215" s="113"/>
      <c r="Q215" s="113"/>
      <c r="R215" s="53"/>
      <c r="S215" s="113"/>
      <c r="T215" s="113"/>
      <c r="U215" s="53"/>
      <c r="V215" s="113"/>
      <c r="W215" s="113"/>
      <c r="X215" s="53"/>
      <c r="Y215" s="113"/>
      <c r="Z215" s="113"/>
      <c r="AA215" s="53"/>
      <c r="AB215" s="113"/>
      <c r="AC215" s="113"/>
      <c r="AD215" s="53"/>
      <c r="AE215" s="113"/>
      <c r="AF215" s="113"/>
      <c r="AG215" s="53"/>
      <c r="AH215" s="113"/>
      <c r="AI215" s="113"/>
      <c r="AJ215" s="53"/>
      <c r="AK215" s="113"/>
      <c r="AL215" s="113"/>
      <c r="AM215" s="53"/>
      <c r="AN215" s="113"/>
      <c r="AO215" s="113"/>
      <c r="AP215" s="53"/>
      <c r="AQ215" s="113"/>
      <c r="AR215" s="113"/>
    </row>
    <row r="216" spans="1:44" ht="15">
      <c r="A216" s="113"/>
      <c r="B216" s="113"/>
      <c r="C216" s="53"/>
      <c r="D216" s="113"/>
      <c r="E216" s="113"/>
      <c r="F216" s="53"/>
      <c r="G216" s="113"/>
      <c r="H216" s="113"/>
      <c r="I216" s="53"/>
      <c r="J216" s="113"/>
      <c r="K216" s="113"/>
      <c r="L216" s="53"/>
      <c r="M216" s="113"/>
      <c r="N216" s="113"/>
      <c r="O216" s="53"/>
      <c r="P216" s="113"/>
      <c r="Q216" s="113"/>
      <c r="R216" s="53"/>
      <c r="S216" s="113"/>
      <c r="T216" s="113"/>
      <c r="U216" s="53"/>
      <c r="V216" s="113"/>
      <c r="W216" s="113"/>
      <c r="X216" s="53"/>
      <c r="Y216" s="113"/>
      <c r="Z216" s="113"/>
      <c r="AA216" s="53"/>
      <c r="AB216" s="113"/>
      <c r="AC216" s="113"/>
      <c r="AD216" s="53"/>
      <c r="AE216" s="113"/>
      <c r="AF216" s="113"/>
      <c r="AG216" s="53"/>
      <c r="AH216" s="113"/>
      <c r="AI216" s="113"/>
      <c r="AJ216" s="53"/>
      <c r="AK216" s="113"/>
      <c r="AL216" s="113"/>
      <c r="AM216" s="53"/>
      <c r="AN216" s="113"/>
      <c r="AO216" s="113"/>
      <c r="AP216" s="53"/>
      <c r="AQ216" s="113"/>
      <c r="AR216" s="113"/>
    </row>
    <row r="217" spans="1:44" ht="15">
      <c r="A217" s="113"/>
      <c r="B217" s="113"/>
      <c r="C217" s="53"/>
      <c r="D217" s="113"/>
      <c r="E217" s="113"/>
      <c r="F217" s="53"/>
      <c r="G217" s="113"/>
      <c r="H217" s="113"/>
      <c r="I217" s="53"/>
      <c r="J217" s="113"/>
      <c r="K217" s="113"/>
      <c r="L217" s="53"/>
      <c r="M217" s="113"/>
      <c r="N217" s="113"/>
      <c r="O217" s="53"/>
      <c r="P217" s="113"/>
      <c r="Q217" s="113"/>
      <c r="R217" s="53"/>
      <c r="S217" s="113"/>
      <c r="T217" s="113"/>
      <c r="U217" s="53"/>
      <c r="V217" s="113"/>
      <c r="W217" s="113"/>
      <c r="X217" s="53"/>
      <c r="Y217" s="113"/>
      <c r="Z217" s="113"/>
      <c r="AA217" s="53"/>
      <c r="AB217" s="113"/>
      <c r="AC217" s="113"/>
      <c r="AD217" s="53"/>
      <c r="AE217" s="113"/>
      <c r="AF217" s="113"/>
      <c r="AG217" s="53"/>
      <c r="AH217" s="113"/>
      <c r="AI217" s="113"/>
      <c r="AJ217" s="53"/>
      <c r="AK217" s="113"/>
      <c r="AL217" s="113"/>
      <c r="AM217" s="53"/>
      <c r="AN217" s="113"/>
      <c r="AO217" s="113"/>
      <c r="AP217" s="53"/>
      <c r="AQ217" s="113"/>
      <c r="AR217" s="113"/>
    </row>
    <row r="218" spans="1:44" ht="15">
      <c r="A218" s="113"/>
      <c r="B218" s="113"/>
      <c r="C218" s="53"/>
      <c r="D218" s="113"/>
      <c r="E218" s="113"/>
      <c r="F218" s="53"/>
      <c r="G218" s="113"/>
      <c r="H218" s="113"/>
      <c r="I218" s="53"/>
      <c r="J218" s="113"/>
      <c r="K218" s="113"/>
      <c r="L218" s="53"/>
      <c r="M218" s="113"/>
      <c r="N218" s="113"/>
      <c r="O218" s="53"/>
      <c r="P218" s="113"/>
      <c r="Q218" s="113"/>
      <c r="R218" s="53"/>
      <c r="S218" s="113"/>
      <c r="T218" s="113"/>
      <c r="U218" s="53"/>
      <c r="V218" s="113"/>
      <c r="W218" s="113"/>
      <c r="X218" s="53"/>
      <c r="Y218" s="113"/>
      <c r="Z218" s="113"/>
      <c r="AA218" s="53"/>
      <c r="AB218" s="113"/>
      <c r="AC218" s="113"/>
      <c r="AD218" s="53"/>
      <c r="AE218" s="113"/>
      <c r="AF218" s="113"/>
      <c r="AG218" s="53"/>
      <c r="AH218" s="113"/>
      <c r="AI218" s="113"/>
      <c r="AJ218" s="53"/>
      <c r="AK218" s="113"/>
      <c r="AL218" s="113"/>
      <c r="AM218" s="53"/>
      <c r="AN218" s="113"/>
      <c r="AO218" s="113"/>
      <c r="AP218" s="53"/>
      <c r="AQ218" s="113"/>
      <c r="AR218" s="113"/>
    </row>
    <row r="219" spans="1:44" ht="15">
      <c r="A219" s="113"/>
      <c r="B219" s="113"/>
      <c r="C219" s="53"/>
      <c r="D219" s="113"/>
      <c r="E219" s="113"/>
      <c r="F219" s="53"/>
      <c r="G219" s="113"/>
      <c r="H219" s="113"/>
      <c r="I219" s="53"/>
      <c r="J219" s="113"/>
      <c r="K219" s="113"/>
      <c r="L219" s="53"/>
      <c r="M219" s="113"/>
      <c r="N219" s="113"/>
      <c r="O219" s="53"/>
      <c r="P219" s="113"/>
      <c r="Q219" s="113"/>
      <c r="R219" s="53"/>
      <c r="S219" s="113"/>
      <c r="T219" s="113"/>
      <c r="U219" s="53"/>
      <c r="V219" s="113"/>
      <c r="W219" s="113"/>
      <c r="X219" s="53"/>
      <c r="Y219" s="113"/>
      <c r="Z219" s="113"/>
      <c r="AA219" s="53"/>
      <c r="AB219" s="113"/>
      <c r="AC219" s="113"/>
      <c r="AD219" s="53"/>
      <c r="AE219" s="113"/>
      <c r="AF219" s="113"/>
      <c r="AG219" s="53"/>
      <c r="AH219" s="113"/>
      <c r="AI219" s="113"/>
      <c r="AJ219" s="53"/>
      <c r="AK219" s="113"/>
      <c r="AL219" s="113"/>
      <c r="AM219" s="53"/>
      <c r="AN219" s="113"/>
      <c r="AO219" s="113"/>
      <c r="AP219" s="53"/>
      <c r="AQ219" s="113"/>
      <c r="AR219" s="113"/>
    </row>
    <row r="220" spans="1:44" ht="15">
      <c r="A220" s="113"/>
      <c r="B220" s="113"/>
      <c r="C220" s="53"/>
      <c r="D220" s="113"/>
      <c r="E220" s="113"/>
      <c r="F220" s="53"/>
      <c r="G220" s="113"/>
      <c r="H220" s="113"/>
      <c r="I220" s="53"/>
      <c r="J220" s="113"/>
      <c r="K220" s="113"/>
      <c r="L220" s="53"/>
      <c r="M220" s="113"/>
      <c r="N220" s="113"/>
      <c r="O220" s="53"/>
      <c r="P220" s="113"/>
      <c r="Q220" s="113"/>
      <c r="R220" s="53"/>
      <c r="S220" s="113"/>
      <c r="T220" s="113"/>
      <c r="U220" s="53"/>
      <c r="V220" s="113"/>
      <c r="W220" s="113"/>
      <c r="X220" s="53"/>
      <c r="Y220" s="113"/>
      <c r="Z220" s="113"/>
      <c r="AA220" s="53"/>
      <c r="AB220" s="113"/>
      <c r="AC220" s="113"/>
      <c r="AD220" s="53"/>
      <c r="AE220" s="113"/>
      <c r="AF220" s="113"/>
      <c r="AG220" s="53"/>
      <c r="AH220" s="113"/>
      <c r="AI220" s="113"/>
      <c r="AJ220" s="53"/>
      <c r="AK220" s="113"/>
      <c r="AL220" s="113"/>
      <c r="AM220" s="53"/>
      <c r="AN220" s="113"/>
      <c r="AO220" s="113"/>
      <c r="AP220" s="53"/>
      <c r="AQ220" s="113"/>
      <c r="AR220" s="113"/>
    </row>
    <row r="221" spans="1:44" ht="15">
      <c r="A221" s="113"/>
      <c r="B221" s="113"/>
      <c r="C221" s="53"/>
      <c r="D221" s="113"/>
      <c r="E221" s="113"/>
      <c r="F221" s="53"/>
      <c r="G221" s="113"/>
      <c r="H221" s="113"/>
      <c r="I221" s="53"/>
      <c r="J221" s="113"/>
      <c r="K221" s="113"/>
      <c r="L221" s="53"/>
      <c r="M221" s="113"/>
      <c r="N221" s="113"/>
      <c r="O221" s="53"/>
      <c r="P221" s="113"/>
      <c r="Q221" s="113"/>
      <c r="R221" s="53"/>
      <c r="S221" s="113"/>
      <c r="T221" s="113"/>
      <c r="U221" s="53"/>
      <c r="V221" s="113"/>
      <c r="W221" s="113"/>
      <c r="X221" s="53"/>
      <c r="Y221" s="113"/>
      <c r="Z221" s="113"/>
      <c r="AA221" s="53"/>
      <c r="AB221" s="113"/>
      <c r="AC221" s="113"/>
      <c r="AD221" s="53"/>
      <c r="AE221" s="113"/>
      <c r="AF221" s="113"/>
      <c r="AG221" s="53"/>
      <c r="AH221" s="113"/>
      <c r="AI221" s="113"/>
      <c r="AJ221" s="53"/>
      <c r="AK221" s="113"/>
      <c r="AL221" s="113"/>
      <c r="AM221" s="53"/>
      <c r="AN221" s="113"/>
      <c r="AO221" s="113"/>
      <c r="AP221" s="53"/>
      <c r="AQ221" s="113"/>
      <c r="AR221" s="113"/>
    </row>
    <row r="222" spans="1:44" ht="15">
      <c r="A222" s="113"/>
      <c r="B222" s="113"/>
      <c r="C222" s="53"/>
      <c r="D222" s="113"/>
      <c r="E222" s="113"/>
      <c r="F222" s="53"/>
      <c r="G222" s="113"/>
      <c r="H222" s="113"/>
      <c r="I222" s="53"/>
      <c r="J222" s="113"/>
      <c r="K222" s="113"/>
      <c r="L222" s="53"/>
      <c r="M222" s="113"/>
      <c r="N222" s="113"/>
      <c r="O222" s="53"/>
      <c r="P222" s="113"/>
      <c r="Q222" s="113"/>
      <c r="R222" s="53"/>
      <c r="S222" s="113"/>
      <c r="T222" s="113"/>
      <c r="U222" s="53"/>
      <c r="V222" s="113"/>
      <c r="W222" s="113"/>
      <c r="X222" s="53"/>
      <c r="Y222" s="113"/>
      <c r="Z222" s="113"/>
      <c r="AA222" s="53"/>
      <c r="AB222" s="113"/>
      <c r="AC222" s="113"/>
      <c r="AD222" s="53"/>
      <c r="AE222" s="113"/>
      <c r="AF222" s="113"/>
      <c r="AG222" s="53"/>
      <c r="AH222" s="113"/>
      <c r="AI222" s="113"/>
      <c r="AJ222" s="53"/>
      <c r="AK222" s="113"/>
      <c r="AL222" s="113"/>
      <c r="AM222" s="53"/>
      <c r="AN222" s="113"/>
      <c r="AO222" s="113"/>
      <c r="AP222" s="53"/>
      <c r="AQ222" s="113"/>
      <c r="AR222" s="113"/>
    </row>
    <row r="223" spans="1:44" ht="15">
      <c r="A223" s="113"/>
      <c r="B223" s="113"/>
      <c r="C223" s="53"/>
      <c r="D223" s="113"/>
      <c r="E223" s="113"/>
      <c r="F223" s="53"/>
      <c r="G223" s="113"/>
      <c r="H223" s="113"/>
      <c r="I223" s="53"/>
      <c r="J223" s="113"/>
      <c r="K223" s="113"/>
      <c r="L223" s="53"/>
      <c r="M223" s="113"/>
      <c r="N223" s="113"/>
      <c r="O223" s="53"/>
      <c r="P223" s="113"/>
      <c r="Q223" s="113"/>
      <c r="R223" s="53"/>
      <c r="S223" s="113"/>
      <c r="T223" s="113"/>
      <c r="U223" s="53"/>
      <c r="V223" s="113"/>
      <c r="W223" s="113"/>
      <c r="X223" s="53"/>
      <c r="Y223" s="113"/>
      <c r="Z223" s="113"/>
      <c r="AA223" s="53"/>
      <c r="AB223" s="113"/>
      <c r="AC223" s="113"/>
      <c r="AD223" s="53"/>
      <c r="AE223" s="113"/>
      <c r="AF223" s="113"/>
      <c r="AG223" s="53"/>
      <c r="AH223" s="113"/>
      <c r="AI223" s="113"/>
      <c r="AJ223" s="53"/>
      <c r="AK223" s="113"/>
      <c r="AL223" s="113"/>
      <c r="AM223" s="53"/>
      <c r="AN223" s="113"/>
      <c r="AO223" s="113"/>
      <c r="AP223" s="53"/>
      <c r="AQ223" s="113"/>
      <c r="AR223" s="113"/>
    </row>
    <row r="224" spans="1:44" ht="15">
      <c r="A224" s="113"/>
      <c r="B224" s="113"/>
      <c r="C224" s="53"/>
      <c r="D224" s="113"/>
      <c r="E224" s="113"/>
      <c r="F224" s="53"/>
      <c r="G224" s="113"/>
      <c r="H224" s="113"/>
      <c r="I224" s="53"/>
      <c r="J224" s="113"/>
      <c r="K224" s="113"/>
      <c r="L224" s="53"/>
      <c r="M224" s="113"/>
      <c r="N224" s="113"/>
      <c r="O224" s="53"/>
      <c r="P224" s="113"/>
      <c r="Q224" s="113"/>
      <c r="R224" s="53"/>
      <c r="S224" s="113"/>
      <c r="T224" s="113"/>
      <c r="U224" s="53"/>
      <c r="V224" s="113"/>
      <c r="W224" s="113"/>
      <c r="X224" s="53"/>
      <c r="Y224" s="113"/>
      <c r="Z224" s="113"/>
      <c r="AA224" s="53"/>
      <c r="AB224" s="113"/>
      <c r="AC224" s="113"/>
      <c r="AD224" s="53"/>
      <c r="AE224" s="113"/>
      <c r="AF224" s="113"/>
      <c r="AG224" s="53"/>
      <c r="AH224" s="113"/>
      <c r="AI224" s="113"/>
      <c r="AJ224" s="53"/>
      <c r="AK224" s="113"/>
      <c r="AL224" s="113"/>
      <c r="AM224" s="53"/>
      <c r="AN224" s="113"/>
      <c r="AO224" s="113"/>
      <c r="AP224" s="53"/>
      <c r="AQ224" s="113"/>
      <c r="AR224" s="113"/>
    </row>
    <row r="225" spans="1:44" ht="15">
      <c r="A225" s="113"/>
      <c r="B225" s="113"/>
      <c r="C225" s="53"/>
      <c r="D225" s="113"/>
      <c r="E225" s="113"/>
      <c r="F225" s="53"/>
      <c r="G225" s="113"/>
      <c r="H225" s="113"/>
      <c r="I225" s="53"/>
      <c r="J225" s="113"/>
      <c r="K225" s="113"/>
      <c r="L225" s="53"/>
      <c r="M225" s="113"/>
      <c r="N225" s="113"/>
      <c r="O225" s="53"/>
      <c r="P225" s="113"/>
      <c r="Q225" s="113"/>
      <c r="R225" s="53"/>
      <c r="S225" s="113"/>
      <c r="T225" s="113"/>
      <c r="U225" s="53"/>
      <c r="V225" s="113"/>
      <c r="W225" s="113"/>
      <c r="X225" s="53"/>
      <c r="Y225" s="113"/>
      <c r="Z225" s="113"/>
      <c r="AA225" s="53"/>
      <c r="AB225" s="113"/>
      <c r="AC225" s="113"/>
      <c r="AD225" s="53"/>
      <c r="AE225" s="113"/>
      <c r="AF225" s="113"/>
      <c r="AG225" s="53"/>
      <c r="AH225" s="113"/>
      <c r="AI225" s="113"/>
      <c r="AJ225" s="53"/>
      <c r="AK225" s="113"/>
      <c r="AL225" s="113"/>
      <c r="AM225" s="53"/>
      <c r="AN225" s="113"/>
      <c r="AO225" s="113"/>
      <c r="AP225" s="53"/>
      <c r="AQ225" s="113"/>
      <c r="AR225" s="113"/>
    </row>
    <row r="226" spans="1:44" ht="15">
      <c r="A226" s="113"/>
      <c r="B226" s="113"/>
      <c r="C226" s="53"/>
      <c r="D226" s="113"/>
      <c r="E226" s="113"/>
      <c r="F226" s="53"/>
      <c r="G226" s="113"/>
      <c r="H226" s="113"/>
      <c r="I226" s="53"/>
      <c r="J226" s="113"/>
      <c r="K226" s="113"/>
      <c r="L226" s="53"/>
      <c r="M226" s="113"/>
      <c r="N226" s="113"/>
      <c r="O226" s="53"/>
      <c r="P226" s="113"/>
      <c r="Q226" s="113"/>
      <c r="R226" s="53"/>
      <c r="S226" s="113"/>
      <c r="T226" s="113"/>
      <c r="U226" s="53"/>
      <c r="V226" s="113"/>
      <c r="W226" s="113"/>
      <c r="X226" s="53"/>
      <c r="Y226" s="113"/>
      <c r="Z226" s="113"/>
      <c r="AA226" s="53"/>
      <c r="AB226" s="113"/>
      <c r="AC226" s="113"/>
      <c r="AD226" s="53"/>
      <c r="AE226" s="113"/>
      <c r="AF226" s="113"/>
      <c r="AG226" s="53"/>
      <c r="AH226" s="113"/>
      <c r="AI226" s="113"/>
      <c r="AJ226" s="53"/>
      <c r="AK226" s="113"/>
      <c r="AL226" s="113"/>
      <c r="AM226" s="53"/>
      <c r="AN226" s="113"/>
      <c r="AO226" s="113"/>
      <c r="AP226" s="53"/>
      <c r="AQ226" s="113"/>
      <c r="AR226" s="113"/>
    </row>
    <row r="227" spans="1:44" ht="15">
      <c r="A227" s="113"/>
      <c r="B227" s="113"/>
      <c r="C227" s="53"/>
      <c r="D227" s="113"/>
      <c r="E227" s="113"/>
      <c r="F227" s="53"/>
      <c r="G227" s="113"/>
      <c r="H227" s="113"/>
      <c r="I227" s="53"/>
      <c r="J227" s="113"/>
      <c r="K227" s="113"/>
      <c r="L227" s="53"/>
      <c r="M227" s="113"/>
      <c r="N227" s="113"/>
      <c r="O227" s="53"/>
      <c r="P227" s="113"/>
      <c r="Q227" s="113"/>
      <c r="R227" s="53"/>
      <c r="S227" s="113"/>
      <c r="T227" s="113"/>
      <c r="U227" s="53"/>
      <c r="V227" s="113"/>
      <c r="W227" s="113"/>
      <c r="X227" s="53"/>
      <c r="Y227" s="113"/>
      <c r="Z227" s="113"/>
      <c r="AA227" s="53"/>
      <c r="AB227" s="113"/>
      <c r="AC227" s="113"/>
      <c r="AD227" s="53"/>
      <c r="AE227" s="113"/>
      <c r="AF227" s="113"/>
      <c r="AG227" s="53"/>
      <c r="AH227" s="113"/>
      <c r="AI227" s="113"/>
      <c r="AJ227" s="53"/>
      <c r="AK227" s="113"/>
      <c r="AL227" s="113"/>
      <c r="AM227" s="53"/>
      <c r="AN227" s="113"/>
      <c r="AO227" s="113"/>
      <c r="AP227" s="53"/>
      <c r="AQ227" s="113"/>
      <c r="AR227" s="113"/>
    </row>
    <row r="228" spans="1:44" ht="15">
      <c r="A228" s="113"/>
      <c r="B228" s="113"/>
      <c r="C228" s="53"/>
      <c r="D228" s="113"/>
      <c r="E228" s="113"/>
      <c r="F228" s="53"/>
      <c r="G228" s="113"/>
      <c r="H228" s="113"/>
      <c r="I228" s="53"/>
      <c r="J228" s="113"/>
      <c r="K228" s="113"/>
      <c r="L228" s="53"/>
      <c r="M228" s="113"/>
      <c r="N228" s="113"/>
      <c r="O228" s="53"/>
      <c r="P228" s="113"/>
      <c r="Q228" s="113"/>
      <c r="R228" s="53"/>
      <c r="S228" s="113"/>
      <c r="T228" s="113"/>
      <c r="U228" s="53"/>
      <c r="V228" s="113"/>
      <c r="W228" s="113"/>
      <c r="X228" s="53"/>
      <c r="Y228" s="113"/>
      <c r="Z228" s="113"/>
      <c r="AA228" s="53"/>
      <c r="AB228" s="113"/>
      <c r="AC228" s="113"/>
      <c r="AD228" s="53"/>
      <c r="AE228" s="113"/>
      <c r="AF228" s="113"/>
      <c r="AG228" s="53"/>
      <c r="AH228" s="113"/>
      <c r="AI228" s="113"/>
      <c r="AJ228" s="53"/>
      <c r="AK228" s="113"/>
      <c r="AL228" s="113"/>
      <c r="AM228" s="53"/>
      <c r="AN228" s="113"/>
      <c r="AO228" s="113"/>
      <c r="AP228" s="53"/>
      <c r="AQ228" s="113"/>
      <c r="AR228" s="113"/>
    </row>
    <row r="229" spans="1:44" ht="15">
      <c r="A229" s="113"/>
      <c r="B229" s="113"/>
      <c r="C229" s="53"/>
      <c r="D229" s="113"/>
      <c r="E229" s="113"/>
      <c r="F229" s="53"/>
      <c r="G229" s="113"/>
      <c r="H229" s="113"/>
      <c r="I229" s="53"/>
      <c r="J229" s="113"/>
      <c r="K229" s="113"/>
      <c r="L229" s="53"/>
      <c r="M229" s="113"/>
      <c r="N229" s="113"/>
      <c r="O229" s="53"/>
      <c r="P229" s="113"/>
      <c r="Q229" s="113"/>
      <c r="R229" s="53"/>
      <c r="S229" s="113"/>
      <c r="T229" s="113"/>
      <c r="U229" s="53"/>
      <c r="V229" s="113"/>
      <c r="W229" s="113"/>
      <c r="X229" s="53"/>
      <c r="Y229" s="113"/>
      <c r="Z229" s="113"/>
      <c r="AA229" s="53"/>
      <c r="AB229" s="113"/>
      <c r="AC229" s="113"/>
      <c r="AD229" s="53"/>
      <c r="AE229" s="113"/>
      <c r="AF229" s="113"/>
      <c r="AG229" s="53"/>
      <c r="AH229" s="113"/>
      <c r="AI229" s="113"/>
      <c r="AJ229" s="53"/>
      <c r="AK229" s="113"/>
      <c r="AL229" s="113"/>
      <c r="AM229" s="53"/>
      <c r="AN229" s="113"/>
      <c r="AO229" s="113"/>
      <c r="AP229" s="53"/>
      <c r="AQ229" s="113"/>
      <c r="AR229" s="113"/>
    </row>
    <row r="230" spans="1:44" ht="15">
      <c r="A230" s="113"/>
      <c r="B230" s="113"/>
      <c r="C230" s="53"/>
      <c r="D230" s="113"/>
      <c r="E230" s="113"/>
      <c r="F230" s="53"/>
      <c r="G230" s="113"/>
      <c r="H230" s="113"/>
      <c r="I230" s="53"/>
      <c r="J230" s="113"/>
      <c r="K230" s="113"/>
      <c r="L230" s="53"/>
      <c r="M230" s="113"/>
      <c r="N230" s="113"/>
      <c r="O230" s="53"/>
      <c r="P230" s="113"/>
      <c r="Q230" s="113"/>
      <c r="R230" s="53"/>
      <c r="S230" s="113"/>
      <c r="T230" s="113"/>
      <c r="U230" s="53"/>
      <c r="V230" s="113"/>
      <c r="W230" s="113"/>
      <c r="X230" s="53"/>
      <c r="Y230" s="113"/>
      <c r="Z230" s="113"/>
      <c r="AA230" s="53"/>
      <c r="AB230" s="113"/>
      <c r="AC230" s="113"/>
      <c r="AD230" s="53"/>
      <c r="AE230" s="113"/>
      <c r="AF230" s="113"/>
      <c r="AG230" s="53"/>
      <c r="AH230" s="113"/>
      <c r="AI230" s="113"/>
      <c r="AJ230" s="53"/>
      <c r="AK230" s="113"/>
      <c r="AL230" s="113"/>
      <c r="AM230" s="53"/>
      <c r="AN230" s="113"/>
      <c r="AO230" s="113"/>
      <c r="AP230" s="53"/>
      <c r="AQ230" s="113"/>
      <c r="AR230" s="113"/>
    </row>
    <row r="231" spans="1:44" ht="15">
      <c r="A231" s="113"/>
      <c r="B231" s="113"/>
      <c r="C231" s="53"/>
      <c r="D231" s="113"/>
      <c r="E231" s="113"/>
      <c r="F231" s="53"/>
      <c r="G231" s="113"/>
      <c r="H231" s="113"/>
      <c r="I231" s="53"/>
      <c r="J231" s="113"/>
      <c r="K231" s="113"/>
      <c r="L231" s="53"/>
      <c r="M231" s="113"/>
      <c r="N231" s="113"/>
      <c r="O231" s="53"/>
      <c r="P231" s="113"/>
      <c r="Q231" s="113"/>
      <c r="R231" s="53"/>
      <c r="S231" s="113"/>
      <c r="T231" s="113"/>
      <c r="U231" s="53"/>
      <c r="V231" s="113"/>
      <c r="W231" s="113"/>
      <c r="X231" s="53"/>
      <c r="Y231" s="113"/>
      <c r="Z231" s="113"/>
      <c r="AA231" s="53"/>
      <c r="AB231" s="113"/>
      <c r="AC231" s="113"/>
      <c r="AD231" s="53"/>
      <c r="AE231" s="113"/>
      <c r="AF231" s="113"/>
      <c r="AG231" s="53"/>
      <c r="AH231" s="113"/>
      <c r="AI231" s="113"/>
      <c r="AJ231" s="53"/>
      <c r="AK231" s="113"/>
      <c r="AL231" s="113"/>
      <c r="AM231" s="53"/>
      <c r="AN231" s="113"/>
      <c r="AO231" s="113"/>
      <c r="AP231" s="53"/>
      <c r="AQ231" s="113"/>
      <c r="AR231" s="113"/>
    </row>
    <row r="232" spans="1:44" ht="15">
      <c r="A232" s="113"/>
      <c r="B232" s="113"/>
      <c r="C232" s="53"/>
      <c r="D232" s="113"/>
      <c r="E232" s="113"/>
      <c r="F232" s="53"/>
      <c r="G232" s="113"/>
      <c r="H232" s="113"/>
      <c r="I232" s="53"/>
      <c r="J232" s="113"/>
      <c r="K232" s="113"/>
      <c r="L232" s="53"/>
      <c r="M232" s="113"/>
      <c r="N232" s="113"/>
      <c r="O232" s="53"/>
      <c r="P232" s="113"/>
      <c r="Q232" s="113"/>
      <c r="R232" s="53"/>
      <c r="S232" s="113"/>
      <c r="T232" s="113"/>
      <c r="U232" s="53"/>
      <c r="V232" s="113"/>
      <c r="W232" s="113"/>
      <c r="X232" s="53"/>
      <c r="Y232" s="113"/>
      <c r="Z232" s="113"/>
      <c r="AA232" s="53"/>
      <c r="AB232" s="113"/>
      <c r="AC232" s="113"/>
      <c r="AD232" s="53"/>
      <c r="AE232" s="113"/>
      <c r="AF232" s="113"/>
      <c r="AG232" s="53"/>
      <c r="AH232" s="113"/>
      <c r="AI232" s="113"/>
      <c r="AJ232" s="53"/>
      <c r="AK232" s="113"/>
      <c r="AL232" s="113"/>
      <c r="AM232" s="53"/>
      <c r="AN232" s="113"/>
      <c r="AO232" s="113"/>
      <c r="AP232" s="53"/>
      <c r="AQ232" s="113"/>
      <c r="AR232" s="113"/>
    </row>
    <row r="233" spans="1:44" ht="15">
      <c r="A233" s="113"/>
      <c r="B233" s="113"/>
      <c r="C233" s="53"/>
      <c r="D233" s="113"/>
      <c r="E233" s="113"/>
      <c r="F233" s="53"/>
      <c r="G233" s="113"/>
      <c r="H233" s="113"/>
      <c r="I233" s="53"/>
      <c r="J233" s="113"/>
      <c r="K233" s="113"/>
      <c r="L233" s="53"/>
      <c r="M233" s="113"/>
      <c r="N233" s="113"/>
      <c r="O233" s="53"/>
      <c r="P233" s="113"/>
      <c r="Q233" s="113"/>
      <c r="R233" s="53"/>
      <c r="S233" s="113"/>
      <c r="T233" s="113"/>
      <c r="U233" s="53"/>
      <c r="V233" s="113"/>
      <c r="W233" s="113"/>
      <c r="X233" s="53"/>
      <c r="Y233" s="113"/>
      <c r="Z233" s="113"/>
      <c r="AA233" s="53"/>
      <c r="AB233" s="113"/>
      <c r="AC233" s="113"/>
      <c r="AD233" s="53"/>
      <c r="AE233" s="113"/>
      <c r="AF233" s="113"/>
      <c r="AG233" s="53"/>
      <c r="AH233" s="113"/>
      <c r="AI233" s="113"/>
      <c r="AJ233" s="53"/>
      <c r="AK233" s="113"/>
      <c r="AL233" s="113"/>
      <c r="AM233" s="53"/>
      <c r="AN233" s="113"/>
      <c r="AO233" s="113"/>
      <c r="AP233" s="53"/>
      <c r="AQ233" s="113"/>
      <c r="AR233" s="113"/>
    </row>
    <row r="234" spans="1:44" ht="15">
      <c r="A234" s="113"/>
      <c r="B234" s="113"/>
      <c r="C234" s="53"/>
      <c r="D234" s="113"/>
      <c r="E234" s="113"/>
      <c r="F234" s="53"/>
      <c r="G234" s="113"/>
      <c r="H234" s="113"/>
      <c r="I234" s="53"/>
      <c r="J234" s="113"/>
      <c r="K234" s="113"/>
      <c r="L234" s="53"/>
      <c r="M234" s="113"/>
      <c r="N234" s="113"/>
      <c r="O234" s="53"/>
      <c r="P234" s="113"/>
      <c r="Q234" s="113"/>
      <c r="R234" s="53"/>
      <c r="S234" s="113"/>
      <c r="T234" s="113"/>
      <c r="U234" s="53"/>
      <c r="V234" s="113"/>
      <c r="W234" s="113"/>
      <c r="X234" s="53"/>
      <c r="Y234" s="113"/>
      <c r="Z234" s="113"/>
      <c r="AA234" s="53"/>
      <c r="AB234" s="113"/>
      <c r="AC234" s="113"/>
      <c r="AD234" s="53"/>
      <c r="AE234" s="113"/>
      <c r="AF234" s="113"/>
      <c r="AG234" s="53"/>
      <c r="AH234" s="113"/>
      <c r="AI234" s="113"/>
      <c r="AJ234" s="53"/>
      <c r="AK234" s="113"/>
      <c r="AL234" s="113"/>
      <c r="AM234" s="53"/>
      <c r="AN234" s="113"/>
      <c r="AO234" s="113"/>
      <c r="AP234" s="53"/>
      <c r="AQ234" s="113"/>
      <c r="AR234" s="113"/>
    </row>
    <row r="235" spans="1:44" ht="15">
      <c r="A235" s="113"/>
      <c r="B235" s="113"/>
      <c r="C235" s="53"/>
      <c r="D235" s="113"/>
      <c r="E235" s="113"/>
      <c r="F235" s="53"/>
      <c r="G235" s="113"/>
      <c r="H235" s="113"/>
      <c r="I235" s="53"/>
      <c r="J235" s="113"/>
      <c r="K235" s="113"/>
      <c r="L235" s="53"/>
      <c r="M235" s="113"/>
      <c r="N235" s="113"/>
      <c r="O235" s="53"/>
      <c r="P235" s="113"/>
      <c r="Q235" s="113"/>
      <c r="R235" s="53"/>
      <c r="S235" s="113"/>
      <c r="T235" s="113"/>
      <c r="U235" s="53"/>
      <c r="V235" s="113"/>
      <c r="W235" s="113"/>
      <c r="X235" s="53"/>
      <c r="Y235" s="113"/>
      <c r="Z235" s="113"/>
      <c r="AA235" s="53"/>
      <c r="AB235" s="113"/>
      <c r="AC235" s="113"/>
      <c r="AD235" s="53"/>
      <c r="AE235" s="113"/>
      <c r="AF235" s="113"/>
      <c r="AG235" s="53"/>
      <c r="AH235" s="113"/>
      <c r="AI235" s="113"/>
      <c r="AJ235" s="53"/>
      <c r="AK235" s="113"/>
      <c r="AL235" s="113"/>
      <c r="AM235" s="53"/>
      <c r="AN235" s="113"/>
      <c r="AO235" s="113"/>
      <c r="AP235" s="53"/>
      <c r="AQ235" s="113"/>
      <c r="AR235" s="113"/>
    </row>
    <row r="236" spans="1:44" ht="15">
      <c r="A236" s="113"/>
      <c r="B236" s="113"/>
      <c r="C236" s="53"/>
      <c r="D236" s="113"/>
      <c r="E236" s="113"/>
      <c r="F236" s="53"/>
      <c r="G236" s="113"/>
      <c r="H236" s="113"/>
      <c r="I236" s="53"/>
      <c r="J236" s="113"/>
      <c r="K236" s="113"/>
      <c r="L236" s="53"/>
      <c r="M236" s="113"/>
      <c r="N236" s="113"/>
      <c r="O236" s="53"/>
      <c r="P236" s="113"/>
      <c r="Q236" s="113"/>
      <c r="R236" s="53"/>
      <c r="S236" s="113"/>
      <c r="T236" s="113"/>
      <c r="U236" s="53"/>
      <c r="V236" s="113"/>
      <c r="W236" s="113"/>
      <c r="X236" s="53"/>
      <c r="Y236" s="113"/>
      <c r="Z236" s="113"/>
      <c r="AA236" s="53"/>
      <c r="AB236" s="113"/>
      <c r="AC236" s="113"/>
      <c r="AD236" s="53"/>
      <c r="AE236" s="113"/>
      <c r="AF236" s="113"/>
      <c r="AG236" s="53"/>
      <c r="AH236" s="113"/>
      <c r="AI236" s="113"/>
      <c r="AJ236" s="53"/>
      <c r="AK236" s="113"/>
      <c r="AL236" s="113"/>
      <c r="AM236" s="53"/>
      <c r="AN236" s="113"/>
      <c r="AO236" s="113"/>
      <c r="AP236" s="53"/>
      <c r="AQ236" s="113"/>
      <c r="AR236" s="113"/>
    </row>
    <row r="237" spans="1:44" ht="15">
      <c r="A237" s="113"/>
      <c r="B237" s="113"/>
      <c r="C237" s="53"/>
      <c r="D237" s="113"/>
      <c r="E237" s="113"/>
      <c r="F237" s="53"/>
      <c r="G237" s="113"/>
      <c r="H237" s="113"/>
      <c r="I237" s="53"/>
      <c r="J237" s="113"/>
      <c r="K237" s="113"/>
      <c r="L237" s="53"/>
      <c r="M237" s="113"/>
      <c r="N237" s="113"/>
      <c r="O237" s="53"/>
      <c r="P237" s="113"/>
      <c r="Q237" s="113"/>
      <c r="R237" s="53"/>
      <c r="S237" s="113"/>
      <c r="T237" s="113"/>
      <c r="U237" s="53"/>
      <c r="V237" s="113"/>
      <c r="W237" s="113"/>
      <c r="X237" s="53"/>
      <c r="Y237" s="113"/>
      <c r="Z237" s="113"/>
      <c r="AA237" s="53"/>
      <c r="AB237" s="113"/>
      <c r="AC237" s="113"/>
      <c r="AD237" s="53"/>
      <c r="AE237" s="113"/>
      <c r="AF237" s="113"/>
      <c r="AG237" s="53"/>
      <c r="AH237" s="113"/>
      <c r="AI237" s="113"/>
      <c r="AJ237" s="53"/>
      <c r="AK237" s="113"/>
      <c r="AL237" s="113"/>
      <c r="AM237" s="53"/>
      <c r="AN237" s="113"/>
      <c r="AO237" s="113"/>
      <c r="AP237" s="53"/>
      <c r="AQ237" s="113"/>
      <c r="AR237" s="113"/>
    </row>
    <row r="238" spans="1:44" ht="15">
      <c r="A238" s="113"/>
      <c r="B238" s="113"/>
      <c r="C238" s="53"/>
      <c r="D238" s="113"/>
      <c r="E238" s="113"/>
      <c r="F238" s="53"/>
      <c r="G238" s="113"/>
      <c r="H238" s="113"/>
      <c r="I238" s="53"/>
      <c r="J238" s="113"/>
      <c r="K238" s="113"/>
      <c r="L238" s="53"/>
      <c r="M238" s="113"/>
      <c r="N238" s="113"/>
      <c r="O238" s="53"/>
      <c r="P238" s="113"/>
      <c r="Q238" s="113"/>
      <c r="R238" s="53"/>
      <c r="S238" s="113"/>
      <c r="T238" s="113"/>
      <c r="U238" s="53"/>
      <c r="V238" s="113"/>
      <c r="W238" s="113"/>
      <c r="X238" s="53"/>
      <c r="Y238" s="113"/>
      <c r="Z238" s="113"/>
      <c r="AA238" s="53"/>
      <c r="AB238" s="113"/>
      <c r="AC238" s="113"/>
      <c r="AD238" s="53"/>
      <c r="AE238" s="113"/>
      <c r="AF238" s="113"/>
      <c r="AG238" s="53"/>
      <c r="AH238" s="113"/>
      <c r="AI238" s="113"/>
      <c r="AJ238" s="53"/>
      <c r="AK238" s="113"/>
      <c r="AL238" s="113"/>
      <c r="AM238" s="53"/>
      <c r="AN238" s="113"/>
      <c r="AO238" s="113"/>
      <c r="AP238" s="53"/>
      <c r="AQ238" s="113"/>
      <c r="AR238" s="113"/>
    </row>
    <row r="239" spans="1:44" ht="15">
      <c r="A239" s="113"/>
      <c r="B239" s="113"/>
      <c r="C239" s="53"/>
      <c r="D239" s="113"/>
      <c r="E239" s="113"/>
      <c r="F239" s="53"/>
      <c r="G239" s="113"/>
      <c r="H239" s="113"/>
      <c r="I239" s="53"/>
      <c r="J239" s="113"/>
      <c r="K239" s="113"/>
      <c r="L239" s="53"/>
      <c r="M239" s="113"/>
      <c r="N239" s="113"/>
      <c r="O239" s="53"/>
      <c r="P239" s="113"/>
      <c r="Q239" s="113"/>
      <c r="R239" s="53"/>
      <c r="S239" s="113"/>
      <c r="T239" s="113"/>
      <c r="U239" s="53"/>
      <c r="V239" s="113"/>
      <c r="W239" s="113"/>
      <c r="X239" s="53"/>
      <c r="Y239" s="113"/>
      <c r="Z239" s="113"/>
      <c r="AA239" s="53"/>
      <c r="AB239" s="113"/>
      <c r="AC239" s="113"/>
      <c r="AD239" s="53"/>
      <c r="AE239" s="113"/>
      <c r="AF239" s="113"/>
      <c r="AG239" s="53"/>
      <c r="AH239" s="113"/>
      <c r="AI239" s="113"/>
      <c r="AJ239" s="53"/>
      <c r="AK239" s="113"/>
      <c r="AL239" s="113"/>
      <c r="AM239" s="53"/>
      <c r="AN239" s="113"/>
      <c r="AO239" s="113"/>
      <c r="AP239" s="53"/>
      <c r="AQ239" s="113"/>
      <c r="AR239" s="113"/>
    </row>
    <row r="240" spans="1:44" ht="15">
      <c r="A240" s="113"/>
      <c r="B240" s="113"/>
      <c r="C240" s="53"/>
      <c r="D240" s="113"/>
      <c r="E240" s="113"/>
      <c r="F240" s="53"/>
      <c r="G240" s="113"/>
      <c r="H240" s="113"/>
      <c r="I240" s="53"/>
      <c r="J240" s="113"/>
      <c r="K240" s="113"/>
      <c r="L240" s="53"/>
      <c r="M240" s="113"/>
      <c r="N240" s="113"/>
      <c r="O240" s="53"/>
      <c r="P240" s="113"/>
      <c r="Q240" s="113"/>
      <c r="R240" s="53"/>
      <c r="S240" s="113"/>
      <c r="T240" s="113"/>
      <c r="U240" s="53"/>
      <c r="V240" s="113"/>
      <c r="W240" s="113"/>
      <c r="X240" s="53"/>
      <c r="Y240" s="113"/>
      <c r="Z240" s="113"/>
      <c r="AA240" s="53"/>
      <c r="AB240" s="113"/>
      <c r="AC240" s="113"/>
      <c r="AD240" s="53"/>
      <c r="AE240" s="113"/>
      <c r="AF240" s="113"/>
      <c r="AG240" s="53"/>
      <c r="AH240" s="113"/>
      <c r="AI240" s="113"/>
      <c r="AJ240" s="53"/>
      <c r="AK240" s="113"/>
      <c r="AL240" s="113"/>
      <c r="AM240" s="53"/>
      <c r="AN240" s="113"/>
      <c r="AO240" s="113"/>
      <c r="AP240" s="53"/>
      <c r="AQ240" s="113"/>
      <c r="AR240" s="113"/>
    </row>
    <row r="241" spans="1:44" ht="15">
      <c r="A241" s="113"/>
      <c r="B241" s="113"/>
      <c r="C241" s="53"/>
      <c r="D241" s="113"/>
      <c r="E241" s="113"/>
      <c r="F241" s="53"/>
      <c r="G241" s="113"/>
      <c r="H241" s="113"/>
      <c r="I241" s="53"/>
      <c r="J241" s="113"/>
      <c r="K241" s="113"/>
      <c r="L241" s="53"/>
      <c r="M241" s="113"/>
      <c r="N241" s="113"/>
      <c r="O241" s="53"/>
      <c r="P241" s="113"/>
      <c r="Q241" s="113"/>
      <c r="R241" s="53"/>
      <c r="S241" s="113"/>
      <c r="T241" s="113"/>
      <c r="U241" s="53"/>
      <c r="V241" s="113"/>
      <c r="W241" s="113"/>
      <c r="X241" s="53"/>
      <c r="Y241" s="113"/>
      <c r="Z241" s="113"/>
      <c r="AA241" s="53"/>
      <c r="AB241" s="113"/>
      <c r="AC241" s="113"/>
      <c r="AD241" s="53"/>
      <c r="AE241" s="113"/>
      <c r="AF241" s="113"/>
      <c r="AG241" s="53"/>
      <c r="AH241" s="113"/>
      <c r="AI241" s="113"/>
      <c r="AJ241" s="53"/>
      <c r="AK241" s="113"/>
      <c r="AL241" s="113"/>
      <c r="AM241" s="53"/>
      <c r="AN241" s="113"/>
      <c r="AO241" s="113"/>
      <c r="AP241" s="53"/>
      <c r="AQ241" s="113"/>
      <c r="AR241" s="113"/>
    </row>
    <row r="242" spans="1:44" ht="15">
      <c r="A242" s="113"/>
      <c r="B242" s="113"/>
      <c r="C242" s="53"/>
      <c r="D242" s="113"/>
      <c r="E242" s="113"/>
      <c r="F242" s="53"/>
      <c r="G242" s="113"/>
      <c r="H242" s="113"/>
      <c r="I242" s="53"/>
      <c r="J242" s="113"/>
      <c r="K242" s="113"/>
      <c r="L242" s="53"/>
      <c r="M242" s="113"/>
      <c r="N242" s="113"/>
      <c r="O242" s="53"/>
      <c r="P242" s="113"/>
      <c r="Q242" s="113"/>
      <c r="R242" s="53"/>
      <c r="S242" s="113"/>
      <c r="T242" s="113"/>
      <c r="U242" s="53"/>
      <c r="V242" s="113"/>
      <c r="W242" s="113"/>
      <c r="X242" s="53"/>
      <c r="Y242" s="113"/>
      <c r="Z242" s="113"/>
      <c r="AA242" s="53"/>
      <c r="AB242" s="113"/>
      <c r="AC242" s="113"/>
      <c r="AD242" s="53"/>
      <c r="AE242" s="113"/>
      <c r="AF242" s="113"/>
      <c r="AG242" s="53"/>
      <c r="AH242" s="113"/>
      <c r="AI242" s="113"/>
      <c r="AJ242" s="53"/>
      <c r="AK242" s="113"/>
      <c r="AL242" s="113"/>
      <c r="AM242" s="53"/>
      <c r="AN242" s="113"/>
      <c r="AO242" s="113"/>
      <c r="AP242" s="53"/>
      <c r="AQ242" s="113"/>
      <c r="AR242" s="113"/>
    </row>
    <row r="243" spans="1:44" ht="15">
      <c r="A243" s="113"/>
      <c r="B243" s="113"/>
      <c r="C243" s="53"/>
      <c r="D243" s="113"/>
      <c r="E243" s="113"/>
      <c r="F243" s="53"/>
      <c r="G243" s="113"/>
      <c r="H243" s="113"/>
      <c r="I243" s="53"/>
      <c r="J243" s="113"/>
      <c r="K243" s="113"/>
      <c r="L243" s="53"/>
      <c r="M243" s="113"/>
      <c r="N243" s="113"/>
      <c r="O243" s="53"/>
      <c r="P243" s="113"/>
      <c r="Q243" s="113"/>
      <c r="R243" s="53"/>
      <c r="S243" s="113"/>
      <c r="T243" s="113"/>
      <c r="U243" s="53"/>
      <c r="V243" s="113"/>
      <c r="W243" s="113"/>
      <c r="X243" s="53"/>
      <c r="Y243" s="113"/>
      <c r="Z243" s="113"/>
      <c r="AA243" s="53"/>
      <c r="AB243" s="113"/>
      <c r="AC243" s="113"/>
      <c r="AD243" s="53"/>
      <c r="AE243" s="113"/>
      <c r="AF243" s="113"/>
      <c r="AG243" s="53"/>
      <c r="AH243" s="113"/>
      <c r="AI243" s="113"/>
      <c r="AJ243" s="53"/>
      <c r="AK243" s="113"/>
      <c r="AL243" s="113"/>
      <c r="AM243" s="53"/>
      <c r="AN243" s="113"/>
      <c r="AO243" s="113"/>
      <c r="AP243" s="53"/>
      <c r="AQ243" s="113"/>
      <c r="AR243" s="113"/>
    </row>
    <row r="244" spans="1:44" ht="15">
      <c r="A244" s="113"/>
      <c r="B244" s="113"/>
      <c r="C244" s="53"/>
      <c r="D244" s="113"/>
      <c r="E244" s="113"/>
      <c r="F244" s="53"/>
      <c r="G244" s="113"/>
      <c r="H244" s="113"/>
      <c r="I244" s="53"/>
      <c r="J244" s="113"/>
      <c r="K244" s="113"/>
      <c r="L244" s="53"/>
      <c r="M244" s="113"/>
      <c r="N244" s="113"/>
      <c r="O244" s="53"/>
      <c r="P244" s="113"/>
      <c r="Q244" s="113"/>
      <c r="R244" s="53"/>
      <c r="S244" s="113"/>
      <c r="T244" s="113"/>
      <c r="U244" s="53"/>
      <c r="V244" s="113"/>
      <c r="W244" s="113"/>
      <c r="X244" s="53"/>
      <c r="Y244" s="113"/>
      <c r="Z244" s="113"/>
      <c r="AA244" s="53"/>
      <c r="AB244" s="113"/>
      <c r="AC244" s="113"/>
      <c r="AD244" s="53"/>
      <c r="AE244" s="113"/>
      <c r="AF244" s="113"/>
      <c r="AG244" s="53"/>
      <c r="AH244" s="113"/>
      <c r="AI244" s="113"/>
      <c r="AJ244" s="53"/>
      <c r="AK244" s="113"/>
      <c r="AL244" s="113"/>
      <c r="AM244" s="53"/>
      <c r="AN244" s="113"/>
      <c r="AO244" s="113"/>
      <c r="AP244" s="53"/>
      <c r="AQ244" s="113"/>
      <c r="AR244" s="113"/>
    </row>
    <row r="245" spans="1:44" ht="15">
      <c r="A245" s="113"/>
      <c r="B245" s="113"/>
      <c r="C245" s="53"/>
      <c r="D245" s="113"/>
      <c r="E245" s="113"/>
      <c r="F245" s="53"/>
      <c r="G245" s="113"/>
      <c r="H245" s="113"/>
      <c r="I245" s="53"/>
      <c r="J245" s="113"/>
      <c r="K245" s="113"/>
      <c r="L245" s="53"/>
      <c r="M245" s="113"/>
      <c r="N245" s="113"/>
      <c r="O245" s="53"/>
      <c r="P245" s="113"/>
      <c r="Q245" s="113"/>
      <c r="R245" s="53"/>
      <c r="S245" s="113"/>
      <c r="T245" s="113"/>
      <c r="U245" s="53"/>
      <c r="V245" s="113"/>
      <c r="W245" s="113"/>
      <c r="X245" s="53"/>
      <c r="Y245" s="113"/>
      <c r="Z245" s="113"/>
      <c r="AA245" s="53"/>
      <c r="AB245" s="113"/>
      <c r="AC245" s="113"/>
      <c r="AD245" s="53"/>
      <c r="AE245" s="113"/>
      <c r="AF245" s="113"/>
      <c r="AG245" s="53"/>
      <c r="AH245" s="113"/>
      <c r="AI245" s="113"/>
      <c r="AJ245" s="53"/>
      <c r="AK245" s="113"/>
      <c r="AL245" s="113"/>
      <c r="AM245" s="53"/>
      <c r="AN245" s="113"/>
      <c r="AO245" s="113"/>
      <c r="AP245" s="53"/>
      <c r="AQ245" s="113"/>
      <c r="AR245" s="113"/>
    </row>
    <row r="246" spans="1:44" ht="15">
      <c r="A246" s="113"/>
      <c r="B246" s="113"/>
      <c r="C246" s="53"/>
      <c r="D246" s="113"/>
      <c r="E246" s="113"/>
      <c r="F246" s="53"/>
      <c r="G246" s="113"/>
      <c r="H246" s="113"/>
      <c r="I246" s="53"/>
      <c r="J246" s="113"/>
      <c r="K246" s="113"/>
      <c r="L246" s="53"/>
      <c r="M246" s="113"/>
      <c r="N246" s="113"/>
      <c r="O246" s="53"/>
      <c r="P246" s="113"/>
      <c r="Q246" s="113"/>
      <c r="R246" s="53"/>
      <c r="S246" s="113"/>
      <c r="T246" s="113"/>
      <c r="U246" s="53"/>
      <c r="V246" s="113"/>
      <c r="W246" s="113"/>
      <c r="X246" s="53"/>
      <c r="Y246" s="113"/>
      <c r="Z246" s="113"/>
      <c r="AA246" s="53"/>
      <c r="AB246" s="113"/>
      <c r="AC246" s="113"/>
      <c r="AD246" s="53"/>
      <c r="AE246" s="113"/>
      <c r="AF246" s="113"/>
      <c r="AG246" s="53"/>
      <c r="AH246" s="113"/>
      <c r="AI246" s="113"/>
      <c r="AJ246" s="53"/>
      <c r="AK246" s="113"/>
      <c r="AL246" s="113"/>
      <c r="AM246" s="53"/>
      <c r="AN246" s="113"/>
      <c r="AO246" s="113"/>
      <c r="AP246" s="53"/>
      <c r="AQ246" s="113"/>
      <c r="AR246" s="113"/>
    </row>
    <row r="247" spans="1:44" ht="15">
      <c r="A247" s="113"/>
      <c r="B247" s="113"/>
      <c r="C247" s="53"/>
      <c r="D247" s="113"/>
      <c r="E247" s="113"/>
      <c r="F247" s="53"/>
      <c r="G247" s="113"/>
      <c r="H247" s="113"/>
      <c r="I247" s="53"/>
      <c r="J247" s="113"/>
      <c r="K247" s="113"/>
      <c r="L247" s="53"/>
      <c r="M247" s="113"/>
      <c r="N247" s="113"/>
      <c r="O247" s="53"/>
      <c r="P247" s="113"/>
      <c r="Q247" s="113"/>
      <c r="R247" s="53"/>
      <c r="S247" s="113"/>
      <c r="T247" s="113"/>
      <c r="U247" s="53"/>
      <c r="V247" s="113"/>
      <c r="W247" s="113"/>
      <c r="X247" s="53"/>
      <c r="Y247" s="113"/>
      <c r="Z247" s="113"/>
      <c r="AA247" s="53"/>
      <c r="AB247" s="113"/>
      <c r="AC247" s="113"/>
      <c r="AD247" s="53"/>
      <c r="AE247" s="113"/>
      <c r="AF247" s="113"/>
      <c r="AG247" s="53"/>
      <c r="AH247" s="113"/>
      <c r="AI247" s="113"/>
      <c r="AJ247" s="53"/>
      <c r="AK247" s="113"/>
      <c r="AL247" s="113"/>
      <c r="AM247" s="53"/>
      <c r="AN247" s="113"/>
      <c r="AO247" s="113"/>
      <c r="AP247" s="53"/>
      <c r="AQ247" s="113"/>
      <c r="AR247" s="113"/>
    </row>
    <row r="248" spans="1:44" ht="15">
      <c r="A248" s="113"/>
      <c r="B248" s="113"/>
      <c r="C248" s="53"/>
      <c r="D248" s="113"/>
      <c r="E248" s="113"/>
      <c r="F248" s="53"/>
      <c r="G248" s="113"/>
      <c r="H248" s="113"/>
      <c r="I248" s="53"/>
      <c r="J248" s="113"/>
      <c r="K248" s="113"/>
      <c r="L248" s="53"/>
      <c r="M248" s="113"/>
      <c r="N248" s="113"/>
      <c r="O248" s="53"/>
      <c r="P248" s="113"/>
      <c r="Q248" s="113"/>
      <c r="R248" s="53"/>
      <c r="S248" s="113"/>
      <c r="T248" s="113"/>
      <c r="U248" s="53"/>
      <c r="V248" s="113"/>
      <c r="W248" s="113"/>
      <c r="X248" s="53"/>
      <c r="Y248" s="113"/>
      <c r="Z248" s="113"/>
      <c r="AA248" s="53"/>
      <c r="AB248" s="113"/>
      <c r="AC248" s="113"/>
      <c r="AD248" s="53"/>
      <c r="AE248" s="113"/>
      <c r="AF248" s="113"/>
      <c r="AG248" s="53"/>
      <c r="AH248" s="113"/>
      <c r="AI248" s="113"/>
      <c r="AJ248" s="53"/>
      <c r="AK248" s="113"/>
      <c r="AL248" s="113"/>
      <c r="AM248" s="53"/>
      <c r="AN248" s="113"/>
      <c r="AO248" s="113"/>
      <c r="AP248" s="53"/>
      <c r="AQ248" s="113"/>
      <c r="AR248" s="113"/>
    </row>
    <row r="249" spans="1:44" ht="15">
      <c r="A249" s="113"/>
      <c r="B249" s="113"/>
      <c r="C249" s="53"/>
      <c r="D249" s="113"/>
      <c r="E249" s="113"/>
      <c r="F249" s="53"/>
      <c r="G249" s="113"/>
      <c r="H249" s="113"/>
      <c r="I249" s="53"/>
      <c r="J249" s="113"/>
      <c r="K249" s="113"/>
      <c r="L249" s="53"/>
      <c r="M249" s="113"/>
      <c r="N249" s="113"/>
      <c r="O249" s="53"/>
      <c r="P249" s="113"/>
      <c r="Q249" s="113"/>
      <c r="R249" s="53"/>
      <c r="S249" s="113"/>
      <c r="T249" s="113"/>
      <c r="U249" s="53"/>
      <c r="V249" s="113"/>
      <c r="W249" s="113"/>
      <c r="X249" s="53"/>
      <c r="Y249" s="113"/>
      <c r="Z249" s="113"/>
      <c r="AA249" s="53"/>
      <c r="AB249" s="113"/>
      <c r="AC249" s="113"/>
      <c r="AD249" s="53"/>
      <c r="AE249" s="113"/>
      <c r="AF249" s="113"/>
      <c r="AG249" s="53"/>
      <c r="AH249" s="113"/>
      <c r="AI249" s="113"/>
      <c r="AJ249" s="53"/>
      <c r="AK249" s="113"/>
      <c r="AL249" s="113"/>
      <c r="AM249" s="53"/>
      <c r="AN249" s="113"/>
      <c r="AO249" s="113"/>
      <c r="AP249" s="53"/>
      <c r="AQ249" s="113"/>
      <c r="AR249" s="113"/>
    </row>
    <row r="250" spans="1:44" ht="15">
      <c r="A250" s="113"/>
      <c r="B250" s="113"/>
      <c r="C250" s="53"/>
      <c r="D250" s="113"/>
      <c r="E250" s="113"/>
      <c r="F250" s="53"/>
      <c r="G250" s="113"/>
      <c r="H250" s="113"/>
      <c r="I250" s="53"/>
      <c r="J250" s="113"/>
      <c r="K250" s="113"/>
      <c r="L250" s="53"/>
      <c r="M250" s="113"/>
      <c r="N250" s="113"/>
      <c r="O250" s="53"/>
      <c r="P250" s="113"/>
      <c r="Q250" s="113"/>
      <c r="R250" s="53"/>
      <c r="S250" s="113"/>
      <c r="T250" s="113"/>
      <c r="U250" s="53"/>
      <c r="V250" s="113"/>
      <c r="W250" s="113"/>
      <c r="X250" s="53"/>
      <c r="Y250" s="113"/>
      <c r="Z250" s="113"/>
      <c r="AA250" s="53"/>
      <c r="AB250" s="113"/>
      <c r="AC250" s="113"/>
      <c r="AD250" s="53"/>
      <c r="AE250" s="113"/>
      <c r="AF250" s="113"/>
      <c r="AG250" s="53"/>
      <c r="AH250" s="113"/>
      <c r="AI250" s="113"/>
      <c r="AJ250" s="53"/>
      <c r="AK250" s="113"/>
      <c r="AL250" s="113"/>
      <c r="AM250" s="53"/>
      <c r="AN250" s="113"/>
      <c r="AO250" s="113"/>
      <c r="AP250" s="53"/>
      <c r="AQ250" s="113"/>
      <c r="AR250" s="113"/>
    </row>
    <row r="251" spans="1:44" ht="15">
      <c r="A251" s="113"/>
      <c r="B251" s="113"/>
      <c r="C251" s="53"/>
      <c r="D251" s="113"/>
      <c r="E251" s="113"/>
      <c r="F251" s="53"/>
      <c r="G251" s="113"/>
      <c r="H251" s="113"/>
      <c r="I251" s="53"/>
      <c r="J251" s="113"/>
      <c r="K251" s="113"/>
      <c r="L251" s="53"/>
      <c r="M251" s="113"/>
      <c r="N251" s="113"/>
      <c r="O251" s="53"/>
      <c r="P251" s="113"/>
      <c r="Q251" s="113"/>
      <c r="R251" s="53"/>
      <c r="S251" s="113"/>
      <c r="T251" s="113"/>
      <c r="U251" s="53"/>
      <c r="V251" s="113"/>
      <c r="W251" s="113"/>
      <c r="X251" s="53"/>
      <c r="Y251" s="113"/>
      <c r="Z251" s="113"/>
      <c r="AA251" s="53"/>
      <c r="AB251" s="113"/>
      <c r="AC251" s="113"/>
      <c r="AD251" s="53"/>
      <c r="AE251" s="113"/>
      <c r="AF251" s="113"/>
      <c r="AG251" s="53"/>
      <c r="AH251" s="113"/>
      <c r="AI251" s="113"/>
      <c r="AJ251" s="53"/>
      <c r="AK251" s="113"/>
      <c r="AL251" s="113"/>
      <c r="AM251" s="53"/>
      <c r="AN251" s="113"/>
      <c r="AO251" s="113"/>
      <c r="AP251" s="53"/>
      <c r="AQ251" s="113"/>
      <c r="AR251" s="113"/>
    </row>
    <row r="252" spans="1:44" ht="15">
      <c r="A252" s="113"/>
      <c r="B252" s="113"/>
      <c r="C252" s="53"/>
      <c r="D252" s="113"/>
      <c r="E252" s="113"/>
      <c r="F252" s="53"/>
      <c r="G252" s="113"/>
      <c r="H252" s="113"/>
      <c r="I252" s="53"/>
      <c r="J252" s="113"/>
      <c r="K252" s="113"/>
      <c r="L252" s="53"/>
      <c r="M252" s="113"/>
      <c r="N252" s="113"/>
      <c r="O252" s="53"/>
      <c r="P252" s="113"/>
      <c r="Q252" s="113"/>
      <c r="R252" s="53"/>
      <c r="S252" s="113"/>
      <c r="T252" s="113"/>
      <c r="U252" s="53"/>
      <c r="V252" s="113"/>
      <c r="W252" s="113"/>
      <c r="X252" s="53"/>
      <c r="Y252" s="113"/>
      <c r="Z252" s="113"/>
      <c r="AA252" s="53"/>
      <c r="AB252" s="113"/>
      <c r="AC252" s="113"/>
      <c r="AD252" s="53"/>
      <c r="AE252" s="113"/>
      <c r="AF252" s="113"/>
      <c r="AG252" s="53"/>
      <c r="AH252" s="113"/>
      <c r="AI252" s="113"/>
      <c r="AJ252" s="53"/>
      <c r="AK252" s="113"/>
      <c r="AL252" s="113"/>
      <c r="AM252" s="53"/>
      <c r="AN252" s="113"/>
      <c r="AO252" s="113"/>
      <c r="AP252" s="53"/>
      <c r="AQ252" s="113"/>
      <c r="AR252" s="113"/>
    </row>
    <row r="253" spans="1:44" ht="15">
      <c r="A253" s="113"/>
      <c r="B253" s="113"/>
      <c r="C253" s="53"/>
      <c r="D253" s="113"/>
      <c r="E253" s="113"/>
      <c r="F253" s="53"/>
      <c r="G253" s="113"/>
      <c r="H253" s="113"/>
      <c r="I253" s="53"/>
      <c r="J253" s="113"/>
      <c r="K253" s="113"/>
      <c r="L253" s="53"/>
      <c r="M253" s="113"/>
      <c r="N253" s="113"/>
      <c r="O253" s="53"/>
      <c r="P253" s="113"/>
      <c r="Q253" s="113"/>
      <c r="R253" s="53"/>
      <c r="S253" s="113"/>
      <c r="T253" s="113"/>
      <c r="U253" s="53"/>
      <c r="V253" s="113"/>
      <c r="W253" s="113"/>
      <c r="X253" s="53"/>
      <c r="Y253" s="113"/>
      <c r="Z253" s="113"/>
      <c r="AA253" s="53"/>
      <c r="AB253" s="113"/>
      <c r="AC253" s="113"/>
      <c r="AD253" s="53"/>
      <c r="AE253" s="113"/>
      <c r="AF253" s="113"/>
      <c r="AG253" s="53"/>
      <c r="AH253" s="113"/>
      <c r="AI253" s="113"/>
      <c r="AJ253" s="53"/>
      <c r="AK253" s="113"/>
      <c r="AL253" s="113"/>
      <c r="AM253" s="53"/>
      <c r="AN253" s="113"/>
      <c r="AO253" s="113"/>
      <c r="AP253" s="53"/>
      <c r="AQ253" s="113"/>
      <c r="AR253" s="113"/>
    </row>
    <row r="254" spans="1:44" ht="15">
      <c r="A254" s="113"/>
      <c r="B254" s="113"/>
      <c r="C254" s="53"/>
      <c r="D254" s="113"/>
      <c r="E254" s="113"/>
      <c r="F254" s="53"/>
      <c r="G254" s="113"/>
      <c r="H254" s="113"/>
      <c r="I254" s="53"/>
      <c r="J254" s="113"/>
      <c r="K254" s="113"/>
      <c r="L254" s="53"/>
      <c r="M254" s="113"/>
      <c r="N254" s="113"/>
      <c r="O254" s="53"/>
      <c r="P254" s="113"/>
      <c r="Q254" s="113"/>
      <c r="R254" s="53"/>
      <c r="S254" s="113"/>
      <c r="T254" s="113"/>
      <c r="U254" s="53"/>
      <c r="V254" s="113"/>
      <c r="W254" s="113"/>
      <c r="X254" s="53"/>
      <c r="Y254" s="113"/>
      <c r="Z254" s="113"/>
      <c r="AA254" s="53"/>
      <c r="AB254" s="113"/>
      <c r="AC254" s="113"/>
      <c r="AD254" s="53"/>
      <c r="AE254" s="113"/>
      <c r="AF254" s="113"/>
      <c r="AG254" s="53"/>
      <c r="AH254" s="113"/>
      <c r="AI254" s="113"/>
      <c r="AJ254" s="53"/>
      <c r="AK254" s="113"/>
      <c r="AL254" s="113"/>
      <c r="AM254" s="53"/>
      <c r="AN254" s="113"/>
      <c r="AO254" s="113"/>
      <c r="AP254" s="53"/>
      <c r="AQ254" s="113"/>
      <c r="AR254" s="113"/>
    </row>
    <row r="255" spans="1:44" ht="15">
      <c r="A255" s="113"/>
      <c r="B255" s="113"/>
      <c r="C255" s="53"/>
      <c r="D255" s="113"/>
      <c r="E255" s="113"/>
      <c r="F255" s="53"/>
      <c r="G255" s="113"/>
      <c r="H255" s="113"/>
      <c r="I255" s="53"/>
      <c r="J255" s="113"/>
      <c r="K255" s="113"/>
      <c r="L255" s="53"/>
      <c r="M255" s="113"/>
      <c r="N255" s="113"/>
      <c r="O255" s="53"/>
      <c r="P255" s="113"/>
      <c r="Q255" s="113"/>
      <c r="R255" s="53"/>
      <c r="S255" s="113"/>
      <c r="T255" s="113"/>
      <c r="U255" s="53"/>
      <c r="V255" s="113"/>
      <c r="W255" s="113"/>
      <c r="X255" s="53"/>
      <c r="Y255" s="113"/>
      <c r="Z255" s="113"/>
      <c r="AA255" s="53"/>
      <c r="AB255" s="113"/>
      <c r="AC255" s="113"/>
      <c r="AD255" s="53"/>
      <c r="AE255" s="113"/>
      <c r="AF255" s="113"/>
      <c r="AG255" s="53"/>
      <c r="AH255" s="113"/>
      <c r="AI255" s="113"/>
      <c r="AJ255" s="53"/>
      <c r="AK255" s="113"/>
      <c r="AL255" s="113"/>
      <c r="AM255" s="53"/>
      <c r="AN255" s="113"/>
      <c r="AO255" s="113"/>
      <c r="AP255" s="53"/>
      <c r="AQ255" s="113"/>
      <c r="AR255" s="113"/>
    </row>
    <row r="256" spans="1:44" ht="15">
      <c r="A256" s="113"/>
      <c r="B256" s="113"/>
      <c r="C256" s="53"/>
      <c r="D256" s="113"/>
      <c r="E256" s="113"/>
      <c r="F256" s="53"/>
      <c r="G256" s="113"/>
      <c r="H256" s="113"/>
      <c r="I256" s="53"/>
      <c r="J256" s="113"/>
      <c r="K256" s="113"/>
      <c r="L256" s="53"/>
      <c r="M256" s="113"/>
      <c r="N256" s="113"/>
      <c r="O256" s="53"/>
      <c r="P256" s="113"/>
      <c r="Q256" s="113"/>
      <c r="R256" s="53"/>
      <c r="S256" s="113"/>
      <c r="T256" s="113"/>
      <c r="U256" s="53"/>
      <c r="V256" s="113"/>
      <c r="W256" s="113"/>
      <c r="X256" s="53"/>
      <c r="Y256" s="113"/>
      <c r="Z256" s="113"/>
      <c r="AA256" s="53"/>
      <c r="AB256" s="113"/>
      <c r="AC256" s="113"/>
      <c r="AD256" s="53"/>
      <c r="AE256" s="113"/>
      <c r="AF256" s="113"/>
      <c r="AG256" s="53"/>
      <c r="AH256" s="113"/>
      <c r="AI256" s="113"/>
      <c r="AJ256" s="53"/>
      <c r="AK256" s="113"/>
      <c r="AL256" s="113"/>
      <c r="AM256" s="53"/>
      <c r="AN256" s="113"/>
      <c r="AO256" s="113"/>
      <c r="AP256" s="53"/>
      <c r="AQ256" s="113"/>
      <c r="AR256" s="113"/>
    </row>
    <row r="257" spans="1:44" ht="15">
      <c r="A257" s="113"/>
      <c r="B257" s="113"/>
      <c r="C257" s="53"/>
      <c r="D257" s="113"/>
      <c r="E257" s="113"/>
      <c r="F257" s="53"/>
      <c r="G257" s="113"/>
      <c r="H257" s="113"/>
      <c r="I257" s="53"/>
      <c r="J257" s="113"/>
      <c r="K257" s="113"/>
      <c r="L257" s="53"/>
      <c r="M257" s="113"/>
      <c r="N257" s="113"/>
      <c r="O257" s="53"/>
      <c r="P257" s="113"/>
      <c r="Q257" s="113"/>
      <c r="R257" s="53"/>
      <c r="S257" s="113"/>
      <c r="T257" s="113"/>
      <c r="U257" s="53"/>
      <c r="V257" s="113"/>
      <c r="W257" s="113"/>
      <c r="X257" s="53"/>
      <c r="Y257" s="113"/>
      <c r="Z257" s="113"/>
      <c r="AA257" s="53"/>
      <c r="AB257" s="113"/>
      <c r="AC257" s="113"/>
      <c r="AD257" s="53"/>
      <c r="AE257" s="113"/>
      <c r="AF257" s="113"/>
      <c r="AG257" s="53"/>
      <c r="AH257" s="113"/>
      <c r="AI257" s="113"/>
      <c r="AJ257" s="53"/>
      <c r="AK257" s="113"/>
      <c r="AL257" s="113"/>
      <c r="AM257" s="53"/>
      <c r="AN257" s="113"/>
      <c r="AO257" s="113"/>
      <c r="AP257" s="53"/>
      <c r="AQ257" s="113"/>
      <c r="AR257" s="113"/>
    </row>
    <row r="258" spans="1:44" ht="15">
      <c r="A258" s="113"/>
      <c r="B258" s="113"/>
      <c r="C258" s="53"/>
      <c r="D258" s="113"/>
      <c r="E258" s="113"/>
      <c r="F258" s="53"/>
      <c r="G258" s="113"/>
      <c r="H258" s="113"/>
      <c r="I258" s="53"/>
      <c r="J258" s="113"/>
      <c r="K258" s="113"/>
      <c r="L258" s="53"/>
      <c r="M258" s="113"/>
      <c r="N258" s="113"/>
      <c r="O258" s="53"/>
      <c r="P258" s="113"/>
      <c r="Q258" s="113"/>
      <c r="R258" s="53"/>
      <c r="S258" s="113"/>
      <c r="T258" s="113"/>
      <c r="U258" s="53"/>
      <c r="V258" s="113"/>
      <c r="W258" s="113"/>
      <c r="X258" s="53"/>
      <c r="Y258" s="113"/>
      <c r="Z258" s="113"/>
      <c r="AA258" s="53"/>
      <c r="AB258" s="113"/>
      <c r="AC258" s="113"/>
      <c r="AD258" s="53"/>
      <c r="AE258" s="113"/>
      <c r="AF258" s="113"/>
      <c r="AG258" s="53"/>
      <c r="AH258" s="113"/>
      <c r="AI258" s="113"/>
      <c r="AJ258" s="53"/>
      <c r="AK258" s="113"/>
      <c r="AL258" s="113"/>
      <c r="AM258" s="53"/>
      <c r="AN258" s="113"/>
      <c r="AO258" s="113"/>
      <c r="AP258" s="53"/>
      <c r="AQ258" s="113"/>
      <c r="AR258" s="113"/>
    </row>
    <row r="259" spans="1:44" ht="15">
      <c r="A259" s="113"/>
      <c r="B259" s="113"/>
      <c r="C259" s="53"/>
      <c r="D259" s="113"/>
      <c r="E259" s="113"/>
      <c r="F259" s="53"/>
      <c r="G259" s="113"/>
      <c r="H259" s="113"/>
      <c r="I259" s="53"/>
      <c r="J259" s="113"/>
      <c r="K259" s="113"/>
      <c r="L259" s="53"/>
      <c r="M259" s="113"/>
      <c r="N259" s="113"/>
      <c r="O259" s="53"/>
      <c r="P259" s="113"/>
      <c r="Q259" s="113"/>
      <c r="R259" s="53"/>
      <c r="S259" s="113"/>
      <c r="T259" s="113"/>
      <c r="U259" s="53"/>
      <c r="V259" s="113"/>
      <c r="W259" s="113"/>
      <c r="X259" s="53"/>
      <c r="Y259" s="113"/>
      <c r="Z259" s="113"/>
      <c r="AA259" s="53"/>
      <c r="AB259" s="113"/>
      <c r="AC259" s="113"/>
      <c r="AD259" s="53"/>
      <c r="AE259" s="113"/>
      <c r="AF259" s="113"/>
      <c r="AG259" s="53"/>
      <c r="AH259" s="113"/>
      <c r="AI259" s="113"/>
      <c r="AJ259" s="53"/>
      <c r="AK259" s="113"/>
      <c r="AL259" s="113"/>
      <c r="AM259" s="53"/>
      <c r="AN259" s="113"/>
      <c r="AO259" s="113"/>
      <c r="AP259" s="53"/>
      <c r="AQ259" s="113"/>
      <c r="AR259" s="113"/>
    </row>
    <row r="260" spans="1:44" ht="15">
      <c r="A260" s="113"/>
      <c r="B260" s="113"/>
      <c r="C260" s="53"/>
      <c r="D260" s="113"/>
      <c r="E260" s="113"/>
      <c r="F260" s="53"/>
      <c r="G260" s="113"/>
      <c r="H260" s="113"/>
      <c r="I260" s="53"/>
      <c r="J260" s="113"/>
      <c r="K260" s="113"/>
      <c r="L260" s="53"/>
      <c r="M260" s="113"/>
      <c r="N260" s="113"/>
      <c r="O260" s="53"/>
      <c r="P260" s="113"/>
      <c r="Q260" s="113"/>
      <c r="R260" s="53"/>
      <c r="S260" s="113"/>
      <c r="T260" s="113"/>
      <c r="U260" s="53"/>
      <c r="V260" s="113"/>
      <c r="W260" s="113"/>
      <c r="X260" s="53"/>
      <c r="Y260" s="113"/>
      <c r="Z260" s="113"/>
      <c r="AA260" s="53"/>
      <c r="AB260" s="113"/>
      <c r="AC260" s="113"/>
      <c r="AD260" s="53"/>
      <c r="AE260" s="113"/>
      <c r="AF260" s="113"/>
      <c r="AG260" s="53"/>
      <c r="AH260" s="113"/>
      <c r="AI260" s="113"/>
      <c r="AJ260" s="53"/>
      <c r="AK260" s="113"/>
      <c r="AL260" s="113"/>
      <c r="AM260" s="53"/>
      <c r="AN260" s="113"/>
      <c r="AO260" s="113"/>
      <c r="AP260" s="53"/>
      <c r="AQ260" s="113"/>
      <c r="AR260" s="113"/>
    </row>
    <row r="261" spans="1:44" ht="15">
      <c r="A261" s="113"/>
      <c r="B261" s="113"/>
      <c r="C261" s="53"/>
      <c r="D261" s="113"/>
      <c r="E261" s="113"/>
      <c r="F261" s="53"/>
      <c r="G261" s="113"/>
      <c r="H261" s="113"/>
      <c r="I261" s="53"/>
      <c r="J261" s="113"/>
      <c r="K261" s="113"/>
      <c r="L261" s="53"/>
      <c r="M261" s="113"/>
      <c r="N261" s="113"/>
      <c r="O261" s="53"/>
      <c r="P261" s="113"/>
      <c r="Q261" s="113"/>
      <c r="R261" s="53"/>
      <c r="S261" s="113"/>
      <c r="T261" s="113"/>
      <c r="U261" s="53"/>
      <c r="V261" s="113"/>
      <c r="W261" s="113"/>
      <c r="X261" s="53"/>
      <c r="Y261" s="113"/>
      <c r="Z261" s="113"/>
      <c r="AA261" s="53"/>
      <c r="AB261" s="113"/>
      <c r="AC261" s="113"/>
      <c r="AD261" s="53"/>
      <c r="AE261" s="113"/>
      <c r="AF261" s="113"/>
      <c r="AG261" s="53"/>
      <c r="AH261" s="113"/>
      <c r="AI261" s="113"/>
      <c r="AJ261" s="53"/>
      <c r="AK261" s="113"/>
      <c r="AL261" s="113"/>
      <c r="AM261" s="53"/>
      <c r="AN261" s="113"/>
      <c r="AO261" s="113"/>
      <c r="AP261" s="53"/>
      <c r="AQ261" s="113"/>
      <c r="AR261" s="113"/>
    </row>
    <row r="262" spans="1:44" ht="15">
      <c r="A262" s="113"/>
      <c r="B262" s="113"/>
      <c r="C262" s="53"/>
      <c r="D262" s="113"/>
      <c r="E262" s="113"/>
      <c r="F262" s="53"/>
      <c r="G262" s="113"/>
      <c r="H262" s="113"/>
      <c r="I262" s="53"/>
      <c r="J262" s="113"/>
      <c r="K262" s="113"/>
      <c r="L262" s="53"/>
      <c r="M262" s="113"/>
      <c r="N262" s="113"/>
      <c r="O262" s="53"/>
      <c r="P262" s="113"/>
      <c r="Q262" s="113"/>
      <c r="R262" s="53"/>
      <c r="S262" s="113"/>
      <c r="T262" s="113"/>
      <c r="U262" s="53"/>
      <c r="V262" s="113"/>
      <c r="W262" s="113"/>
      <c r="X262" s="53"/>
      <c r="Y262" s="113"/>
      <c r="Z262" s="113"/>
      <c r="AA262" s="53"/>
      <c r="AB262" s="113"/>
      <c r="AC262" s="113"/>
      <c r="AD262" s="53"/>
      <c r="AE262" s="113"/>
      <c r="AF262" s="113"/>
      <c r="AG262" s="53"/>
      <c r="AH262" s="113"/>
      <c r="AI262" s="113"/>
      <c r="AJ262" s="53"/>
      <c r="AK262" s="113"/>
      <c r="AL262" s="113"/>
      <c r="AM262" s="53"/>
      <c r="AN262" s="113"/>
      <c r="AO262" s="113"/>
      <c r="AP262" s="53"/>
      <c r="AQ262" s="113"/>
      <c r="AR262" s="113"/>
    </row>
    <row r="263" spans="1:44" ht="15">
      <c r="A263" s="113"/>
      <c r="B263" s="113"/>
      <c r="C263" s="53"/>
      <c r="D263" s="113"/>
      <c r="E263" s="113"/>
      <c r="F263" s="53"/>
      <c r="G263" s="113"/>
      <c r="H263" s="113"/>
      <c r="I263" s="53"/>
      <c r="J263" s="113"/>
      <c r="K263" s="113"/>
      <c r="L263" s="53"/>
      <c r="M263" s="113"/>
      <c r="N263" s="113"/>
      <c r="O263" s="53"/>
      <c r="P263" s="113"/>
      <c r="Q263" s="113"/>
      <c r="R263" s="53"/>
      <c r="S263" s="113"/>
      <c r="T263" s="113"/>
      <c r="U263" s="53"/>
      <c r="V263" s="113"/>
      <c r="W263" s="113"/>
      <c r="X263" s="53"/>
      <c r="Y263" s="113"/>
      <c r="Z263" s="113"/>
      <c r="AA263" s="53"/>
      <c r="AB263" s="113"/>
      <c r="AC263" s="113"/>
      <c r="AD263" s="53"/>
      <c r="AE263" s="113"/>
      <c r="AF263" s="113"/>
      <c r="AG263" s="53"/>
      <c r="AH263" s="113"/>
      <c r="AI263" s="113"/>
      <c r="AJ263" s="53"/>
      <c r="AK263" s="113"/>
      <c r="AL263" s="113"/>
      <c r="AM263" s="53"/>
      <c r="AN263" s="113"/>
      <c r="AO263" s="113"/>
      <c r="AP263" s="53"/>
      <c r="AQ263" s="113"/>
      <c r="AR263" s="113"/>
    </row>
    <row r="264" spans="1:44" ht="15">
      <c r="A264" s="113"/>
      <c r="B264" s="113"/>
      <c r="C264" s="53"/>
      <c r="D264" s="113"/>
      <c r="E264" s="113"/>
      <c r="F264" s="53"/>
      <c r="G264" s="113"/>
      <c r="H264" s="113"/>
      <c r="I264" s="53"/>
      <c r="J264" s="113"/>
      <c r="K264" s="113"/>
      <c r="L264" s="53"/>
      <c r="M264" s="113"/>
      <c r="N264" s="113"/>
      <c r="O264" s="53"/>
      <c r="P264" s="113"/>
      <c r="Q264" s="113"/>
      <c r="R264" s="53"/>
      <c r="S264" s="113"/>
      <c r="T264" s="113"/>
      <c r="U264" s="53"/>
      <c r="V264" s="113"/>
      <c r="W264" s="113"/>
      <c r="X264" s="53"/>
      <c r="Y264" s="113"/>
      <c r="Z264" s="113"/>
      <c r="AA264" s="53"/>
      <c r="AB264" s="113"/>
      <c r="AC264" s="113"/>
      <c r="AD264" s="53"/>
      <c r="AE264" s="113"/>
      <c r="AF264" s="113"/>
      <c r="AG264" s="53"/>
      <c r="AH264" s="113"/>
      <c r="AI264" s="113"/>
      <c r="AJ264" s="53"/>
      <c r="AK264" s="113"/>
      <c r="AL264" s="113"/>
      <c r="AM264" s="53"/>
      <c r="AN264" s="113"/>
      <c r="AO264" s="113"/>
      <c r="AP264" s="53"/>
      <c r="AQ264" s="113"/>
      <c r="AR264" s="113"/>
    </row>
    <row r="265" spans="1:44" ht="15">
      <c r="A265" s="113"/>
      <c r="B265" s="113"/>
      <c r="C265" s="53"/>
      <c r="D265" s="113"/>
      <c r="E265" s="113"/>
      <c r="F265" s="53"/>
      <c r="G265" s="113"/>
      <c r="H265" s="113"/>
      <c r="I265" s="53"/>
      <c r="J265" s="113"/>
      <c r="K265" s="113"/>
      <c r="L265" s="53"/>
      <c r="M265" s="113"/>
      <c r="N265" s="113"/>
      <c r="O265" s="53"/>
      <c r="P265" s="113"/>
      <c r="Q265" s="113"/>
      <c r="R265" s="53"/>
      <c r="S265" s="113"/>
      <c r="T265" s="113"/>
      <c r="U265" s="53"/>
      <c r="V265" s="113"/>
      <c r="W265" s="113"/>
      <c r="X265" s="53"/>
      <c r="Y265" s="113"/>
      <c r="Z265" s="113"/>
      <c r="AA265" s="53"/>
      <c r="AB265" s="113"/>
      <c r="AC265" s="113"/>
      <c r="AD265" s="53"/>
      <c r="AE265" s="113"/>
      <c r="AF265" s="113"/>
      <c r="AG265" s="53"/>
      <c r="AH265" s="113"/>
      <c r="AI265" s="113"/>
      <c r="AJ265" s="53"/>
      <c r="AK265" s="113"/>
      <c r="AL265" s="113"/>
      <c r="AM265" s="53"/>
      <c r="AN265" s="113"/>
      <c r="AO265" s="113"/>
      <c r="AP265" s="53"/>
      <c r="AQ265" s="113"/>
      <c r="AR265" s="113"/>
    </row>
    <row r="266" spans="1:44" ht="15">
      <c r="A266" s="113"/>
      <c r="B266" s="113"/>
      <c r="C266" s="53"/>
      <c r="D266" s="113"/>
      <c r="E266" s="113"/>
      <c r="F266" s="53"/>
      <c r="G266" s="113"/>
      <c r="H266" s="113"/>
      <c r="I266" s="53"/>
      <c r="J266" s="113"/>
      <c r="K266" s="113"/>
      <c r="L266" s="53"/>
      <c r="M266" s="113"/>
      <c r="N266" s="113"/>
      <c r="O266" s="53"/>
      <c r="P266" s="113"/>
      <c r="Q266" s="113"/>
      <c r="R266" s="53"/>
      <c r="S266" s="113"/>
      <c r="T266" s="113"/>
      <c r="U266" s="53"/>
      <c r="V266" s="113"/>
      <c r="W266" s="113"/>
      <c r="X266" s="53"/>
      <c r="Y266" s="113"/>
      <c r="Z266" s="113"/>
      <c r="AA266" s="53"/>
      <c r="AB266" s="113"/>
      <c r="AC266" s="113"/>
      <c r="AD266" s="53"/>
      <c r="AE266" s="113"/>
      <c r="AF266" s="113"/>
      <c r="AG266" s="53"/>
      <c r="AH266" s="113"/>
      <c r="AI266" s="113"/>
      <c r="AJ266" s="53"/>
      <c r="AK266" s="113"/>
      <c r="AL266" s="113"/>
      <c r="AM266" s="53"/>
      <c r="AN266" s="113"/>
      <c r="AO266" s="113"/>
      <c r="AP266" s="53"/>
      <c r="AQ266" s="113"/>
      <c r="AR266" s="113"/>
    </row>
    <row r="267" spans="1:44" ht="15">
      <c r="A267" s="113"/>
      <c r="B267" s="113"/>
      <c r="C267" s="53"/>
      <c r="D267" s="113"/>
      <c r="E267" s="113"/>
      <c r="F267" s="53"/>
      <c r="G267" s="113"/>
      <c r="H267" s="113"/>
      <c r="I267" s="53"/>
      <c r="J267" s="113"/>
      <c r="K267" s="113"/>
      <c r="L267" s="53"/>
      <c r="M267" s="113"/>
      <c r="N267" s="113"/>
      <c r="O267" s="53"/>
      <c r="P267" s="113"/>
      <c r="Q267" s="113"/>
      <c r="R267" s="53"/>
      <c r="S267" s="113"/>
      <c r="T267" s="113"/>
      <c r="U267" s="53"/>
      <c r="V267" s="113"/>
      <c r="W267" s="113"/>
      <c r="X267" s="53"/>
      <c r="Y267" s="113"/>
      <c r="Z267" s="113"/>
      <c r="AA267" s="53"/>
      <c r="AB267" s="113"/>
      <c r="AC267" s="113"/>
      <c r="AD267" s="53"/>
      <c r="AE267" s="113"/>
      <c r="AF267" s="113"/>
      <c r="AG267" s="53"/>
      <c r="AH267" s="113"/>
      <c r="AI267" s="113"/>
      <c r="AJ267" s="53"/>
      <c r="AK267" s="113"/>
      <c r="AL267" s="113"/>
      <c r="AM267" s="53"/>
      <c r="AN267" s="113"/>
      <c r="AO267" s="113"/>
      <c r="AP267" s="53"/>
      <c r="AQ267" s="113"/>
      <c r="AR267" s="113"/>
    </row>
    <row r="268" spans="1:44" ht="15">
      <c r="A268" s="113"/>
      <c r="B268" s="113"/>
      <c r="C268" s="53"/>
      <c r="D268" s="113"/>
      <c r="E268" s="113"/>
      <c r="F268" s="53"/>
      <c r="G268" s="113"/>
      <c r="H268" s="113"/>
      <c r="I268" s="53"/>
      <c r="J268" s="113"/>
      <c r="K268" s="113"/>
      <c r="L268" s="53"/>
      <c r="M268" s="113"/>
      <c r="N268" s="113"/>
      <c r="O268" s="53"/>
      <c r="P268" s="113"/>
      <c r="Q268" s="113"/>
      <c r="R268" s="53"/>
      <c r="S268" s="113"/>
      <c r="T268" s="113"/>
      <c r="U268" s="53"/>
      <c r="V268" s="113"/>
      <c r="W268" s="113"/>
      <c r="X268" s="53"/>
      <c r="Y268" s="113"/>
      <c r="Z268" s="113"/>
      <c r="AA268" s="53"/>
      <c r="AB268" s="113"/>
      <c r="AC268" s="113"/>
      <c r="AD268" s="53"/>
      <c r="AE268" s="113"/>
      <c r="AF268" s="113"/>
      <c r="AG268" s="53"/>
      <c r="AH268" s="113"/>
      <c r="AI268" s="113"/>
      <c r="AJ268" s="53"/>
      <c r="AK268" s="113"/>
      <c r="AL268" s="113"/>
      <c r="AM268" s="53"/>
      <c r="AN268" s="113"/>
      <c r="AO268" s="113"/>
      <c r="AP268" s="53"/>
      <c r="AQ268" s="113"/>
      <c r="AR268" s="113"/>
    </row>
    <row r="269" spans="1:44" ht="15">
      <c r="A269" s="113"/>
      <c r="B269" s="113"/>
      <c r="C269" s="53"/>
      <c r="D269" s="113"/>
      <c r="E269" s="113"/>
      <c r="F269" s="53"/>
      <c r="G269" s="113"/>
      <c r="H269" s="113"/>
      <c r="I269" s="53"/>
      <c r="J269" s="113"/>
      <c r="K269" s="113"/>
      <c r="L269" s="53"/>
      <c r="M269" s="113"/>
      <c r="N269" s="113"/>
      <c r="O269" s="53"/>
      <c r="P269" s="113"/>
      <c r="Q269" s="113"/>
      <c r="R269" s="53"/>
      <c r="S269" s="113"/>
      <c r="T269" s="113"/>
      <c r="U269" s="53"/>
      <c r="V269" s="113"/>
      <c r="W269" s="113"/>
      <c r="X269" s="53"/>
      <c r="Y269" s="113"/>
      <c r="Z269" s="113"/>
      <c r="AA269" s="53"/>
      <c r="AB269" s="113"/>
      <c r="AC269" s="113"/>
      <c r="AD269" s="53"/>
      <c r="AE269" s="113"/>
      <c r="AF269" s="113"/>
      <c r="AG269" s="53"/>
      <c r="AH269" s="113"/>
      <c r="AI269" s="113"/>
      <c r="AJ269" s="53"/>
      <c r="AK269" s="113"/>
      <c r="AL269" s="113"/>
      <c r="AM269" s="53"/>
      <c r="AN269" s="113"/>
      <c r="AO269" s="113"/>
      <c r="AP269" s="53"/>
      <c r="AQ269" s="113"/>
      <c r="AR269" s="113"/>
    </row>
    <row r="270" spans="1:44" ht="15">
      <c r="A270" s="113"/>
      <c r="B270" s="113"/>
      <c r="C270" s="53"/>
      <c r="D270" s="113"/>
      <c r="E270" s="113"/>
      <c r="F270" s="53"/>
      <c r="G270" s="113"/>
      <c r="H270" s="113"/>
      <c r="I270" s="53"/>
      <c r="J270" s="113"/>
      <c r="K270" s="113"/>
      <c r="L270" s="53"/>
      <c r="M270" s="113"/>
      <c r="N270" s="113"/>
      <c r="O270" s="53"/>
      <c r="P270" s="113"/>
      <c r="Q270" s="113"/>
      <c r="R270" s="53"/>
      <c r="S270" s="113"/>
      <c r="T270" s="113"/>
      <c r="U270" s="53"/>
      <c r="V270" s="113"/>
      <c r="W270" s="113"/>
      <c r="X270" s="53"/>
      <c r="Y270" s="113"/>
      <c r="Z270" s="113"/>
      <c r="AA270" s="53"/>
      <c r="AB270" s="113"/>
      <c r="AC270" s="113"/>
      <c r="AD270" s="53"/>
      <c r="AE270" s="113"/>
      <c r="AF270" s="113"/>
      <c r="AG270" s="53"/>
      <c r="AH270" s="113"/>
      <c r="AI270" s="113"/>
      <c r="AJ270" s="53"/>
      <c r="AK270" s="113"/>
      <c r="AL270" s="113"/>
      <c r="AM270" s="53"/>
      <c r="AN270" s="113"/>
      <c r="AO270" s="113"/>
      <c r="AP270" s="53"/>
      <c r="AQ270" s="113"/>
      <c r="AR270" s="113"/>
    </row>
    <row r="271" spans="1:44" ht="15">
      <c r="A271" s="113"/>
      <c r="B271" s="113"/>
      <c r="C271" s="53"/>
      <c r="D271" s="113"/>
      <c r="E271" s="113"/>
      <c r="F271" s="53"/>
      <c r="G271" s="113"/>
      <c r="H271" s="113"/>
      <c r="I271" s="53"/>
      <c r="J271" s="113"/>
      <c r="K271" s="113"/>
      <c r="L271" s="53"/>
      <c r="M271" s="113"/>
      <c r="N271" s="113"/>
      <c r="O271" s="53"/>
      <c r="P271" s="113"/>
      <c r="Q271" s="113"/>
      <c r="R271" s="53"/>
      <c r="S271" s="113"/>
      <c r="T271" s="113"/>
      <c r="U271" s="53"/>
      <c r="V271" s="113"/>
      <c r="W271" s="113"/>
      <c r="X271" s="53"/>
      <c r="Y271" s="113"/>
      <c r="Z271" s="113"/>
      <c r="AA271" s="53"/>
      <c r="AB271" s="113"/>
      <c r="AC271" s="113"/>
      <c r="AD271" s="53"/>
      <c r="AE271" s="113"/>
      <c r="AF271" s="113"/>
      <c r="AG271" s="53"/>
      <c r="AH271" s="113"/>
      <c r="AI271" s="113"/>
      <c r="AJ271" s="53"/>
      <c r="AK271" s="113"/>
      <c r="AL271" s="113"/>
      <c r="AM271" s="53"/>
      <c r="AN271" s="113"/>
      <c r="AO271" s="113"/>
      <c r="AP271" s="53"/>
      <c r="AQ271" s="113"/>
      <c r="AR271" s="113"/>
    </row>
    <row r="272" spans="1:44" ht="15">
      <c r="A272" s="113"/>
      <c r="B272" s="113"/>
      <c r="C272" s="53"/>
      <c r="D272" s="113"/>
      <c r="E272" s="113"/>
      <c r="F272" s="53"/>
      <c r="G272" s="113"/>
      <c r="H272" s="113"/>
      <c r="I272" s="53"/>
      <c r="J272" s="113"/>
      <c r="K272" s="113"/>
      <c r="L272" s="53"/>
      <c r="M272" s="113"/>
      <c r="N272" s="113"/>
      <c r="O272" s="53"/>
      <c r="P272" s="113"/>
      <c r="Q272" s="113"/>
      <c r="R272" s="53"/>
      <c r="S272" s="113"/>
      <c r="T272" s="113"/>
      <c r="U272" s="53"/>
      <c r="V272" s="113"/>
      <c r="W272" s="113"/>
      <c r="X272" s="53"/>
      <c r="Y272" s="113"/>
      <c r="Z272" s="113"/>
      <c r="AA272" s="53"/>
      <c r="AB272" s="113"/>
      <c r="AC272" s="113"/>
      <c r="AD272" s="53"/>
      <c r="AE272" s="113"/>
      <c r="AF272" s="113"/>
      <c r="AG272" s="53"/>
      <c r="AH272" s="113"/>
      <c r="AI272" s="113"/>
      <c r="AJ272" s="53"/>
      <c r="AK272" s="113"/>
      <c r="AL272" s="113"/>
      <c r="AM272" s="53"/>
      <c r="AN272" s="113"/>
      <c r="AO272" s="113"/>
      <c r="AP272" s="53"/>
      <c r="AQ272" s="113"/>
      <c r="AR272" s="113"/>
    </row>
    <row r="273" spans="1:44" ht="15">
      <c r="A273" s="113"/>
      <c r="B273" s="113"/>
      <c r="C273" s="53"/>
      <c r="D273" s="113"/>
      <c r="E273" s="113"/>
      <c r="F273" s="53"/>
      <c r="G273" s="113"/>
      <c r="H273" s="113"/>
      <c r="I273" s="53"/>
      <c r="J273" s="113"/>
      <c r="K273" s="113"/>
      <c r="L273" s="53"/>
      <c r="M273" s="113"/>
      <c r="N273" s="113"/>
      <c r="O273" s="53"/>
      <c r="P273" s="113"/>
      <c r="Q273" s="113"/>
      <c r="R273" s="53"/>
      <c r="S273" s="113"/>
      <c r="T273" s="113"/>
      <c r="U273" s="53"/>
      <c r="V273" s="113"/>
      <c r="W273" s="113"/>
      <c r="X273" s="53"/>
      <c r="Y273" s="113"/>
      <c r="Z273" s="113"/>
      <c r="AA273" s="53"/>
      <c r="AB273" s="113"/>
      <c r="AC273" s="113"/>
      <c r="AD273" s="53"/>
      <c r="AE273" s="113"/>
      <c r="AF273" s="113"/>
      <c r="AG273" s="53"/>
      <c r="AH273" s="113"/>
      <c r="AI273" s="113"/>
      <c r="AJ273" s="53"/>
      <c r="AK273" s="113"/>
      <c r="AL273" s="113"/>
      <c r="AM273" s="53"/>
      <c r="AN273" s="113"/>
      <c r="AO273" s="113"/>
      <c r="AP273" s="53"/>
      <c r="AQ273" s="113"/>
      <c r="AR273" s="113"/>
    </row>
    <row r="274" spans="1:44" ht="15">
      <c r="A274" s="113"/>
      <c r="B274" s="113"/>
      <c r="C274" s="53"/>
      <c r="D274" s="113"/>
      <c r="E274" s="113"/>
      <c r="F274" s="53"/>
      <c r="G274" s="113"/>
      <c r="H274" s="113"/>
      <c r="I274" s="53"/>
      <c r="J274" s="113"/>
      <c r="K274" s="113"/>
      <c r="L274" s="53"/>
      <c r="M274" s="113"/>
      <c r="N274" s="113"/>
      <c r="O274" s="53"/>
      <c r="P274" s="113"/>
      <c r="Q274" s="113"/>
      <c r="R274" s="53"/>
      <c r="S274" s="113"/>
      <c r="T274" s="113"/>
      <c r="U274" s="53"/>
      <c r="V274" s="113"/>
      <c r="W274" s="113"/>
      <c r="X274" s="53"/>
      <c r="Y274" s="113"/>
      <c r="Z274" s="113"/>
      <c r="AA274" s="53"/>
      <c r="AB274" s="113"/>
      <c r="AC274" s="113"/>
      <c r="AD274" s="53"/>
      <c r="AE274" s="113"/>
      <c r="AF274" s="113"/>
      <c r="AG274" s="53"/>
      <c r="AH274" s="113"/>
      <c r="AI274" s="113"/>
      <c r="AJ274" s="53"/>
      <c r="AK274" s="113"/>
      <c r="AL274" s="113"/>
      <c r="AM274" s="53"/>
      <c r="AN274" s="113"/>
      <c r="AO274" s="113"/>
      <c r="AP274" s="53"/>
      <c r="AQ274" s="113"/>
      <c r="AR274" s="113"/>
    </row>
    <row r="275" spans="1:44" ht="15">
      <c r="A275" s="113"/>
      <c r="B275" s="113"/>
      <c r="C275" s="53"/>
      <c r="D275" s="113"/>
      <c r="E275" s="113"/>
      <c r="F275" s="53"/>
      <c r="G275" s="113"/>
      <c r="H275" s="113"/>
      <c r="I275" s="53"/>
      <c r="J275" s="113"/>
      <c r="K275" s="113"/>
      <c r="L275" s="53"/>
      <c r="M275" s="113"/>
      <c r="N275" s="113"/>
      <c r="O275" s="53"/>
      <c r="P275" s="113"/>
      <c r="Q275" s="113"/>
      <c r="R275" s="53"/>
      <c r="S275" s="113"/>
      <c r="T275" s="113"/>
      <c r="U275" s="53"/>
      <c r="V275" s="113"/>
      <c r="W275" s="113"/>
      <c r="X275" s="53"/>
      <c r="Y275" s="113"/>
      <c r="Z275" s="113"/>
      <c r="AA275" s="53"/>
      <c r="AB275" s="113"/>
      <c r="AC275" s="113"/>
      <c r="AD275" s="53"/>
      <c r="AE275" s="113"/>
      <c r="AF275" s="113"/>
      <c r="AG275" s="53"/>
      <c r="AH275" s="113"/>
      <c r="AI275" s="113"/>
      <c r="AJ275" s="53"/>
      <c r="AK275" s="113"/>
      <c r="AL275" s="113"/>
      <c r="AM275" s="53"/>
      <c r="AN275" s="113"/>
      <c r="AO275" s="113"/>
      <c r="AP275" s="53"/>
      <c r="AQ275" s="113"/>
      <c r="AR275" s="113"/>
    </row>
  </sheetData>
  <mergeCells count="8">
    <mergeCell ref="B42:B44"/>
    <mergeCell ref="B45:B47"/>
    <mergeCell ref="D23:D27"/>
    <mergeCell ref="D9:D17"/>
    <mergeCell ref="D19:D21"/>
    <mergeCell ref="D31:D36"/>
    <mergeCell ref="B40:C40"/>
    <mergeCell ref="B41:C41"/>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5A7F2B"/>
  </sheetPr>
  <dimension ref="B2:Q187"/>
  <sheetViews>
    <sheetView workbookViewId="0" topLeftCell="A1"/>
  </sheetViews>
  <sheetFormatPr defaultColWidth="10.8515625" defaultRowHeight="15"/>
  <cols>
    <col min="1" max="1" width="2.57421875" style="0" customWidth="1"/>
    <col min="2" max="2" width="25.7109375" style="53" customWidth="1"/>
    <col min="3" max="3" width="20.140625" style="53" customWidth="1"/>
    <col min="4" max="4" width="21.00390625" style="53" customWidth="1"/>
    <col min="5" max="5" width="20.7109375" style="53" customWidth="1"/>
    <col min="6" max="6" width="14.421875" style="53" customWidth="1"/>
    <col min="7" max="10" width="20.7109375" style="53" customWidth="1"/>
    <col min="11" max="12" width="20.7109375" style="0" customWidth="1"/>
  </cols>
  <sheetData>
    <row r="2" spans="2:17" ht="15">
      <c r="B2" s="335" t="s">
        <v>745</v>
      </c>
      <c r="C2" s="333"/>
      <c r="D2" s="333"/>
      <c r="E2" s="337"/>
      <c r="F2" s="337"/>
      <c r="G2" s="337"/>
      <c r="H2" s="337"/>
      <c r="I2" s="337"/>
      <c r="J2" s="337"/>
      <c r="K2" s="1"/>
      <c r="L2" s="1"/>
      <c r="M2" s="1"/>
      <c r="N2" s="1"/>
      <c r="O2" s="1"/>
      <c r="P2" s="1"/>
      <c r="Q2" s="1"/>
    </row>
    <row r="3" spans="2:17" ht="15">
      <c r="B3"/>
      <c r="C3"/>
      <c r="D3"/>
      <c r="F3" s="266"/>
      <c r="N3" s="1"/>
      <c r="O3" s="1"/>
      <c r="P3" s="1"/>
      <c r="Q3" s="1"/>
    </row>
    <row r="4" spans="2:6" s="233" customFormat="1" ht="39.75">
      <c r="B4" s="275" t="s">
        <v>748</v>
      </c>
      <c r="C4" s="234">
        <v>28</v>
      </c>
      <c r="D4" s="235" t="s">
        <v>746</v>
      </c>
      <c r="E4" s="341"/>
      <c r="F4" s="449"/>
    </row>
    <row r="5" spans="2:6" s="233" customFormat="1" ht="37.5" customHeight="1">
      <c r="B5" s="1322" t="s">
        <v>1168</v>
      </c>
      <c r="C5" s="1322"/>
      <c r="D5" s="1322"/>
      <c r="F5" s="449"/>
    </row>
    <row r="6" spans="2:7" s="233" customFormat="1" ht="17.25">
      <c r="B6" s="1323"/>
      <c r="C6" s="1323"/>
      <c r="D6" s="1323"/>
      <c r="F6" s="449"/>
      <c r="G6" s="506"/>
    </row>
    <row r="7" spans="2:6" s="233" customFormat="1" ht="39.75">
      <c r="B7" s="275" t="s">
        <v>747</v>
      </c>
      <c r="C7" s="234">
        <v>265</v>
      </c>
      <c r="D7" s="235" t="s">
        <v>746</v>
      </c>
      <c r="E7" s="232"/>
      <c r="F7" s="449"/>
    </row>
    <row r="8" spans="2:6" s="233" customFormat="1" ht="34.5" customHeight="1">
      <c r="B8" s="1322" t="s">
        <v>1168</v>
      </c>
      <c r="C8" s="1322"/>
      <c r="D8" s="1322"/>
      <c r="F8" s="232"/>
    </row>
    <row r="9" spans="2:6" s="233" customFormat="1" ht="15">
      <c r="B9" s="232"/>
      <c r="F9" s="232"/>
    </row>
    <row r="10" spans="2:17" ht="15">
      <c r="B10" s="335" t="s">
        <v>80</v>
      </c>
      <c r="C10" s="333"/>
      <c r="D10" s="333"/>
      <c r="E10" s="337"/>
      <c r="F10" s="337"/>
      <c r="G10" s="337"/>
      <c r="H10" s="337"/>
      <c r="I10" s="337"/>
      <c r="J10" s="337"/>
      <c r="K10" s="1"/>
      <c r="L10" s="1"/>
      <c r="M10" s="1"/>
      <c r="N10" s="1"/>
      <c r="O10" s="1"/>
      <c r="P10" s="1"/>
      <c r="Q10" s="1"/>
    </row>
    <row r="11" spans="2:17" ht="15">
      <c r="B11"/>
      <c r="C11"/>
      <c r="D11"/>
      <c r="E11"/>
      <c r="F11"/>
      <c r="G11"/>
      <c r="H11"/>
      <c r="I11"/>
      <c r="J11"/>
      <c r="L11" s="1"/>
      <c r="M11" s="1"/>
      <c r="N11" s="1"/>
      <c r="O11" s="1"/>
      <c r="P11" s="1"/>
      <c r="Q11" s="1"/>
    </row>
    <row r="12" spans="2:17" ht="15">
      <c r="B12" s="1326" t="s">
        <v>81</v>
      </c>
      <c r="C12" s="1326"/>
      <c r="D12" s="1326"/>
      <c r="F12"/>
      <c r="K12" s="1"/>
      <c r="L12" s="1"/>
      <c r="M12" s="1"/>
      <c r="N12" s="1"/>
      <c r="O12" s="1"/>
      <c r="P12" s="1"/>
      <c r="Q12" s="1"/>
    </row>
    <row r="13" spans="2:17" ht="15">
      <c r="B13" s="983" t="s">
        <v>82</v>
      </c>
      <c r="C13" s="983">
        <v>10000</v>
      </c>
      <c r="D13" s="986" t="s">
        <v>556</v>
      </c>
      <c r="K13" s="1"/>
      <c r="L13" s="1"/>
      <c r="M13" s="1"/>
      <c r="N13" s="1"/>
      <c r="O13" s="1"/>
      <c r="P13" s="1"/>
      <c r="Q13" s="1"/>
    </row>
    <row r="14" spans="2:17" ht="15">
      <c r="B14" s="1324" t="s">
        <v>73</v>
      </c>
      <c r="C14" s="1324"/>
      <c r="D14" s="1324"/>
      <c r="K14" s="1"/>
      <c r="L14" s="1"/>
      <c r="M14" s="1"/>
      <c r="N14" s="1"/>
      <c r="O14" s="1"/>
      <c r="P14" s="1"/>
      <c r="Q14" s="1"/>
    </row>
    <row r="15" spans="2:17" ht="15">
      <c r="B15" s="1325" t="s">
        <v>459</v>
      </c>
      <c r="C15" s="1325"/>
      <c r="D15" s="1325"/>
      <c r="K15" s="1"/>
      <c r="L15" s="1"/>
      <c r="M15" s="1"/>
      <c r="N15" s="1"/>
      <c r="O15" s="1"/>
      <c r="P15" s="1"/>
      <c r="Q15" s="1"/>
    </row>
    <row r="16" spans="2:17" ht="15">
      <c r="B16" s="1327" t="s">
        <v>83</v>
      </c>
      <c r="C16" s="1327"/>
      <c r="D16" s="1327"/>
      <c r="K16" s="1"/>
      <c r="L16" s="1"/>
      <c r="M16" s="1"/>
      <c r="N16" s="1"/>
      <c r="O16" s="1"/>
      <c r="P16" s="1"/>
      <c r="Q16" s="1"/>
    </row>
    <row r="17" spans="2:17" ht="15">
      <c r="B17" s="983" t="s">
        <v>84</v>
      </c>
      <c r="C17" s="983">
        <v>1000</v>
      </c>
      <c r="D17" s="983" t="s">
        <v>85</v>
      </c>
      <c r="K17" s="1"/>
      <c r="L17" s="1"/>
      <c r="M17" s="1"/>
      <c r="N17" s="1"/>
      <c r="O17" s="1"/>
      <c r="P17" s="1"/>
      <c r="Q17" s="1"/>
    </row>
    <row r="18" spans="2:17" ht="15">
      <c r="B18" s="983" t="s">
        <v>86</v>
      </c>
      <c r="C18" s="983">
        <v>1000</v>
      </c>
      <c r="D18" s="983" t="s">
        <v>87</v>
      </c>
      <c r="K18" s="1"/>
      <c r="L18" s="1"/>
      <c r="M18" s="1"/>
      <c r="N18" s="1"/>
      <c r="O18" s="1"/>
      <c r="P18" s="1"/>
      <c r="Q18" s="1"/>
    </row>
    <row r="19" spans="2:17" ht="15">
      <c r="B19" s="983" t="s">
        <v>84</v>
      </c>
      <c r="C19" s="983">
        <f>C17*C18</f>
        <v>1000000</v>
      </c>
      <c r="D19" s="983" t="s">
        <v>87</v>
      </c>
      <c r="K19" s="1"/>
      <c r="L19" s="1"/>
      <c r="M19" s="1"/>
      <c r="N19" s="1"/>
      <c r="O19" s="1"/>
      <c r="P19" s="1"/>
      <c r="Q19" s="1"/>
    </row>
    <row r="20" spans="2:17" ht="15">
      <c r="B20" s="984" t="s">
        <v>73</v>
      </c>
      <c r="C20" s="984"/>
      <c r="D20" s="984"/>
      <c r="K20" s="1"/>
      <c r="L20" s="1"/>
      <c r="M20" s="1"/>
      <c r="N20" s="1"/>
      <c r="O20" s="1"/>
      <c r="P20" s="1"/>
      <c r="Q20" s="1"/>
    </row>
    <row r="21" spans="2:17" ht="15">
      <c r="B21" s="1325" t="s">
        <v>459</v>
      </c>
      <c r="C21" s="1325"/>
      <c r="D21" s="1325"/>
      <c r="K21" s="1"/>
      <c r="L21" s="1"/>
      <c r="M21" s="1"/>
      <c r="N21" s="1"/>
      <c r="O21" s="1"/>
      <c r="P21" s="1"/>
      <c r="Q21" s="1"/>
    </row>
    <row r="22" spans="2:17" ht="15">
      <c r="B22" s="1327" t="s">
        <v>88</v>
      </c>
      <c r="C22" s="1327"/>
      <c r="D22" s="1327"/>
      <c r="K22" s="1"/>
      <c r="L22" s="1"/>
      <c r="M22" s="1"/>
      <c r="N22" s="1"/>
      <c r="O22" s="1"/>
      <c r="P22" s="1"/>
      <c r="Q22" s="1"/>
    </row>
    <row r="23" spans="2:17" ht="15">
      <c r="B23" s="983" t="s">
        <v>89</v>
      </c>
      <c r="C23" s="983">
        <f>1/1000</f>
        <v>0.001</v>
      </c>
      <c r="D23" s="983" t="s">
        <v>90</v>
      </c>
      <c r="K23" s="1"/>
      <c r="L23" s="1"/>
      <c r="M23" s="1"/>
      <c r="N23" s="1"/>
      <c r="O23" s="1"/>
      <c r="P23" s="1"/>
      <c r="Q23" s="1"/>
    </row>
    <row r="24" spans="2:17" ht="15">
      <c r="B24" s="1324" t="s">
        <v>73</v>
      </c>
      <c r="C24" s="1324"/>
      <c r="D24" s="1324"/>
      <c r="K24" s="1"/>
      <c r="L24" s="1"/>
      <c r="M24" s="1"/>
      <c r="N24" s="1"/>
      <c r="O24" s="1"/>
      <c r="P24" s="1"/>
      <c r="Q24" s="1"/>
    </row>
    <row r="25" spans="2:17" ht="15">
      <c r="B25" s="1325" t="s">
        <v>460</v>
      </c>
      <c r="C25" s="1325"/>
      <c r="D25" s="1325"/>
      <c r="K25" s="1"/>
      <c r="L25" s="1"/>
      <c r="M25" s="1"/>
      <c r="N25" s="1"/>
      <c r="O25" s="1"/>
      <c r="P25" s="1"/>
      <c r="Q25" s="1"/>
    </row>
    <row r="26" spans="2:17" ht="15">
      <c r="B26" s="985" t="s">
        <v>91</v>
      </c>
      <c r="C26" s="985" t="s">
        <v>92</v>
      </c>
      <c r="D26" s="985" t="s">
        <v>93</v>
      </c>
      <c r="K26" s="1"/>
      <c r="L26" s="1"/>
      <c r="M26" s="1"/>
      <c r="N26" s="1"/>
      <c r="O26" s="1"/>
      <c r="P26" s="1"/>
      <c r="Q26" s="1"/>
    </row>
    <row r="27" spans="2:17" ht="15">
      <c r="B27" s="983" t="s">
        <v>94</v>
      </c>
      <c r="C27" s="983" t="s">
        <v>95</v>
      </c>
      <c r="D27" s="115">
        <f>10^1</f>
        <v>10</v>
      </c>
      <c r="K27" s="1"/>
      <c r="L27" s="1"/>
      <c r="M27" s="1"/>
      <c r="N27" s="1"/>
      <c r="O27" s="1"/>
      <c r="P27" s="1"/>
      <c r="Q27" s="1"/>
    </row>
    <row r="28" spans="2:17" ht="15">
      <c r="B28" s="983" t="s">
        <v>96</v>
      </c>
      <c r="C28" s="983" t="s">
        <v>97</v>
      </c>
      <c r="D28" s="115">
        <f>10^2</f>
        <v>100</v>
      </c>
      <c r="K28" s="1"/>
      <c r="L28" s="1"/>
      <c r="M28" s="1"/>
      <c r="N28" s="1"/>
      <c r="O28" s="1"/>
      <c r="P28" s="1"/>
      <c r="Q28" s="1"/>
    </row>
    <row r="29" spans="2:17" ht="15">
      <c r="B29" s="983" t="s">
        <v>98</v>
      </c>
      <c r="C29" s="983" t="s">
        <v>99</v>
      </c>
      <c r="D29" s="115">
        <f>10^3</f>
        <v>1000</v>
      </c>
      <c r="K29" s="1"/>
      <c r="L29" s="1"/>
      <c r="M29" s="1"/>
      <c r="N29" s="1"/>
      <c r="O29" s="1"/>
      <c r="P29" s="1"/>
      <c r="Q29" s="1"/>
    </row>
    <row r="30" spans="2:17" ht="15">
      <c r="B30" s="983" t="s">
        <v>100</v>
      </c>
      <c r="C30" s="983" t="s">
        <v>18</v>
      </c>
      <c r="D30" s="115">
        <f>10^6</f>
        <v>1000000</v>
      </c>
      <c r="K30" s="1"/>
      <c r="L30" s="1"/>
      <c r="M30" s="1"/>
      <c r="N30" s="1"/>
      <c r="O30" s="1"/>
      <c r="P30" s="1"/>
      <c r="Q30" s="1"/>
    </row>
    <row r="31" spans="2:17" ht="15">
      <c r="B31" s="983" t="s">
        <v>101</v>
      </c>
      <c r="C31" s="983" t="s">
        <v>102</v>
      </c>
      <c r="D31" s="115">
        <f>10^9</f>
        <v>1000000000</v>
      </c>
      <c r="E31" s="267"/>
      <c r="K31" s="1"/>
      <c r="L31" s="1"/>
      <c r="M31" s="1"/>
      <c r="N31" s="1"/>
      <c r="O31" s="1"/>
      <c r="P31" s="1"/>
      <c r="Q31" s="1"/>
    </row>
    <row r="32" spans="2:17" ht="15">
      <c r="B32" s="983" t="s">
        <v>103</v>
      </c>
      <c r="C32" s="983" t="s">
        <v>1</v>
      </c>
      <c r="D32" s="115">
        <f>10^12</f>
        <v>1000000000000</v>
      </c>
      <c r="K32" s="1"/>
      <c r="L32" s="1"/>
      <c r="M32" s="1"/>
      <c r="N32" s="1"/>
      <c r="O32" s="1"/>
      <c r="P32" s="1"/>
      <c r="Q32" s="1"/>
    </row>
    <row r="33" spans="2:17" ht="15">
      <c r="B33" s="1324" t="s">
        <v>73</v>
      </c>
      <c r="C33" s="1324"/>
      <c r="D33" s="1324"/>
      <c r="K33" s="1"/>
      <c r="L33" s="1"/>
      <c r="M33" s="1"/>
      <c r="N33" s="1"/>
      <c r="O33" s="1"/>
      <c r="P33" s="1"/>
      <c r="Q33" s="1"/>
    </row>
    <row r="34" spans="2:17" ht="15">
      <c r="B34" s="1325" t="s">
        <v>459</v>
      </c>
      <c r="C34" s="1325"/>
      <c r="D34" s="1325"/>
      <c r="K34" s="1"/>
      <c r="L34" s="1"/>
      <c r="M34" s="1"/>
      <c r="N34" s="1"/>
      <c r="O34" s="1"/>
      <c r="P34" s="1"/>
      <c r="Q34" s="1"/>
    </row>
    <row r="35" spans="11:17" ht="15">
      <c r="K35" s="1"/>
      <c r="L35" s="1"/>
      <c r="M35" s="1"/>
      <c r="N35" s="1"/>
      <c r="O35" s="1"/>
      <c r="P35" s="1"/>
      <c r="Q35" s="1"/>
    </row>
    <row r="36" spans="2:5" ht="12.75">
      <c r="B36" s="120"/>
      <c r="C36" s="120"/>
      <c r="D36" s="64"/>
      <c r="E36" s="116"/>
    </row>
    <row r="37" spans="11:17" ht="12.75">
      <c r="K37" s="1"/>
      <c r="L37" s="1"/>
      <c r="M37" s="1"/>
      <c r="N37" s="1"/>
      <c r="O37" s="1"/>
      <c r="P37" s="1"/>
      <c r="Q37" s="1"/>
    </row>
    <row r="38" spans="11:17" ht="15">
      <c r="K38" s="1"/>
      <c r="L38" s="1"/>
      <c r="M38" s="1"/>
      <c r="N38" s="1"/>
      <c r="O38" s="1"/>
      <c r="P38" s="1"/>
      <c r="Q38" s="1"/>
    </row>
    <row r="143" spans="2:7" ht="15">
      <c r="B143"/>
      <c r="C143"/>
      <c r="D143"/>
      <c r="E143"/>
      <c r="F143"/>
      <c r="G143"/>
    </row>
    <row r="144" spans="2:17" ht="15">
      <c r="B144"/>
      <c r="C144"/>
      <c r="D144"/>
      <c r="E144"/>
      <c r="F144"/>
      <c r="G144"/>
      <c r="H144"/>
      <c r="I144"/>
      <c r="J144"/>
      <c r="P144" s="1"/>
      <c r="Q144" s="1"/>
    </row>
    <row r="154" spans="16:17" ht="15">
      <c r="P154" s="1"/>
      <c r="Q154" s="1"/>
    </row>
    <row r="187" spans="2:7" s="3" customFormat="1" ht="12.75">
      <c r="B187" s="112"/>
      <c r="C187" s="112"/>
      <c r="D187" s="112"/>
      <c r="E187" s="112"/>
      <c r="F187" s="112"/>
      <c r="G187" s="112"/>
    </row>
  </sheetData>
  <mergeCells count="13">
    <mergeCell ref="B34:D34"/>
    <mergeCell ref="B12:D12"/>
    <mergeCell ref="B16:D16"/>
    <mergeCell ref="B22:D22"/>
    <mergeCell ref="B14:D14"/>
    <mergeCell ref="B15:D15"/>
    <mergeCell ref="B21:D21"/>
    <mergeCell ref="B5:D5"/>
    <mergeCell ref="B8:D8"/>
    <mergeCell ref="B6:D6"/>
    <mergeCell ref="B24:D24"/>
    <mergeCell ref="B33:D33"/>
    <mergeCell ref="B25:D25"/>
  </mergeCells>
  <printOptions/>
  <pageMargins left="0.7" right="0.7" top="0.75" bottom="0.75" header="0.3" footer="0.3"/>
  <pageSetup horizontalDpi="300" verticalDpi="300" orientation="portrait" r:id="rId2"/>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5A7F2B"/>
  </sheetPr>
  <dimension ref="B2:X162"/>
  <sheetViews>
    <sheetView workbookViewId="0" topLeftCell="A148">
      <selection activeCell="C157" sqref="C157"/>
    </sheetView>
  </sheetViews>
  <sheetFormatPr defaultColWidth="11.421875" defaultRowHeight="15"/>
  <cols>
    <col min="1" max="1" width="2.421875" style="1" customWidth="1"/>
    <col min="2" max="3" width="24.7109375" style="53" customWidth="1"/>
    <col min="4" max="4" width="22.421875" style="53" customWidth="1"/>
    <col min="5" max="5" width="20.8515625" style="53" customWidth="1"/>
    <col min="6" max="6" width="18.8515625" style="53" customWidth="1"/>
    <col min="7" max="7" width="17.00390625" style="53" customWidth="1"/>
    <col min="8" max="9" width="15.140625" style="1" customWidth="1"/>
    <col min="10" max="10" width="15.421875" style="1" customWidth="1"/>
    <col min="11" max="11" width="15.57421875" style="1" customWidth="1"/>
    <col min="12" max="22" width="15.140625" style="1" customWidth="1"/>
    <col min="23" max="16384" width="11.421875" style="1" customWidth="1"/>
  </cols>
  <sheetData>
    <row r="1" ht="12.75"/>
    <row r="2" spans="2:12" ht="15">
      <c r="B2" s="386" t="s">
        <v>1036</v>
      </c>
      <c r="C2" s="387"/>
      <c r="D2" s="387"/>
      <c r="E2" s="387"/>
      <c r="F2" s="387"/>
      <c r="G2" s="387"/>
      <c r="H2" s="387"/>
      <c r="I2" s="387"/>
      <c r="J2" s="387"/>
      <c r="L2"/>
    </row>
    <row r="3" ht="15">
      <c r="G3" s="1"/>
    </row>
    <row r="4" spans="2:10" ht="15">
      <c r="B4" s="388" t="s">
        <v>153</v>
      </c>
      <c r="C4" s="332"/>
      <c r="D4" s="332"/>
      <c r="E4" s="332"/>
      <c r="F4" s="332"/>
      <c r="G4" s="332"/>
      <c r="H4" s="398"/>
      <c r="I4" s="398"/>
      <c r="J4" s="398"/>
    </row>
    <row r="5" ht="15">
      <c r="B5" s="113"/>
    </row>
    <row r="6" spans="2:6" ht="28.5">
      <c r="B6" s="97" t="s">
        <v>117</v>
      </c>
      <c r="C6" s="291" t="s">
        <v>1098</v>
      </c>
      <c r="D6" s="1326" t="s">
        <v>132</v>
      </c>
      <c r="E6" s="1326"/>
      <c r="F6" s="1"/>
    </row>
    <row r="7" spans="2:5" ht="23.25" customHeight="1">
      <c r="B7" s="988" t="s">
        <v>118</v>
      </c>
      <c r="C7" s="990">
        <v>87</v>
      </c>
      <c r="D7" s="1328" t="s">
        <v>1677</v>
      </c>
      <c r="E7" s="1329"/>
    </row>
    <row r="8" spans="2:5" ht="29.25" customHeight="1">
      <c r="B8" s="988" t="s">
        <v>375</v>
      </c>
      <c r="C8" s="418">
        <v>56</v>
      </c>
      <c r="D8" s="1328" t="s">
        <v>1502</v>
      </c>
      <c r="E8" s="1329"/>
    </row>
    <row r="9" spans="2:5" ht="12.75">
      <c r="B9" s="989" t="s">
        <v>40</v>
      </c>
      <c r="C9" s="1106">
        <v>5</v>
      </c>
      <c r="D9" s="1366" t="s">
        <v>1503</v>
      </c>
      <c r="E9" s="1367"/>
    </row>
    <row r="10" spans="2:5" ht="12.75">
      <c r="B10" s="989" t="s">
        <v>39</v>
      </c>
      <c r="C10" s="991">
        <v>5</v>
      </c>
      <c r="D10" s="1366"/>
      <c r="E10" s="1367"/>
    </row>
    <row r="11" spans="2:5" ht="12.75">
      <c r="B11" s="989" t="s">
        <v>66</v>
      </c>
      <c r="C11" s="991">
        <v>18</v>
      </c>
      <c r="D11" s="1366"/>
      <c r="E11" s="1367"/>
    </row>
    <row r="12" spans="2:5" ht="12.75">
      <c r="B12" s="989" t="s">
        <v>109</v>
      </c>
      <c r="C12" s="991">
        <v>10</v>
      </c>
      <c r="D12" s="1366"/>
      <c r="E12" s="1367"/>
    </row>
    <row r="13" spans="2:5" ht="12.75">
      <c r="B13" s="989" t="s">
        <v>41</v>
      </c>
      <c r="C13" s="991">
        <v>1</v>
      </c>
      <c r="D13" s="1366"/>
      <c r="E13" s="1367"/>
    </row>
    <row r="14" spans="2:5" ht="12.75">
      <c r="B14" s="989" t="s">
        <v>37</v>
      </c>
      <c r="C14" s="991">
        <v>8</v>
      </c>
      <c r="D14" s="1368"/>
      <c r="E14" s="1369"/>
    </row>
    <row r="15" spans="2:5" ht="25.5" customHeight="1">
      <c r="B15" s="989" t="s">
        <v>38</v>
      </c>
      <c r="C15" s="991">
        <v>8</v>
      </c>
      <c r="D15" s="1356" t="s">
        <v>1504</v>
      </c>
      <c r="E15" s="1357"/>
    </row>
    <row r="16" spans="2:5" ht="25.5" customHeight="1">
      <c r="B16" s="989" t="s">
        <v>68</v>
      </c>
      <c r="C16" s="991">
        <f>(POWER('3A1_3A2 FE'!C144,0.75)/POWER('3A1_3A2 FE'!C145,0.75))*'3A1_3A2 FE'!C17</f>
        <v>0.042624143937572384</v>
      </c>
      <c r="D16" s="1356" t="s">
        <v>1505</v>
      </c>
      <c r="E16" s="1357"/>
    </row>
    <row r="17" spans="2:5" ht="23.25" customHeight="1">
      <c r="B17" s="988" t="s">
        <v>130</v>
      </c>
      <c r="C17" s="990">
        <v>0.08</v>
      </c>
      <c r="D17" s="1328" t="s">
        <v>1506</v>
      </c>
      <c r="E17" s="1329"/>
    </row>
    <row r="18" spans="2:5" ht="12.75" customHeight="1">
      <c r="B18" s="401"/>
      <c r="C18" s="402"/>
      <c r="D18" s="403"/>
      <c r="E18" s="403"/>
    </row>
    <row r="19" spans="2:10" ht="15">
      <c r="B19" s="404" t="s">
        <v>1112</v>
      </c>
      <c r="C19" s="404"/>
      <c r="D19" s="404"/>
      <c r="E19" s="404"/>
      <c r="F19" s="332"/>
      <c r="G19" s="332"/>
      <c r="H19" s="332"/>
      <c r="I19" s="332"/>
      <c r="J19" s="332"/>
    </row>
    <row r="20" ht="15"/>
    <row r="21" spans="2:10" ht="89.25">
      <c r="B21" s="1359" t="s">
        <v>368</v>
      </c>
      <c r="C21" s="1360"/>
      <c r="D21" s="323" t="s">
        <v>1037</v>
      </c>
      <c r="E21" s="322" t="s">
        <v>1537</v>
      </c>
      <c r="F21" s="323" t="s">
        <v>1113</v>
      </c>
      <c r="G21" s="323" t="s">
        <v>1038</v>
      </c>
      <c r="H21" s="323" t="s">
        <v>132</v>
      </c>
      <c r="I21" s="53"/>
      <c r="J21" s="53"/>
    </row>
    <row r="22" spans="2:10" ht="15">
      <c r="B22" s="1274" t="s">
        <v>369</v>
      </c>
      <c r="C22" s="1350"/>
      <c r="D22" s="355">
        <v>520</v>
      </c>
      <c r="E22" s="319">
        <f>+D22*C34</f>
        <v>520</v>
      </c>
      <c r="F22" s="121">
        <v>65.23273125</v>
      </c>
      <c r="G22" s="400"/>
      <c r="H22" s="1349" t="s">
        <v>1114</v>
      </c>
      <c r="I22" s="53"/>
      <c r="J22" s="53"/>
    </row>
    <row r="23" spans="2:10" ht="15">
      <c r="B23" s="1274" t="s">
        <v>365</v>
      </c>
      <c r="C23" s="1350"/>
      <c r="D23" s="355">
        <v>431.50694444444446</v>
      </c>
      <c r="E23" s="319">
        <f>+D23*C34</f>
        <v>431.50694444444446</v>
      </c>
      <c r="F23" s="140">
        <v>59.8</v>
      </c>
      <c r="G23" s="400"/>
      <c r="H23" s="1349"/>
      <c r="I23" s="53"/>
      <c r="J23" s="53"/>
    </row>
    <row r="24" spans="2:10" ht="15">
      <c r="B24" s="1274" t="s">
        <v>366</v>
      </c>
      <c r="C24" s="1350"/>
      <c r="D24" s="355">
        <v>472.44791666666674</v>
      </c>
      <c r="E24" s="319">
        <f>+D24*C33</f>
        <v>401.58072916666674</v>
      </c>
      <c r="F24" s="140">
        <v>53.72</v>
      </c>
      <c r="G24" s="400"/>
      <c r="H24" s="1349"/>
      <c r="I24" s="53"/>
      <c r="J24" s="53"/>
    </row>
    <row r="25" spans="2:10" ht="15">
      <c r="B25" s="1274" t="s">
        <v>457</v>
      </c>
      <c r="C25" s="1350"/>
      <c r="D25" s="355">
        <v>300</v>
      </c>
      <c r="E25" s="319">
        <f>C34*D22</f>
        <v>520</v>
      </c>
      <c r="F25" s="140">
        <v>56</v>
      </c>
      <c r="G25" s="121">
        <v>0.4</v>
      </c>
      <c r="H25" s="1349"/>
      <c r="I25" s="53"/>
      <c r="J25" s="53"/>
    </row>
    <row r="26" spans="2:10" ht="15">
      <c r="B26" s="1274" t="s">
        <v>458</v>
      </c>
      <c r="C26" s="1350"/>
      <c r="D26" s="355">
        <v>300</v>
      </c>
      <c r="E26" s="319">
        <f>+D23*C34</f>
        <v>431.50694444444446</v>
      </c>
      <c r="F26" s="140">
        <v>53.72</v>
      </c>
      <c r="G26" s="121">
        <v>0.4</v>
      </c>
      <c r="H26" s="1349"/>
      <c r="I26" s="53"/>
      <c r="J26" s="53"/>
    </row>
    <row r="27" spans="2:10" ht="15">
      <c r="B27" s="1274" t="s">
        <v>367</v>
      </c>
      <c r="C27" s="1350"/>
      <c r="D27" s="355">
        <v>300</v>
      </c>
      <c r="E27" s="319">
        <f>+D24*C33</f>
        <v>401.58072916666674</v>
      </c>
      <c r="F27" s="140">
        <v>53.72</v>
      </c>
      <c r="G27" s="121">
        <v>0.4</v>
      </c>
      <c r="H27" s="1349"/>
      <c r="I27" s="53"/>
      <c r="J27" s="53"/>
    </row>
    <row r="28" spans="2:10" ht="15">
      <c r="B28" s="1274" t="s">
        <v>735</v>
      </c>
      <c r="C28" s="1350"/>
      <c r="D28" s="355">
        <v>80</v>
      </c>
      <c r="E28" s="319">
        <f>+(D24*C33+D23*C34)/2</f>
        <v>416.5438368055556</v>
      </c>
      <c r="F28" s="140">
        <v>63.25</v>
      </c>
      <c r="G28" s="121">
        <v>0.5</v>
      </c>
      <c r="H28" s="1349"/>
      <c r="I28" s="53"/>
      <c r="J28" s="53"/>
    </row>
    <row r="29" spans="2:5" ht="12.75" customHeight="1">
      <c r="B29" s="401"/>
      <c r="C29" s="402"/>
      <c r="D29" s="403"/>
      <c r="E29" s="403"/>
    </row>
    <row r="30" spans="2:10" ht="15">
      <c r="B30" s="404" t="s">
        <v>785</v>
      </c>
      <c r="C30" s="404"/>
      <c r="D30" s="404"/>
      <c r="E30" s="332"/>
      <c r="F30" s="332"/>
      <c r="G30" s="332"/>
      <c r="H30" s="332"/>
      <c r="I30" s="332"/>
      <c r="J30" s="332"/>
    </row>
    <row r="31" spans="2:10" ht="15">
      <c r="B31" s="80"/>
      <c r="C31" s="80"/>
      <c r="D31" s="80"/>
      <c r="E31" s="53"/>
      <c r="F31" s="53"/>
      <c r="G31" s="53"/>
      <c r="H31" s="53"/>
      <c r="I31" s="53"/>
      <c r="J31" s="53"/>
    </row>
    <row r="32" spans="2:10" ht="15">
      <c r="B32" s="291" t="s">
        <v>258</v>
      </c>
      <c r="C32" s="291" t="s">
        <v>696</v>
      </c>
      <c r="D32" s="1224" t="s">
        <v>132</v>
      </c>
      <c r="E32" s="1224"/>
      <c r="G32" s="53"/>
      <c r="H32" s="53"/>
      <c r="I32" s="53"/>
      <c r="J32" s="53"/>
    </row>
    <row r="33" spans="2:10" ht="15">
      <c r="B33" s="119" t="s">
        <v>685</v>
      </c>
      <c r="C33" s="118">
        <v>0.85</v>
      </c>
      <c r="D33" s="1361" t="s">
        <v>1004</v>
      </c>
      <c r="E33" s="1361"/>
      <c r="F33" s="53"/>
      <c r="G33" s="53"/>
      <c r="H33" s="53"/>
      <c r="I33" s="53"/>
      <c r="J33" s="53"/>
    </row>
    <row r="34" spans="2:10" ht="15">
      <c r="B34" s="119" t="s">
        <v>686</v>
      </c>
      <c r="C34" s="118">
        <v>1</v>
      </c>
      <c r="D34" s="1361"/>
      <c r="E34" s="1361"/>
      <c r="F34" s="53"/>
      <c r="G34" s="53"/>
      <c r="H34" s="53"/>
      <c r="I34" s="53"/>
      <c r="J34" s="53"/>
    </row>
    <row r="35" spans="2:10" ht="15">
      <c r="B35" s="53"/>
      <c r="C35" s="53"/>
      <c r="D35" s="53"/>
      <c r="E35" s="53"/>
      <c r="F35" s="53"/>
      <c r="G35" s="53"/>
      <c r="H35" s="53"/>
      <c r="I35" s="53"/>
      <c r="J35" s="53"/>
    </row>
    <row r="36" spans="2:10" ht="15">
      <c r="B36" s="404" t="s">
        <v>372</v>
      </c>
      <c r="C36" s="404"/>
      <c r="D36" s="404"/>
      <c r="E36" s="332"/>
      <c r="F36" s="332"/>
      <c r="G36" s="332"/>
      <c r="H36" s="332"/>
      <c r="I36" s="332"/>
      <c r="J36" s="332"/>
    </row>
    <row r="37" ht="15"/>
    <row r="38" spans="2:10" ht="15">
      <c r="B38" s="1188" t="s">
        <v>368</v>
      </c>
      <c r="C38" s="1188"/>
      <c r="D38" s="274" t="s">
        <v>347</v>
      </c>
      <c r="E38" s="1188" t="s">
        <v>132</v>
      </c>
      <c r="F38" s="1188"/>
      <c r="H38" s="1"/>
      <c r="I38" s="1"/>
      <c r="J38" s="1"/>
    </row>
    <row r="39" spans="2:10" ht="26.25" customHeight="1">
      <c r="B39" s="1176" t="s">
        <v>369</v>
      </c>
      <c r="C39" s="1176"/>
      <c r="D39" s="342">
        <v>3.34</v>
      </c>
      <c r="E39" s="1185" t="s">
        <v>446</v>
      </c>
      <c r="F39" s="1185"/>
      <c r="G39" s="53"/>
      <c r="H39" s="1"/>
      <c r="I39" s="1"/>
      <c r="J39" s="1"/>
    </row>
    <row r="40" spans="2:10" ht="15">
      <c r="B40" s="1185" t="s">
        <v>375</v>
      </c>
      <c r="C40" s="1185"/>
      <c r="D40" s="405">
        <v>4.08125</v>
      </c>
      <c r="E40" s="1351" t="s">
        <v>718</v>
      </c>
      <c r="F40" s="1351"/>
      <c r="G40" s="53"/>
      <c r="H40" s="1"/>
      <c r="I40" s="1"/>
      <c r="J40" s="1"/>
    </row>
    <row r="41" spans="2:10" ht="15">
      <c r="B41" s="53"/>
      <c r="C41" s="59"/>
      <c r="D41" s="53"/>
      <c r="E41" s="53"/>
      <c r="F41" s="53"/>
      <c r="G41" s="53"/>
      <c r="H41" s="53"/>
      <c r="I41" s="53"/>
      <c r="J41" s="53"/>
    </row>
    <row r="42" spans="2:10" ht="15">
      <c r="B42" s="404" t="s">
        <v>373</v>
      </c>
      <c r="C42" s="388"/>
      <c r="D42" s="404"/>
      <c r="E42" s="332"/>
      <c r="F42" s="332"/>
      <c r="G42" s="332"/>
      <c r="H42" s="332"/>
      <c r="I42" s="332"/>
      <c r="J42" s="332"/>
    </row>
    <row r="43" ht="15">
      <c r="C43" s="264"/>
    </row>
    <row r="44" spans="2:10" ht="15">
      <c r="B44" s="274" t="s">
        <v>368</v>
      </c>
      <c r="C44" s="299" t="s">
        <v>78</v>
      </c>
      <c r="D44" s="1188" t="s">
        <v>132</v>
      </c>
      <c r="E44" s="1188"/>
      <c r="F44" s="53"/>
      <c r="G44" s="53"/>
      <c r="H44" s="53"/>
      <c r="I44" s="53"/>
      <c r="J44" s="53"/>
    </row>
    <row r="45" spans="2:10" ht="31.5" customHeight="1">
      <c r="B45" s="225" t="s">
        <v>369</v>
      </c>
      <c r="C45" s="1033">
        <f>+'IP 3A1_3A2_3C6'!F78</f>
        <v>6.176273728773975</v>
      </c>
      <c r="D45" s="1370" t="s">
        <v>1500</v>
      </c>
      <c r="E45" s="1370"/>
      <c r="F45" s="53"/>
      <c r="H45" s="53"/>
      <c r="I45" s="53"/>
      <c r="J45" s="53"/>
    </row>
    <row r="46" spans="2:10" ht="25.5">
      <c r="B46" s="226" t="s">
        <v>365</v>
      </c>
      <c r="C46" s="1033">
        <v>2.35</v>
      </c>
      <c r="D46" s="1370" t="s">
        <v>718</v>
      </c>
      <c r="E46" s="1370"/>
      <c r="F46" s="53"/>
      <c r="G46" s="53"/>
      <c r="H46" s="53"/>
      <c r="I46" s="53"/>
      <c r="J46" s="53"/>
    </row>
    <row r="47" spans="2:10" ht="15">
      <c r="B47" s="53"/>
      <c r="C47" s="53"/>
      <c r="D47" s="53"/>
      <c r="E47" s="53"/>
      <c r="F47" s="53"/>
      <c r="G47" s="53"/>
      <c r="H47" s="53"/>
      <c r="I47" s="53"/>
      <c r="J47" s="53"/>
    </row>
    <row r="48" spans="2:10" ht="15">
      <c r="B48" s="404" t="s">
        <v>1558</v>
      </c>
      <c r="C48" s="404"/>
      <c r="D48" s="404"/>
      <c r="E48" s="332"/>
      <c r="F48" s="332"/>
      <c r="G48" s="332"/>
      <c r="H48" s="332"/>
      <c r="I48" s="332"/>
      <c r="J48" s="332"/>
    </row>
    <row r="49" ht="15"/>
    <row r="50" spans="2:10" ht="15">
      <c r="B50" s="1188" t="s">
        <v>368</v>
      </c>
      <c r="C50" s="1188"/>
      <c r="D50" s="274" t="s">
        <v>347</v>
      </c>
      <c r="E50" s="1188" t="s">
        <v>132</v>
      </c>
      <c r="F50" s="1188"/>
      <c r="G50" s="53"/>
      <c r="H50" s="53"/>
      <c r="I50" s="53"/>
      <c r="J50" s="53"/>
    </row>
    <row r="51" spans="2:10" ht="15">
      <c r="B51" s="1185" t="s">
        <v>369</v>
      </c>
      <c r="C51" s="1185"/>
      <c r="D51" s="290">
        <v>0.5888</v>
      </c>
      <c r="E51" s="1351" t="s">
        <v>1005</v>
      </c>
      <c r="F51" s="1351"/>
      <c r="G51" s="53"/>
      <c r="H51" s="53"/>
      <c r="I51" s="53"/>
      <c r="J51" s="53"/>
    </row>
    <row r="52" spans="2:10" ht="15">
      <c r="B52" s="1352" t="s">
        <v>370</v>
      </c>
      <c r="C52" s="1352"/>
      <c r="D52" s="290">
        <v>0.551</v>
      </c>
      <c r="E52" s="1351"/>
      <c r="F52" s="1351"/>
      <c r="G52" s="53"/>
      <c r="H52" s="53"/>
      <c r="I52" s="53"/>
      <c r="J52" s="53"/>
    </row>
    <row r="53" spans="2:10" ht="15">
      <c r="B53" s="53"/>
      <c r="C53" s="53"/>
      <c r="D53" s="53"/>
      <c r="E53" s="53"/>
      <c r="F53" s="53"/>
      <c r="G53" s="53"/>
      <c r="H53" s="53"/>
      <c r="I53" s="53"/>
      <c r="J53" s="53"/>
    </row>
    <row r="54" spans="2:10" ht="15">
      <c r="B54" s="404" t="s">
        <v>374</v>
      </c>
      <c r="C54" s="404"/>
      <c r="D54" s="404"/>
      <c r="E54" s="332"/>
      <c r="F54" s="332"/>
      <c r="G54" s="332"/>
      <c r="H54" s="332"/>
      <c r="I54" s="332"/>
      <c r="J54" s="332"/>
    </row>
    <row r="55" ht="15"/>
    <row r="56" spans="2:10" ht="15">
      <c r="B56" s="274" t="s">
        <v>368</v>
      </c>
      <c r="C56" s="274" t="s">
        <v>1557</v>
      </c>
      <c r="D56" s="1188" t="s">
        <v>132</v>
      </c>
      <c r="E56" s="1188"/>
      <c r="F56" s="1188"/>
      <c r="G56" s="53"/>
      <c r="H56" s="53"/>
      <c r="I56" s="53"/>
      <c r="J56" s="53"/>
    </row>
    <row r="57" spans="2:10" ht="87.75" customHeight="1">
      <c r="B57" s="226" t="s">
        <v>145</v>
      </c>
      <c r="C57" s="987">
        <f>(7.7+8.4+7.4+8)/4</f>
        <v>7.875</v>
      </c>
      <c r="D57" s="1351" t="s">
        <v>1169</v>
      </c>
      <c r="E57" s="1351"/>
      <c r="F57" s="1351"/>
      <c r="G57" s="53"/>
      <c r="H57" s="53"/>
      <c r="I57" s="53"/>
      <c r="J57" s="53"/>
    </row>
    <row r="58" spans="2:10" ht="25.5" customHeight="1">
      <c r="B58" s="226" t="s">
        <v>375</v>
      </c>
      <c r="C58" s="987">
        <v>7</v>
      </c>
      <c r="D58" s="1351" t="s">
        <v>1507</v>
      </c>
      <c r="E58" s="1351"/>
      <c r="F58" s="1351"/>
      <c r="G58" s="53"/>
      <c r="H58" s="53"/>
      <c r="I58" s="53"/>
      <c r="J58" s="53"/>
    </row>
    <row r="59" spans="2:10" ht="25.5" customHeight="1">
      <c r="B59" s="1353" t="s">
        <v>1556</v>
      </c>
      <c r="C59" s="1353"/>
      <c r="D59" s="1353"/>
      <c r="E59" s="1353"/>
      <c r="F59" s="1353"/>
      <c r="G59" s="53"/>
      <c r="H59" s="53"/>
      <c r="I59" s="53"/>
      <c r="J59" s="53"/>
    </row>
    <row r="60" spans="2:10" ht="15">
      <c r="B60" s="1354" t="s">
        <v>1555</v>
      </c>
      <c r="C60" s="1354"/>
      <c r="D60" s="1354"/>
      <c r="E60" s="1354"/>
      <c r="F60" s="1354"/>
      <c r="G60" s="53"/>
      <c r="H60" s="53"/>
      <c r="I60" s="53"/>
      <c r="J60" s="53"/>
    </row>
    <row r="61" spans="2:10" ht="15">
      <c r="B61" s="53"/>
      <c r="C61" s="53"/>
      <c r="D61" s="53"/>
      <c r="E61" s="53"/>
      <c r="F61" s="53"/>
      <c r="G61" s="53"/>
      <c r="H61" s="53"/>
      <c r="I61" s="53"/>
      <c r="J61" s="53"/>
    </row>
    <row r="62" spans="2:10" ht="15">
      <c r="B62" s="404" t="s">
        <v>1539</v>
      </c>
      <c r="C62" s="404"/>
      <c r="D62" s="404"/>
      <c r="E62" s="332"/>
      <c r="F62" s="332"/>
      <c r="G62" s="332"/>
      <c r="H62" s="332"/>
      <c r="I62" s="332"/>
      <c r="J62" s="332"/>
    </row>
    <row r="63" ht="15"/>
    <row r="64" spans="2:10" ht="15">
      <c r="B64" s="1355" t="s">
        <v>1541</v>
      </c>
      <c r="C64" s="1355"/>
      <c r="D64" s="1028" t="s">
        <v>371</v>
      </c>
      <c r="E64" s="1028" t="s">
        <v>132</v>
      </c>
      <c r="F64" s="53"/>
      <c r="G64" s="53"/>
      <c r="H64" s="53"/>
      <c r="I64" s="53"/>
      <c r="J64" s="53"/>
    </row>
    <row r="65" spans="2:10" ht="15">
      <c r="B65" s="1362" t="s">
        <v>1542</v>
      </c>
      <c r="C65" s="1185"/>
      <c r="D65" s="1030">
        <v>0.322</v>
      </c>
      <c r="E65" s="1363" t="s">
        <v>1540</v>
      </c>
      <c r="F65" s="53"/>
      <c r="G65" s="53"/>
      <c r="H65" s="53"/>
      <c r="I65" s="53"/>
      <c r="J65" s="53"/>
    </row>
    <row r="66" spans="2:10" ht="15">
      <c r="B66" s="1362" t="s">
        <v>1543</v>
      </c>
      <c r="C66" s="1185"/>
      <c r="D66" s="1030">
        <v>0.386</v>
      </c>
      <c r="E66" s="1364"/>
      <c r="F66" s="53"/>
      <c r="G66" s="53"/>
      <c r="H66" s="53"/>
      <c r="I66" s="53"/>
      <c r="J66" s="53"/>
    </row>
    <row r="67" spans="2:10" ht="15">
      <c r="B67" s="1362" t="s">
        <v>1544</v>
      </c>
      <c r="C67" s="1362"/>
      <c r="D67" s="1030">
        <v>0.37</v>
      </c>
      <c r="E67" s="1365"/>
      <c r="F67" s="53"/>
      <c r="G67" s="53"/>
      <c r="H67" s="53"/>
      <c r="I67" s="53"/>
      <c r="J67" s="53"/>
    </row>
    <row r="68" spans="2:10" ht="15">
      <c r="B68" s="53"/>
      <c r="C68" s="53"/>
      <c r="D68" s="53"/>
      <c r="E68" s="53"/>
      <c r="F68" s="53"/>
      <c r="G68" s="53"/>
      <c r="H68" s="53"/>
      <c r="I68" s="53"/>
      <c r="J68" s="53"/>
    </row>
    <row r="69" spans="2:10" ht="15">
      <c r="B69" s="404" t="s">
        <v>1546</v>
      </c>
      <c r="C69" s="404"/>
      <c r="D69" s="404"/>
      <c r="E69" s="332"/>
      <c r="F69" s="332"/>
      <c r="G69" s="332"/>
      <c r="H69" s="332"/>
      <c r="I69" s="332"/>
      <c r="J69" s="332"/>
    </row>
    <row r="70" spans="2:10" ht="15">
      <c r="B70" s="53"/>
      <c r="C70" s="53"/>
      <c r="D70" s="53"/>
      <c r="E70" s="53"/>
      <c r="F70" s="53"/>
      <c r="G70" s="53"/>
      <c r="H70" s="53"/>
      <c r="I70" s="53"/>
      <c r="J70" s="53"/>
    </row>
    <row r="71" spans="2:10" ht="15">
      <c r="B71" s="1355" t="s">
        <v>1541</v>
      </c>
      <c r="C71" s="1355"/>
      <c r="D71" s="1028" t="s">
        <v>1547</v>
      </c>
      <c r="E71" s="1028" t="s">
        <v>132</v>
      </c>
      <c r="F71" s="53"/>
      <c r="G71" s="53"/>
      <c r="H71" s="53"/>
      <c r="I71" s="53"/>
      <c r="J71" s="53"/>
    </row>
    <row r="72" spans="2:5" ht="15">
      <c r="B72" s="1362" t="s">
        <v>1548</v>
      </c>
      <c r="C72" s="1185"/>
      <c r="D72" s="407">
        <v>0.36</v>
      </c>
      <c r="E72" s="1363" t="s">
        <v>1552</v>
      </c>
    </row>
    <row r="73" spans="2:5" ht="15">
      <c r="B73" s="1362" t="s">
        <v>1549</v>
      </c>
      <c r="C73" s="1185"/>
      <c r="D73" s="407">
        <v>0.17</v>
      </c>
      <c r="E73" s="1364"/>
    </row>
    <row r="74" spans="2:5" ht="15">
      <c r="B74" s="1362" t="s">
        <v>1550</v>
      </c>
      <c r="C74" s="1185"/>
      <c r="D74" s="407">
        <v>0</v>
      </c>
      <c r="E74" s="1365"/>
    </row>
    <row r="75" spans="2:5" ht="15">
      <c r="B75" s="1"/>
      <c r="C75" s="1"/>
      <c r="D75" s="1"/>
      <c r="E75" s="1"/>
    </row>
    <row r="76" spans="2:10" ht="15">
      <c r="B76" s="404" t="s">
        <v>1551</v>
      </c>
      <c r="C76" s="404"/>
      <c r="D76" s="404"/>
      <c r="E76" s="332"/>
      <c r="F76" s="332"/>
      <c r="G76" s="332"/>
      <c r="H76" s="332"/>
      <c r="I76" s="332"/>
      <c r="J76" s="332"/>
    </row>
    <row r="77" spans="2:10" ht="15">
      <c r="B77" s="53"/>
      <c r="C77" s="53"/>
      <c r="D77" s="53"/>
      <c r="E77" s="53"/>
      <c r="F77" s="53"/>
      <c r="G77" s="53"/>
      <c r="H77" s="53"/>
      <c r="I77" s="53"/>
      <c r="J77" s="53"/>
    </row>
    <row r="78" spans="2:10" ht="15">
      <c r="B78" s="1355" t="s">
        <v>1118</v>
      </c>
      <c r="C78" s="1355"/>
      <c r="D78" s="1355"/>
      <c r="E78" s="1028" t="s">
        <v>132</v>
      </c>
      <c r="F78" s="53"/>
      <c r="G78" s="53"/>
      <c r="H78" s="53"/>
      <c r="I78" s="53"/>
      <c r="J78" s="53"/>
    </row>
    <row r="79" spans="2:10" s="2" customFormat="1" ht="15">
      <c r="B79" s="1176" t="s">
        <v>557</v>
      </c>
      <c r="C79" s="1176"/>
      <c r="D79" s="1029">
        <v>1.2</v>
      </c>
      <c r="E79" s="1176" t="s">
        <v>1538</v>
      </c>
      <c r="F79" s="70"/>
      <c r="G79" s="70"/>
      <c r="H79" s="70"/>
      <c r="I79" s="70"/>
      <c r="J79" s="70"/>
    </row>
    <row r="80" spans="2:10" s="2" customFormat="1" ht="15">
      <c r="B80" s="1176" t="s">
        <v>558</v>
      </c>
      <c r="C80" s="1176"/>
      <c r="D80" s="1029">
        <v>1</v>
      </c>
      <c r="E80" s="1176"/>
      <c r="F80" s="70"/>
      <c r="G80" s="70"/>
      <c r="H80" s="70"/>
      <c r="I80" s="70"/>
      <c r="J80" s="70"/>
    </row>
    <row r="81" spans="2:10" s="2" customFormat="1" ht="15">
      <c r="B81" s="1176" t="s">
        <v>559</v>
      </c>
      <c r="C81" s="1176"/>
      <c r="D81" s="1029">
        <v>0.8</v>
      </c>
      <c r="E81" s="1176"/>
      <c r="F81" s="70"/>
      <c r="G81" s="70"/>
      <c r="H81" s="70"/>
      <c r="I81" s="70"/>
      <c r="J81" s="70"/>
    </row>
    <row r="82" spans="2:10" s="2" customFormat="1" ht="15">
      <c r="B82" s="297"/>
      <c r="C82" s="297"/>
      <c r="D82" s="1034"/>
      <c r="E82" s="297"/>
      <c r="F82" s="70"/>
      <c r="G82" s="70"/>
      <c r="H82" s="70"/>
      <c r="I82" s="70"/>
      <c r="J82" s="70"/>
    </row>
    <row r="83" spans="2:10" ht="15">
      <c r="B83" s="404" t="s">
        <v>1554</v>
      </c>
      <c r="C83" s="404"/>
      <c r="D83" s="404"/>
      <c r="E83" s="332"/>
      <c r="F83" s="332"/>
      <c r="G83" s="332"/>
      <c r="H83" s="332"/>
      <c r="I83" s="332"/>
      <c r="J83" s="332"/>
    </row>
    <row r="84" spans="2:10" ht="15">
      <c r="B84" s="53"/>
      <c r="C84" s="53"/>
      <c r="D84" s="53"/>
      <c r="E84" s="53"/>
      <c r="F84" s="53"/>
      <c r="G84" s="53"/>
      <c r="H84" s="53"/>
      <c r="I84" s="53"/>
      <c r="J84" s="53"/>
    </row>
    <row r="85" spans="2:10" ht="15">
      <c r="B85" s="1355" t="s">
        <v>1541</v>
      </c>
      <c r="C85" s="1355"/>
      <c r="D85" s="1028" t="s">
        <v>1547</v>
      </c>
      <c r="E85" s="1028" t="s">
        <v>132</v>
      </c>
      <c r="F85" s="53"/>
      <c r="G85" s="53"/>
      <c r="H85" s="53"/>
      <c r="I85" s="53"/>
      <c r="J85" s="53"/>
    </row>
    <row r="86" spans="2:10" s="2" customFormat="1" ht="38.25">
      <c r="B86" s="1365" t="s">
        <v>560</v>
      </c>
      <c r="C86" s="1365"/>
      <c r="D86" s="1031">
        <v>0.1</v>
      </c>
      <c r="E86" s="1032" t="s">
        <v>1553</v>
      </c>
      <c r="F86" s="70"/>
      <c r="G86" s="70"/>
      <c r="H86" s="70"/>
      <c r="I86" s="70"/>
      <c r="J86" s="70"/>
    </row>
    <row r="87" spans="2:10" ht="15">
      <c r="B87" s="64"/>
      <c r="C87" s="406"/>
      <c r="D87" s="64"/>
      <c r="E87" s="53"/>
      <c r="F87" s="53"/>
      <c r="G87" s="53"/>
      <c r="H87" s="53"/>
      <c r="I87" s="53"/>
      <c r="J87" s="53"/>
    </row>
    <row r="88" spans="2:10" ht="15">
      <c r="B88" s="388" t="s">
        <v>1099</v>
      </c>
      <c r="C88" s="332"/>
      <c r="D88" s="332"/>
      <c r="E88" s="332"/>
      <c r="F88" s="332"/>
      <c r="G88" s="332"/>
      <c r="H88" s="398"/>
      <c r="I88" s="398"/>
      <c r="J88" s="398"/>
    </row>
    <row r="89" ht="15">
      <c r="B89" s="113"/>
    </row>
    <row r="90" spans="2:24" ht="92.25">
      <c r="B90" s="1358" t="s">
        <v>363</v>
      </c>
      <c r="C90" s="1358"/>
      <c r="D90" s="322" t="s">
        <v>1100</v>
      </c>
      <c r="E90" s="322" t="s">
        <v>1101</v>
      </c>
      <c r="F90" s="322" t="s">
        <v>1102</v>
      </c>
      <c r="G90" s="322" t="s">
        <v>1103</v>
      </c>
      <c r="H90" s="322" t="s">
        <v>1104</v>
      </c>
      <c r="I90" s="322" t="s">
        <v>1105</v>
      </c>
      <c r="J90" s="399" t="s">
        <v>1106</v>
      </c>
      <c r="K90" s="399" t="s">
        <v>1107</v>
      </c>
      <c r="L90" s="322" t="s">
        <v>1108</v>
      </c>
      <c r="M90" s="322" t="s">
        <v>1110</v>
      </c>
      <c r="N90" s="322" t="s">
        <v>1109</v>
      </c>
      <c r="O90" s="322" t="s">
        <v>1111</v>
      </c>
      <c r="X90"/>
    </row>
    <row r="91" spans="2:15" s="1039" customFormat="1" ht="15">
      <c r="B91" s="1342" t="s">
        <v>1545</v>
      </c>
      <c r="C91" s="1342"/>
      <c r="D91" s="319">
        <f>D65*(D22^0.75)</f>
        <v>35.063751471714795</v>
      </c>
      <c r="E91" s="319">
        <f>D91*$D$72</f>
        <v>12.622950529817325</v>
      </c>
      <c r="F91" s="1035">
        <v>0</v>
      </c>
      <c r="G91" s="319">
        <f>C45*(1.47+0.4*D39)</f>
        <v>17.330624082939774</v>
      </c>
      <c r="H91" s="1035"/>
      <c r="I91" s="319">
        <f>D91*D86*D51</f>
        <v>2.064553686654567</v>
      </c>
      <c r="J91" s="319">
        <f>+(1.123-(4.092*POWER(10,-3)*F22)+(1.126*POWER(10,-5)*POWER(F22,2)-(25.4/F22)))</f>
        <v>0.5146073648330505</v>
      </c>
      <c r="K91" s="319">
        <f>+(1.164-(5.16*POWER(10,-3)*F22)+(1.308*POWER(10,-5)*POWER(F22,2)-(37.4/F22)))</f>
        <v>0.3097267395725882</v>
      </c>
      <c r="L91" s="319">
        <f>(((D91+E91+G91+H91+I91)/J91)+((F91/K91)))/(F22/100)</f>
        <v>199.8313691906713</v>
      </c>
      <c r="M91" s="319">
        <f aca="true" t="shared" si="0" ref="M91:M97">+J91*18.45*F22/100</f>
        <v>6.193525504978927</v>
      </c>
      <c r="N91" s="319">
        <f aca="true" t="shared" si="1" ref="N91:N97">(D22)^0.75*(((0.0119*M91*M91)+0.1938)/M91)</f>
        <v>11.433145330686587</v>
      </c>
      <c r="O91" s="319">
        <f>+(L91*'3A1_3A2 FE'!$C$57/100)*31/55.65</f>
        <v>8.766187422043599</v>
      </c>
    </row>
    <row r="92" spans="2:15" s="1039" customFormat="1" ht="15">
      <c r="B92" s="1342" t="s">
        <v>365</v>
      </c>
      <c r="C92" s="1342"/>
      <c r="D92" s="319">
        <f>D65*(D23^0.75)</f>
        <v>30.48573805978922</v>
      </c>
      <c r="E92" s="319">
        <f aca="true" t="shared" si="2" ref="E92:E97">D92*$D$72</f>
        <v>10.974865701524118</v>
      </c>
      <c r="F92" s="1035">
        <v>0</v>
      </c>
      <c r="G92" s="319">
        <f>C46*(1.47+0.4*D40)</f>
        <v>7.290875000000001</v>
      </c>
      <c r="H92" s="1035"/>
      <c r="I92" s="319">
        <f>D92*'3A1_3A2 FE'!D86*'3A1_3A2 FE'!$D$52</f>
        <v>1.6797641670943861</v>
      </c>
      <c r="J92" s="319">
        <f>+(1.123-(4.092*POWER(10,-3)*F23)+(1.126*POWER(10,-5)*POWER(F23,2)-(25.4/F23)))</f>
        <v>0.4938154465204014</v>
      </c>
      <c r="K92" s="319">
        <f aca="true" t="shared" si="3" ref="K92:K97">+(1.164-(5.16*POWER(10,-3)*F23)+(1.308*POWER(10,-5)*POWER(F23,2)-(37.4/F23)))</f>
        <v>0.2767885429993311</v>
      </c>
      <c r="L92" s="319">
        <f aca="true" t="shared" si="4" ref="L92:L97">(((D92+E92+G92+H92+I92)/J92)+((F92/K92)))/(F23/100)</f>
        <v>170.7787448707193</v>
      </c>
      <c r="M92" s="319">
        <f t="shared" si="0"/>
        <v>5.44831520300424</v>
      </c>
      <c r="N92" s="319">
        <f t="shared" si="1"/>
        <v>9.506019304300823</v>
      </c>
      <c r="O92" s="319">
        <f>+(L92*'3A1_3A2 FE'!$C$58/100)*31/55.65</f>
        <v>6.659296969801634</v>
      </c>
    </row>
    <row r="93" spans="2:15" s="1039" customFormat="1" ht="15">
      <c r="B93" s="1342" t="s">
        <v>366</v>
      </c>
      <c r="C93" s="1342"/>
      <c r="D93" s="319">
        <f>D67*(D24^0.75)</f>
        <v>37.49446643452426</v>
      </c>
      <c r="E93" s="319">
        <f t="shared" si="2"/>
        <v>13.498007916428735</v>
      </c>
      <c r="F93" s="1035">
        <v>0</v>
      </c>
      <c r="G93" s="1035">
        <v>0</v>
      </c>
      <c r="H93" s="1035"/>
      <c r="I93" s="1035"/>
      <c r="J93" s="319">
        <f aca="true" t="shared" si="5" ref="J93:J97">+(1.123-(4.092*POWER(10,-3)*F24)+(1.126*POWER(10,-5)*POWER(F24,2)-(25.4/F24)))</f>
        <v>0.4628502601755115</v>
      </c>
      <c r="K93" s="319">
        <f t="shared" si="3"/>
        <v>0.2283490346264304</v>
      </c>
      <c r="L93" s="319">
        <f t="shared" si="4"/>
        <v>205.08295663103704</v>
      </c>
      <c r="M93" s="319">
        <f t="shared" si="0"/>
        <v>4.587466297687954</v>
      </c>
      <c r="N93" s="319">
        <f t="shared" si="1"/>
        <v>9.813050834017886</v>
      </c>
      <c r="O93" s="319">
        <f>+(L93*'3A1_3A2 FE'!$C$58/100)*31/55.65</f>
        <v>7.996945478694527</v>
      </c>
    </row>
    <row r="94" spans="2:15" s="1039" customFormat="1" ht="15">
      <c r="B94" s="1342" t="s">
        <v>457</v>
      </c>
      <c r="C94" s="1342"/>
      <c r="D94" s="319">
        <f>D65*(D25^0.75)</f>
        <v>23.211158260541723</v>
      </c>
      <c r="E94" s="319">
        <f t="shared" si="2"/>
        <v>8.35601697379502</v>
      </c>
      <c r="F94" s="319">
        <f>22.02*POWER((D25/(D81*E25)),0.75)*POWER(G25,1.097)</f>
        <v>6.306640394845599</v>
      </c>
      <c r="G94" s="1035">
        <v>0</v>
      </c>
      <c r="H94" s="1035"/>
      <c r="I94" s="1035"/>
      <c r="J94" s="319">
        <f t="shared" si="5"/>
        <v>0.4755879314285714</v>
      </c>
      <c r="K94" s="319">
        <f t="shared" si="3"/>
        <v>0.24820173714285698</v>
      </c>
      <c r="L94" s="319">
        <f t="shared" si="4"/>
        <v>163.90069193356638</v>
      </c>
      <c r="M94" s="319">
        <f t="shared" si="0"/>
        <v>4.91377450752</v>
      </c>
      <c r="N94" s="319">
        <f t="shared" si="1"/>
        <v>7.058071054332559</v>
      </c>
      <c r="O94" s="319">
        <f>+(L94*'3A1_3A2 FE'!$C$58/100)*31/55.65</f>
        <v>6.3910961634472425</v>
      </c>
    </row>
    <row r="95" spans="2:15" s="1039" customFormat="1" ht="15">
      <c r="B95" s="1342" t="s">
        <v>458</v>
      </c>
      <c r="C95" s="1342"/>
      <c r="D95" s="319">
        <f>D65*(D26^0.75)</f>
        <v>23.211158260541723</v>
      </c>
      <c r="E95" s="319">
        <f t="shared" si="2"/>
        <v>8.35601697379502</v>
      </c>
      <c r="F95" s="319">
        <f>22.02*POWER((D26/(D81*E26)),0.75)*POWER(G26,1.097)</f>
        <v>7.253702403158163</v>
      </c>
      <c r="G95" s="1035">
        <v>0</v>
      </c>
      <c r="H95" s="1035"/>
      <c r="I95" s="1035"/>
      <c r="J95" s="319">
        <f t="shared" si="5"/>
        <v>0.4628502601755115</v>
      </c>
      <c r="K95" s="319">
        <f t="shared" si="3"/>
        <v>0.2283490346264304</v>
      </c>
      <c r="L95" s="319">
        <f t="shared" si="4"/>
        <v>186.09001627503858</v>
      </c>
      <c r="M95" s="319">
        <f t="shared" si="0"/>
        <v>4.587466297687954</v>
      </c>
      <c r="N95" s="319">
        <f t="shared" si="1"/>
        <v>6.980387561409429</v>
      </c>
      <c r="O95" s="319">
        <f>+(L95*'3A1_3A2 FE'!$C$58/100)*31/55.65</f>
        <v>7.256340257265655</v>
      </c>
    </row>
    <row r="96" spans="2:15" s="1039" customFormat="1" ht="15">
      <c r="B96" s="1342" t="s">
        <v>367</v>
      </c>
      <c r="C96" s="1342"/>
      <c r="D96" s="319">
        <f>D67*(D27^0.75)</f>
        <v>26.67120669689577</v>
      </c>
      <c r="E96" s="319">
        <f t="shared" si="2"/>
        <v>9.601634410882477</v>
      </c>
      <c r="F96" s="319">
        <f>22.02*POWER((D27/(D79*E27)),0.75)*POWER(G27,1.097)</f>
        <v>5.648101382915183</v>
      </c>
      <c r="G96" s="1035">
        <v>0</v>
      </c>
      <c r="H96" s="1035"/>
      <c r="I96" s="1035"/>
      <c r="J96" s="319">
        <f t="shared" si="5"/>
        <v>0.4628502601755115</v>
      </c>
      <c r="K96" s="319">
        <f t="shared" si="3"/>
        <v>0.2283490346264304</v>
      </c>
      <c r="L96" s="319">
        <f t="shared" si="4"/>
        <v>191.9265156690213</v>
      </c>
      <c r="M96" s="319">
        <f t="shared" si="0"/>
        <v>4.587466297687954</v>
      </c>
      <c r="N96" s="319">
        <f t="shared" si="1"/>
        <v>6.980387561409429</v>
      </c>
      <c r="O96" s="319">
        <f>+(L96*'3A1_3A2 FE'!$C$58/100)*31/55.65</f>
        <v>7.483927026087624</v>
      </c>
    </row>
    <row r="97" spans="2:15" s="1039" customFormat="1" ht="15">
      <c r="B97" s="1342" t="s">
        <v>736</v>
      </c>
      <c r="C97" s="1342"/>
      <c r="D97" s="319">
        <f>D66*(D28^0.75)</f>
        <v>10.325350308835953</v>
      </c>
      <c r="E97" s="319">
        <f t="shared" si="2"/>
        <v>3.7171261111809426</v>
      </c>
      <c r="F97" s="319">
        <f>22.02*POWER((D28/(AVERAGE(D79,D81)*E28)),0.75)*POWER(G28,1.097)</f>
        <v>2.986478309604082</v>
      </c>
      <c r="G97" s="1035">
        <v>0</v>
      </c>
      <c r="H97" s="1035"/>
      <c r="I97" s="1035"/>
      <c r="J97" s="319">
        <f t="shared" si="5"/>
        <v>0.5076463060820158</v>
      </c>
      <c r="K97" s="319">
        <f t="shared" si="3"/>
        <v>0.29865300967391284</v>
      </c>
      <c r="L97" s="319">
        <f t="shared" si="4"/>
        <v>59.54427869629815</v>
      </c>
      <c r="M97" s="319">
        <f t="shared" si="0"/>
        <v>5.924042024612344</v>
      </c>
      <c r="N97" s="319">
        <f t="shared" si="1"/>
        <v>2.760834167664042</v>
      </c>
      <c r="O97" s="319">
        <f>+(L97*'3A1_3A2 FE'!$C$58/100)*31/55.65</f>
        <v>2.321852376836783</v>
      </c>
    </row>
    <row r="99" spans="2:12" ht="15">
      <c r="B99" s="386" t="s">
        <v>1039</v>
      </c>
      <c r="C99" s="387"/>
      <c r="D99" s="387"/>
      <c r="E99" s="387"/>
      <c r="F99" s="387"/>
      <c r="G99" s="387"/>
      <c r="H99" s="387"/>
      <c r="I99" s="387"/>
      <c r="J99" s="387"/>
      <c r="L99"/>
    </row>
    <row r="101" spans="2:10" ht="14.25">
      <c r="B101" s="388" t="s">
        <v>1122</v>
      </c>
      <c r="C101" s="332"/>
      <c r="D101" s="332"/>
      <c r="E101" s="332"/>
      <c r="F101" s="332"/>
      <c r="G101" s="332"/>
      <c r="H101" s="398"/>
      <c r="I101" s="398"/>
      <c r="J101" s="398"/>
    </row>
    <row r="102" spans="2:7" ht="12">
      <c r="B102" s="1"/>
      <c r="C102" s="1"/>
      <c r="D102" s="1"/>
      <c r="E102" s="1"/>
      <c r="F102" s="1"/>
      <c r="G102" s="1"/>
    </row>
    <row r="103" spans="2:23" ht="15">
      <c r="B103" s="1203" t="s">
        <v>126</v>
      </c>
      <c r="C103" s="1320" t="s">
        <v>111</v>
      </c>
      <c r="D103" s="1217"/>
      <c r="E103" s="1308"/>
      <c r="F103" s="1203" t="s">
        <v>127</v>
      </c>
      <c r="G103" s="1224" t="s">
        <v>132</v>
      </c>
      <c r="H103" s="1224"/>
      <c r="I103" s="1224"/>
      <c r="J103" s="1224"/>
      <c r="U103" s="1">
        <v>8.69</v>
      </c>
      <c r="V103" s="1">
        <v>8.06</v>
      </c>
      <c r="W103" s="1">
        <v>9.38</v>
      </c>
    </row>
    <row r="104" spans="2:23" ht="25.5">
      <c r="B104" s="1204"/>
      <c r="C104" s="308" t="s">
        <v>113</v>
      </c>
      <c r="D104" s="308" t="s">
        <v>128</v>
      </c>
      <c r="E104" s="308" t="s">
        <v>129</v>
      </c>
      <c r="F104" s="1204"/>
      <c r="G104" s="1224"/>
      <c r="H104" s="1224"/>
      <c r="I104" s="1224"/>
      <c r="J104" s="1224"/>
      <c r="V104" s="265">
        <f>(V103-U103)/U103</f>
        <v>-0.07249712313003441</v>
      </c>
      <c r="W104" s="265">
        <f>(W103-U103)/U103</f>
        <v>0.07940161104718083</v>
      </c>
    </row>
    <row r="105" spans="2:10" s="1107" customFormat="1" ht="12.75" customHeight="1">
      <c r="B105" s="73" t="s">
        <v>118</v>
      </c>
      <c r="C105" s="992">
        <v>1</v>
      </c>
      <c r="D105" s="993">
        <v>1</v>
      </c>
      <c r="E105" s="994">
        <v>2</v>
      </c>
      <c r="F105" s="995">
        <f>(C105*'IP 3A1_3A2_3C6'!C167)+(D105*'IP 3A1_3A2_3C6'!D167)+(E105*'IP 3A1_3A2_3C6'!E167)</f>
        <v>1.0338335073933176</v>
      </c>
      <c r="G105" s="1342" t="s">
        <v>1508</v>
      </c>
      <c r="H105" s="1342"/>
      <c r="I105" s="1342"/>
      <c r="J105" s="1342"/>
    </row>
    <row r="106" spans="2:10" s="1107" customFormat="1" ht="12.75" customHeight="1">
      <c r="B106" s="73" t="s">
        <v>119</v>
      </c>
      <c r="C106" s="992">
        <v>1</v>
      </c>
      <c r="D106" s="993">
        <v>1</v>
      </c>
      <c r="E106" s="994">
        <v>1</v>
      </c>
      <c r="F106" s="995">
        <f>(C106*'IP 3A1_3A2_3C6'!C168)+(D106*'IP 3A1_3A2_3C6'!D168)+(E106*'IP 3A1_3A2_3C6'!E168)</f>
        <v>1</v>
      </c>
      <c r="G106" s="1342"/>
      <c r="H106" s="1342"/>
      <c r="I106" s="1342"/>
      <c r="J106" s="1342"/>
    </row>
    <row r="107" spans="2:10" s="1107" customFormat="1" ht="12.75" customHeight="1">
      <c r="B107" s="73" t="s">
        <v>40</v>
      </c>
      <c r="C107" s="992">
        <v>0.1</v>
      </c>
      <c r="D107" s="993">
        <v>0.15</v>
      </c>
      <c r="E107" s="994">
        <v>0.2</v>
      </c>
      <c r="F107" s="995">
        <f>(C107*'IP 3A1_3A2_3C6'!C169)+(D107*'IP 3A1_3A2_3C6'!D169)+(E107*'IP 3A1_3A2_3C6'!E169)</f>
        <v>0.11462935114278602</v>
      </c>
      <c r="G107" s="1342"/>
      <c r="H107" s="1342"/>
      <c r="I107" s="1342"/>
      <c r="J107" s="1342"/>
    </row>
    <row r="108" spans="2:10" s="1107" customFormat="1" ht="12.75" customHeight="1">
      <c r="B108" s="73" t="s">
        <v>39</v>
      </c>
      <c r="C108" s="992">
        <v>0.11</v>
      </c>
      <c r="D108" s="993">
        <v>0.17</v>
      </c>
      <c r="E108" s="994">
        <v>0.22</v>
      </c>
      <c r="F108" s="995">
        <f>(C108*'IP 3A1_3A2_3C6'!C170)+(D108*'IP 3A1_3A2_3C6'!D170)+(E108*'IP 3A1_3A2_3C6'!E170)</f>
        <v>0.1638888895055281</v>
      </c>
      <c r="G108" s="1342"/>
      <c r="H108" s="1342"/>
      <c r="I108" s="1342"/>
      <c r="J108" s="1342"/>
    </row>
    <row r="109" spans="2:10" s="1107" customFormat="1" ht="12.75" customHeight="1">
      <c r="B109" s="73" t="s">
        <v>66</v>
      </c>
      <c r="C109" s="992">
        <v>1.09</v>
      </c>
      <c r="D109" s="993">
        <v>1.64</v>
      </c>
      <c r="E109" s="994">
        <v>2.19</v>
      </c>
      <c r="F109" s="995">
        <f>(C109*'IP 3A1_3A2_3C6'!C171)+(D109*'IP 3A1_3A2_3C6'!D171)+(E109*'IP 3A1_3A2_3C6'!E171)</f>
        <v>1.4308230855296757</v>
      </c>
      <c r="G109" s="1342"/>
      <c r="H109" s="1342"/>
      <c r="I109" s="1342"/>
      <c r="J109" s="1342"/>
    </row>
    <row r="110" spans="2:10" s="1107" customFormat="1" ht="12.75" customHeight="1">
      <c r="B110" s="73" t="s">
        <v>109</v>
      </c>
      <c r="C110" s="992">
        <v>0.6</v>
      </c>
      <c r="D110" s="993">
        <v>0.9</v>
      </c>
      <c r="E110" s="994">
        <v>1.2</v>
      </c>
      <c r="F110" s="995">
        <f>(C110*'IP 3A1_3A2_3C6'!C172)+(D110*'IP 3A1_3A2_3C6'!D172)+(E110*'IP 3A1_3A2_3C6'!E172)</f>
        <v>0.7968051118100634</v>
      </c>
      <c r="G110" s="1342"/>
      <c r="H110" s="1342"/>
      <c r="I110" s="1342"/>
      <c r="J110" s="1342"/>
    </row>
    <row r="111" spans="2:10" s="1107" customFormat="1" ht="12.75" customHeight="1">
      <c r="B111" s="73" t="s">
        <v>41</v>
      </c>
      <c r="C111" s="992">
        <v>1</v>
      </c>
      <c r="D111" s="993">
        <v>1</v>
      </c>
      <c r="E111" s="994">
        <v>2</v>
      </c>
      <c r="F111" s="995">
        <f>(C111*'IP 3A1_3A2_3C6'!C173)+(D111*'IP 3A1_3A2_3C6'!D173)+(E111*'IP 3A1_3A2_3C6'!E173)</f>
        <v>1.1075274243639317</v>
      </c>
      <c r="G111" s="1342"/>
      <c r="H111" s="1342"/>
      <c r="I111" s="1342"/>
      <c r="J111" s="1342"/>
    </row>
    <row r="112" spans="2:10" s="1107" customFormat="1" ht="19.5" customHeight="1">
      <c r="B112" s="73" t="s">
        <v>37</v>
      </c>
      <c r="C112" s="992">
        <f>((POWER('3A1_3A2 FE'!$C$141,0.75))/(POWER('3A1_3A2 FE'!$C$136,0.75)))*'3A1_3A2 FE'!C107</f>
        <v>0.17009647902831893</v>
      </c>
      <c r="D112" s="993">
        <f>((POWER('3A1_3A2 FE'!$C$141,0.75))/(POWER('3A1_3A2 FE'!$C$136,0.75)))*'3A1_3A2 FE'!D107</f>
        <v>0.2551447185424784</v>
      </c>
      <c r="E112" s="994">
        <f>((POWER('3A1_3A2 FE'!$C$141,0.75))/(POWER('3A1_3A2 FE'!$C$136,0.75)))*'3A1_3A2 FE'!E107</f>
        <v>0.34019295805663785</v>
      </c>
      <c r="F112" s="995">
        <f>(C112*'IP 3A1_3A2_3C6'!C174)+(D112*'IP 3A1_3A2_3C6'!D174)+(E112*'IP 3A1_3A2_3C6'!E174)</f>
        <v>0.18965204356061355</v>
      </c>
      <c r="G112" s="1342" t="s">
        <v>1680</v>
      </c>
      <c r="H112" s="1342"/>
      <c r="I112" s="1342"/>
      <c r="J112" s="1342"/>
    </row>
    <row r="113" spans="2:10" s="1107" customFormat="1" ht="19.5" customHeight="1">
      <c r="B113" s="73" t="s">
        <v>38</v>
      </c>
      <c r="C113" s="992">
        <f>((POWER('3A1_3A2 FE'!$C$142,0.75))/(POWER('3A1_3A2 FE'!$C$136,0.75)))*'3A1_3A2 FE'!C107</f>
        <v>0.2779830875170403</v>
      </c>
      <c r="D113" s="993">
        <f>((POWER('3A1_3A2 FE'!$C$142,0.75))/(POWER('3A1_3A2 FE'!$C$136,0.75)))*'3A1_3A2 FE'!D107</f>
        <v>0.4169746312755605</v>
      </c>
      <c r="E113" s="994">
        <f>((POWER('3A1_3A2 FE'!$C$142,0.75))/(POWER('3A1_3A2 FE'!$C$136,0.75)))*'3A1_3A2 FE'!E107</f>
        <v>0.5559661750340806</v>
      </c>
      <c r="F113" s="995">
        <f>(C113*'IP 3A1_3A2_3C6'!C175)+(D113*'IP 3A1_3A2_3C6'!D175)+(E113*'IP 3A1_3A2_3C6'!E175)</f>
        <v>0.31099786113073985</v>
      </c>
      <c r="G113" s="1342"/>
      <c r="H113" s="1342"/>
      <c r="I113" s="1342"/>
      <c r="J113" s="1342"/>
    </row>
    <row r="114" spans="2:10" s="1107" customFormat="1" ht="12.75" customHeight="1">
      <c r="B114" s="73" t="s">
        <v>36</v>
      </c>
      <c r="C114" s="992">
        <v>0.01</v>
      </c>
      <c r="D114" s="993">
        <v>0.02</v>
      </c>
      <c r="E114" s="994">
        <v>0.02</v>
      </c>
      <c r="F114" s="995">
        <f>(C114*'IP 3A1_3A2_3C6'!C176)+(D114*'IP 3A1_3A2_3C6'!D176)+(E114*'IP 3A1_3A2_3C6'!E176)</f>
        <v>0.019409297951477066</v>
      </c>
      <c r="G114" s="1339" t="s">
        <v>1678</v>
      </c>
      <c r="H114" s="1340"/>
      <c r="I114" s="1340"/>
      <c r="J114" s="1341"/>
    </row>
    <row r="115" spans="2:10" s="1107" customFormat="1" ht="15">
      <c r="B115" s="1108" t="s">
        <v>130</v>
      </c>
      <c r="C115" s="1343">
        <v>0.08</v>
      </c>
      <c r="D115" s="1344"/>
      <c r="E115" s="1345"/>
      <c r="F115" s="1109">
        <f>+C115</f>
        <v>0.08</v>
      </c>
      <c r="G115" s="1342" t="s">
        <v>1679</v>
      </c>
      <c r="H115" s="1342"/>
      <c r="I115" s="1342"/>
      <c r="J115" s="1342"/>
    </row>
    <row r="116" spans="2:10" s="1107" customFormat="1" ht="36" customHeight="1">
      <c r="B116" s="73" t="s">
        <v>68</v>
      </c>
      <c r="C116" s="1346">
        <f>((POWER('3A1_3A2 FE'!$C$144,0.75))/(POWER('3A1_3A2 FE'!$C$145,0.75)))*'3A1_3A2 FE'!C115</f>
        <v>0.042624143937572384</v>
      </c>
      <c r="D116" s="1347"/>
      <c r="E116" s="1348"/>
      <c r="F116" s="995">
        <f>+C116</f>
        <v>0.042624143937572384</v>
      </c>
      <c r="G116" s="1339" t="s">
        <v>1680</v>
      </c>
      <c r="H116" s="1340"/>
      <c r="I116" s="1340"/>
      <c r="J116" s="1341"/>
    </row>
    <row r="118" spans="2:10" ht="14.25">
      <c r="B118" s="388" t="s">
        <v>673</v>
      </c>
      <c r="C118" s="332"/>
      <c r="D118" s="332"/>
      <c r="E118" s="332"/>
      <c r="F118" s="332"/>
      <c r="G118" s="332"/>
      <c r="H118" s="398"/>
      <c r="I118" s="398"/>
      <c r="J118" s="398"/>
    </row>
    <row r="119" ht="15">
      <c r="B119" s="113"/>
    </row>
    <row r="120" spans="2:7" ht="68.25">
      <c r="B120" s="1224" t="s">
        <v>131</v>
      </c>
      <c r="C120" s="1224"/>
      <c r="D120" s="308" t="s">
        <v>1596</v>
      </c>
      <c r="E120" s="308" t="s">
        <v>132</v>
      </c>
      <c r="F120" s="1"/>
      <c r="G120" s="1"/>
    </row>
    <row r="121" spans="2:7" ht="15">
      <c r="B121" s="1377" t="s">
        <v>1592</v>
      </c>
      <c r="C121" s="1377"/>
      <c r="D121" s="598" t="s">
        <v>464</v>
      </c>
      <c r="E121" s="1309" t="s">
        <v>1501</v>
      </c>
      <c r="F121" s="1"/>
      <c r="G121" s="1"/>
    </row>
    <row r="122" spans="2:7" ht="15">
      <c r="B122" s="1361" t="s">
        <v>134</v>
      </c>
      <c r="C122" s="1361"/>
      <c r="D122" s="599">
        <v>0</v>
      </c>
      <c r="E122" s="1309"/>
      <c r="F122" s="1"/>
      <c r="G122" s="1"/>
    </row>
    <row r="123" spans="2:7" ht="15">
      <c r="B123" s="1361" t="s">
        <v>135</v>
      </c>
      <c r="C123" s="1361"/>
      <c r="D123" s="599">
        <v>0.01</v>
      </c>
      <c r="E123" s="1309"/>
      <c r="F123" s="1"/>
      <c r="G123" s="1"/>
    </row>
    <row r="124" spans="2:7" ht="15">
      <c r="B124" s="1377" t="s">
        <v>1594</v>
      </c>
      <c r="C124" s="1377"/>
      <c r="D124" s="598" t="s">
        <v>464</v>
      </c>
      <c r="E124" s="1309"/>
      <c r="F124" s="1"/>
      <c r="G124" s="1"/>
    </row>
    <row r="125" spans="2:7" ht="15">
      <c r="B125" s="1361" t="s">
        <v>137</v>
      </c>
      <c r="C125" s="1361"/>
      <c r="D125" s="599">
        <v>0.02</v>
      </c>
      <c r="E125" s="1309"/>
      <c r="F125" s="1"/>
      <c r="G125" s="1"/>
    </row>
    <row r="126" spans="2:7" ht="15">
      <c r="B126" s="1361" t="s">
        <v>138</v>
      </c>
      <c r="C126" s="1361"/>
      <c r="D126" s="599">
        <v>0.001</v>
      </c>
      <c r="E126" s="1309"/>
      <c r="F126" s="1"/>
      <c r="G126" s="1"/>
    </row>
    <row r="127" spans="2:7" ht="15">
      <c r="B127" s="1361" t="s">
        <v>139</v>
      </c>
      <c r="C127" s="1361"/>
      <c r="D127" s="599">
        <v>0.001</v>
      </c>
      <c r="E127" s="1309"/>
      <c r="F127" s="1"/>
      <c r="G127" s="1"/>
    </row>
    <row r="128" spans="2:7" ht="28.5" customHeight="1">
      <c r="B128" s="1379" t="s">
        <v>1593</v>
      </c>
      <c r="C128" s="1379"/>
      <c r="D128" s="1379"/>
      <c r="E128" s="1379"/>
      <c r="F128" s="1"/>
      <c r="G128" s="1"/>
    </row>
    <row r="129" spans="2:7" ht="37.5" customHeight="1">
      <c r="B129" s="1379" t="s">
        <v>1595</v>
      </c>
      <c r="C129" s="1379"/>
      <c r="D129" s="1379"/>
      <c r="E129" s="1379"/>
      <c r="F129" s="1"/>
      <c r="G129" s="1"/>
    </row>
    <row r="131" spans="2:10" ht="15">
      <c r="B131" s="404" t="s">
        <v>697</v>
      </c>
      <c r="C131" s="404"/>
      <c r="D131" s="404"/>
      <c r="E131" s="332"/>
      <c r="F131" s="332"/>
      <c r="G131" s="332"/>
      <c r="H131" s="332"/>
      <c r="I131" s="332"/>
      <c r="J131" s="332"/>
    </row>
    <row r="132" ht="15"/>
    <row r="133" spans="2:17" ht="15">
      <c r="B133" s="291" t="s">
        <v>267</v>
      </c>
      <c r="C133" s="291" t="s">
        <v>1510</v>
      </c>
      <c r="D133" s="1224" t="s">
        <v>132</v>
      </c>
      <c r="E133" s="1224"/>
      <c r="F133" s="53"/>
      <c r="G133" s="53"/>
      <c r="H133" s="1"/>
      <c r="I133" s="53"/>
      <c r="J133" s="53"/>
      <c r="K133" s="1"/>
      <c r="L133" s="1"/>
      <c r="M133" s="1"/>
      <c r="N133" s="1"/>
      <c r="O133" s="1"/>
      <c r="P133" s="1"/>
      <c r="Q133" s="1"/>
    </row>
    <row r="134" spans="2:17" ht="15" customHeight="1">
      <c r="B134" s="346" t="s">
        <v>118</v>
      </c>
      <c r="C134" s="408">
        <f>'3A1_3A2 FE'!D22</f>
        <v>520</v>
      </c>
      <c r="D134" s="1371" t="s">
        <v>1509</v>
      </c>
      <c r="E134" s="1372"/>
      <c r="F134" s="53"/>
      <c r="G134" s="53"/>
      <c r="H134" s="1"/>
      <c r="I134" s="53"/>
      <c r="J134" s="53"/>
      <c r="K134" s="1"/>
      <c r="L134" s="1"/>
      <c r="M134" s="1"/>
      <c r="N134" s="1"/>
      <c r="O134" s="1"/>
      <c r="P134" s="1"/>
      <c r="Q134" s="1"/>
    </row>
    <row r="135" spans="2:17" ht="15">
      <c r="B135" s="346" t="s">
        <v>375</v>
      </c>
      <c r="C135" s="408">
        <f>('IP 3A1_3A2_3C6'!F68*D23+'IP 3A1_3A2_3C6'!F69*D24+'IP 3A1_3A2_3C6'!F70*D25+'IP 3A1_3A2_3C6'!F71*D26+'IP 3A1_3A2_3C6'!F72*D27+'IP 3A1_3A2_3C6'!F73*D28)/SUM('IP 3A1_3A2_3C6'!F68:F73)</f>
        <v>306.2140665543348</v>
      </c>
      <c r="D135" s="1368"/>
      <c r="E135" s="1369"/>
      <c r="F135" s="53"/>
      <c r="G135" s="53"/>
      <c r="H135" s="1"/>
      <c r="I135" s="53"/>
      <c r="J135" s="53"/>
      <c r="K135" s="1"/>
      <c r="L135" s="1"/>
      <c r="M135" s="1"/>
      <c r="N135" s="1"/>
      <c r="O135" s="1"/>
      <c r="P135" s="1"/>
      <c r="Q135" s="1"/>
    </row>
    <row r="136" spans="2:17" ht="26.25" customHeight="1">
      <c r="B136" s="346" t="s">
        <v>40</v>
      </c>
      <c r="C136" s="408">
        <v>25.61</v>
      </c>
      <c r="D136" s="1361" t="s">
        <v>1511</v>
      </c>
      <c r="E136" s="1361"/>
      <c r="F136" s="53"/>
      <c r="G136" s="53"/>
      <c r="H136" s="1"/>
      <c r="I136" s="53"/>
      <c r="J136" s="53"/>
      <c r="K136" s="1"/>
      <c r="L136" s="1"/>
      <c r="M136" s="1"/>
      <c r="N136" s="1"/>
      <c r="O136" s="1"/>
      <c r="P136" s="1"/>
      <c r="Q136" s="1"/>
    </row>
    <row r="137" spans="2:17" ht="15" customHeight="1">
      <c r="B137" s="346" t="s">
        <v>39</v>
      </c>
      <c r="C137" s="408">
        <v>30</v>
      </c>
      <c r="D137" s="1371" t="s">
        <v>1587</v>
      </c>
      <c r="E137" s="1372"/>
      <c r="F137" s="53"/>
      <c r="G137" s="53"/>
      <c r="H137" s="1"/>
      <c r="I137" s="53"/>
      <c r="J137" s="53"/>
      <c r="K137" s="1"/>
      <c r="L137" s="1"/>
      <c r="M137" s="1"/>
      <c r="N137" s="1"/>
      <c r="O137" s="1"/>
      <c r="P137" s="1"/>
      <c r="Q137" s="1"/>
    </row>
    <row r="138" spans="2:17" ht="15" customHeight="1">
      <c r="B138" s="346" t="s">
        <v>66</v>
      </c>
      <c r="C138" s="408">
        <v>238</v>
      </c>
      <c r="D138" s="1366"/>
      <c r="E138" s="1367"/>
      <c r="F138" s="53"/>
      <c r="G138" s="53"/>
      <c r="H138" s="1"/>
      <c r="I138" s="53"/>
      <c r="J138" s="53"/>
      <c r="K138" s="1"/>
      <c r="L138" s="1"/>
      <c r="M138" s="1"/>
      <c r="N138" s="1"/>
      <c r="O138" s="1"/>
      <c r="P138" s="1"/>
      <c r="Q138" s="1"/>
    </row>
    <row r="139" spans="2:17" ht="15" customHeight="1">
      <c r="B139" s="346" t="s">
        <v>109</v>
      </c>
      <c r="C139" s="408">
        <v>130</v>
      </c>
      <c r="D139" s="1368"/>
      <c r="E139" s="1369"/>
      <c r="F139" s="53"/>
      <c r="G139" s="53"/>
      <c r="H139" s="1"/>
      <c r="I139" s="53"/>
      <c r="J139" s="53"/>
      <c r="K139" s="1"/>
      <c r="L139" s="1"/>
      <c r="M139" s="1"/>
      <c r="N139" s="1"/>
      <c r="O139" s="1"/>
      <c r="P139" s="1"/>
      <c r="Q139" s="1"/>
    </row>
    <row r="140" spans="2:17" ht="26.25" customHeight="1">
      <c r="B140" s="346" t="s">
        <v>41</v>
      </c>
      <c r="C140" s="408">
        <v>28</v>
      </c>
      <c r="D140" s="1361" t="s">
        <v>1588</v>
      </c>
      <c r="E140" s="1361"/>
      <c r="F140" s="53"/>
      <c r="G140" s="53"/>
      <c r="H140" s="1"/>
      <c r="I140" s="53"/>
      <c r="J140" s="53"/>
      <c r="K140" s="1"/>
      <c r="L140" s="1"/>
      <c r="M140" s="1"/>
      <c r="N140" s="1"/>
      <c r="O140" s="1"/>
      <c r="P140" s="1"/>
      <c r="Q140" s="1"/>
    </row>
    <row r="141" spans="2:17" ht="15" customHeight="1">
      <c r="B141" s="346" t="s">
        <v>37</v>
      </c>
      <c r="C141" s="408">
        <v>52</v>
      </c>
      <c r="D141" s="1373" t="s">
        <v>1589</v>
      </c>
      <c r="E141" s="1374"/>
      <c r="F141" s="53"/>
      <c r="G141" s="53"/>
      <c r="H141" s="1"/>
      <c r="I141" s="53"/>
      <c r="J141" s="53"/>
      <c r="K141" s="1"/>
      <c r="L141" s="1"/>
      <c r="M141" s="1"/>
      <c r="N141" s="1"/>
      <c r="O141" s="1"/>
      <c r="P141" s="1"/>
      <c r="Q141" s="1"/>
    </row>
    <row r="142" spans="2:17" ht="15">
      <c r="B142" s="346" t="s">
        <v>38</v>
      </c>
      <c r="C142" s="408">
        <v>100.1</v>
      </c>
      <c r="D142" s="1375"/>
      <c r="E142" s="1376"/>
      <c r="F142" s="53"/>
      <c r="G142" s="53"/>
      <c r="H142" s="1"/>
      <c r="I142" s="53"/>
      <c r="J142" s="53"/>
      <c r="K142" s="1"/>
      <c r="L142" s="1"/>
      <c r="M142" s="1"/>
      <c r="N142" s="1"/>
      <c r="O142" s="1"/>
      <c r="P142" s="1"/>
      <c r="Q142" s="1"/>
    </row>
    <row r="143" spans="2:17" ht="15">
      <c r="B143" s="346" t="s">
        <v>36</v>
      </c>
      <c r="C143" s="408">
        <f>2.85*'IB 3A1_3A2_3C6'!C185+2.95*'IB 3A1_3A2_3C6'!C186+3.35*'IB 3A1_3A2_3C6'!C187+10.5*'IB 3A1_3A2_3C6'!C188</f>
        <v>3.919072164948454</v>
      </c>
      <c r="D143" s="1361" t="s">
        <v>1509</v>
      </c>
      <c r="E143" s="1361"/>
      <c r="F143" s="53"/>
      <c r="G143" s="53"/>
      <c r="H143" s="1"/>
      <c r="I143" s="53"/>
      <c r="J143" s="53"/>
      <c r="K143" s="1"/>
      <c r="L143" s="1"/>
      <c r="M143" s="1"/>
      <c r="N143" s="1"/>
      <c r="O143" s="1"/>
      <c r="P143" s="1"/>
      <c r="Q143" s="1"/>
    </row>
    <row r="144" spans="2:17" ht="51" customHeight="1">
      <c r="B144" s="346" t="s">
        <v>68</v>
      </c>
      <c r="C144" s="408">
        <v>0.6911</v>
      </c>
      <c r="D144" s="1361" t="s">
        <v>1686</v>
      </c>
      <c r="E144" s="1361"/>
      <c r="F144" s="53"/>
      <c r="G144" s="53"/>
      <c r="H144" s="1"/>
      <c r="I144" s="53"/>
      <c r="J144" s="53"/>
      <c r="K144" s="1"/>
      <c r="L144" s="1"/>
      <c r="M144" s="1"/>
      <c r="N144" s="1"/>
      <c r="O144" s="1"/>
      <c r="P144" s="1"/>
      <c r="Q144" s="1"/>
    </row>
    <row r="145" spans="2:17" ht="27.75" customHeight="1">
      <c r="B145" s="277" t="s">
        <v>130</v>
      </c>
      <c r="C145" s="415">
        <v>1.6</v>
      </c>
      <c r="D145" s="1380" t="s">
        <v>1590</v>
      </c>
      <c r="E145" s="1380"/>
      <c r="F145" s="53"/>
      <c r="G145" s="53"/>
      <c r="H145" s="1"/>
      <c r="I145" s="53"/>
      <c r="J145" s="53"/>
      <c r="K145" s="1"/>
      <c r="L145" s="1"/>
      <c r="M145" s="1"/>
      <c r="N145" s="1"/>
      <c r="O145" s="1"/>
      <c r="P145" s="1"/>
      <c r="Q145" s="1"/>
    </row>
    <row r="146" spans="2:17" ht="27.75" customHeight="1">
      <c r="B146" s="1379" t="s">
        <v>1591</v>
      </c>
      <c r="C146" s="1379"/>
      <c r="D146" s="1379"/>
      <c r="E146" s="1379"/>
      <c r="F146" s="53"/>
      <c r="G146" s="53"/>
      <c r="H146" s="1"/>
      <c r="I146" s="53"/>
      <c r="J146" s="53"/>
      <c r="K146" s="1"/>
      <c r="L146" s="1"/>
      <c r="M146" s="1"/>
      <c r="N146" s="1"/>
      <c r="O146" s="1"/>
      <c r="P146" s="1"/>
      <c r="Q146" s="1"/>
    </row>
    <row r="147" spans="2:10" ht="15">
      <c r="B147" s="53"/>
      <c r="C147" s="53"/>
      <c r="D147" s="53"/>
      <c r="E147" s="53"/>
      <c r="F147" s="53"/>
      <c r="G147" s="53"/>
      <c r="H147" s="53"/>
      <c r="I147" s="53"/>
      <c r="J147" s="53"/>
    </row>
    <row r="148" spans="2:10" ht="15.75">
      <c r="B148" s="404" t="s">
        <v>1123</v>
      </c>
      <c r="C148" s="404"/>
      <c r="D148" s="404"/>
      <c r="E148" s="332"/>
      <c r="F148" s="332"/>
      <c r="G148" s="332"/>
      <c r="H148" s="332"/>
      <c r="I148" s="332"/>
      <c r="J148" s="332"/>
    </row>
    <row r="149" ht="15"/>
    <row r="150" spans="2:17" ht="15">
      <c r="B150" s="291" t="s">
        <v>126</v>
      </c>
      <c r="C150" s="291" t="s">
        <v>144</v>
      </c>
      <c r="D150" s="291" t="s">
        <v>132</v>
      </c>
      <c r="E150" s="291" t="s">
        <v>195</v>
      </c>
      <c r="F150" s="1224" t="s">
        <v>448</v>
      </c>
      <c r="G150" s="1224"/>
      <c r="H150" s="1224"/>
      <c r="I150" s="53"/>
      <c r="J150" s="53"/>
      <c r="K150" s="1"/>
      <c r="L150" s="1"/>
      <c r="M150" s="1"/>
      <c r="N150" s="1"/>
      <c r="O150" s="1"/>
      <c r="P150" s="1"/>
      <c r="Q150" s="1"/>
    </row>
    <row r="151" spans="2:17" ht="15">
      <c r="B151" s="119" t="s">
        <v>118</v>
      </c>
      <c r="C151" s="413">
        <v>0.48</v>
      </c>
      <c r="D151" s="1280" t="s">
        <v>1512</v>
      </c>
      <c r="E151" s="416">
        <f aca="true" t="shared" si="6" ref="E151:E157">C151*C134*365/1000</f>
        <v>91.104</v>
      </c>
      <c r="F151" s="1330"/>
      <c r="G151" s="1331"/>
      <c r="H151" s="1332"/>
      <c r="J151" s="53"/>
      <c r="K151" s="1"/>
      <c r="L151" s="1"/>
      <c r="M151" s="1"/>
      <c r="N151" s="1"/>
      <c r="O151" s="1"/>
      <c r="P151" s="1"/>
      <c r="Q151" s="1"/>
    </row>
    <row r="152" spans="2:17" ht="15">
      <c r="B152" s="119" t="s">
        <v>375</v>
      </c>
      <c r="C152" s="413">
        <v>0.36</v>
      </c>
      <c r="D152" s="1281"/>
      <c r="E152" s="416">
        <f t="shared" si="6"/>
        <v>40.2365283452396</v>
      </c>
      <c r="F152" s="1333"/>
      <c r="G152" s="1334"/>
      <c r="H152" s="1335"/>
      <c r="I152" s="53"/>
      <c r="J152" s="53"/>
      <c r="K152" s="1"/>
      <c r="L152" s="1"/>
      <c r="M152" s="1"/>
      <c r="N152" s="1"/>
      <c r="O152" s="1"/>
      <c r="P152" s="1"/>
      <c r="Q152" s="1"/>
    </row>
    <row r="153" spans="2:17" ht="15">
      <c r="B153" s="119" t="s">
        <v>40</v>
      </c>
      <c r="C153" s="413">
        <v>1.17</v>
      </c>
      <c r="D153" s="1281"/>
      <c r="E153" s="416">
        <f t="shared" si="6"/>
        <v>10.936750499999999</v>
      </c>
      <c r="F153" s="1333"/>
      <c r="G153" s="1334"/>
      <c r="H153" s="1335"/>
      <c r="I153" s="53"/>
      <c r="J153" s="53"/>
      <c r="K153" s="1"/>
      <c r="L153" s="1"/>
      <c r="M153" s="1"/>
      <c r="N153" s="1"/>
      <c r="O153" s="1"/>
      <c r="P153" s="1"/>
      <c r="Q153" s="1"/>
    </row>
    <row r="154" spans="2:17" ht="15">
      <c r="B154" s="119" t="s">
        <v>39</v>
      </c>
      <c r="C154" s="413">
        <v>1.37</v>
      </c>
      <c r="D154" s="1281"/>
      <c r="E154" s="416">
        <f t="shared" si="6"/>
        <v>15.0015</v>
      </c>
      <c r="F154" s="1333"/>
      <c r="G154" s="1334"/>
      <c r="H154" s="1335"/>
      <c r="I154" s="53"/>
      <c r="J154" s="53"/>
      <c r="K154" s="1"/>
      <c r="L154" s="1"/>
      <c r="M154" s="1"/>
      <c r="N154" s="1"/>
      <c r="O154" s="1"/>
      <c r="P154" s="1"/>
      <c r="Q154" s="1"/>
    </row>
    <row r="155" spans="2:17" ht="15">
      <c r="B155" s="119" t="s">
        <v>66</v>
      </c>
      <c r="C155" s="413">
        <v>0.46</v>
      </c>
      <c r="D155" s="1281"/>
      <c r="E155" s="416">
        <f t="shared" si="6"/>
        <v>39.96020000000001</v>
      </c>
      <c r="F155" s="1333"/>
      <c r="G155" s="1334"/>
      <c r="H155" s="1335"/>
      <c r="I155" s="53"/>
      <c r="J155" s="53"/>
      <c r="K155" s="1"/>
      <c r="L155" s="1"/>
      <c r="M155" s="1"/>
      <c r="N155" s="1"/>
      <c r="O155" s="1"/>
      <c r="P155" s="1"/>
      <c r="Q155" s="1"/>
    </row>
    <row r="156" spans="2:17" ht="15">
      <c r="B156" s="119" t="s">
        <v>109</v>
      </c>
      <c r="C156" s="413">
        <v>0.46</v>
      </c>
      <c r="D156" s="1281"/>
      <c r="E156" s="416">
        <f t="shared" si="6"/>
        <v>21.827</v>
      </c>
      <c r="F156" s="1333"/>
      <c r="G156" s="1334"/>
      <c r="H156" s="1335"/>
      <c r="I156" s="53"/>
      <c r="J156" s="53"/>
      <c r="K156" s="1"/>
      <c r="L156" s="1"/>
      <c r="M156" s="1"/>
      <c r="N156" s="1"/>
      <c r="O156" s="1"/>
      <c r="P156" s="1"/>
      <c r="Q156" s="1"/>
    </row>
    <row r="157" spans="2:17" ht="15">
      <c r="B157" s="119" t="s">
        <v>41</v>
      </c>
      <c r="C157" s="413">
        <v>1.47</v>
      </c>
      <c r="D157" s="1281"/>
      <c r="E157" s="416">
        <f t="shared" si="6"/>
        <v>15.023399999999999</v>
      </c>
      <c r="F157" s="1333"/>
      <c r="G157" s="1334"/>
      <c r="H157" s="1335"/>
      <c r="I157" s="53"/>
      <c r="J157" s="53"/>
      <c r="K157" s="1"/>
      <c r="L157" s="1"/>
      <c r="M157" s="1"/>
      <c r="N157" s="1"/>
      <c r="O157" s="1"/>
      <c r="P157" s="1"/>
      <c r="Q157" s="1"/>
    </row>
    <row r="158" spans="2:17" ht="15">
      <c r="B158" s="119" t="s">
        <v>36</v>
      </c>
      <c r="C158" s="413">
        <v>0.82</v>
      </c>
      <c r="D158" s="1282"/>
      <c r="E158" s="416">
        <f>C158*C143*365/1000</f>
        <v>1.1729782989690722</v>
      </c>
      <c r="F158" s="1336"/>
      <c r="G158" s="1337"/>
      <c r="H158" s="1338"/>
      <c r="I158" s="53"/>
      <c r="J158" s="53"/>
      <c r="K158" s="1"/>
      <c r="L158" s="1"/>
      <c r="M158" s="1"/>
      <c r="N158" s="1"/>
      <c r="O158" s="1"/>
      <c r="P158" s="1"/>
      <c r="Q158" s="1"/>
    </row>
    <row r="159" spans="2:17" s="410" customFormat="1" ht="52.5" customHeight="1">
      <c r="B159" s="346" t="s">
        <v>38</v>
      </c>
      <c r="C159" s="414">
        <f>((POWER(C142,0.75))/(POWER(C136,0.75)))*C153</f>
        <v>3.2524021239493717</v>
      </c>
      <c r="D159" s="1280" t="s">
        <v>1513</v>
      </c>
      <c r="E159" s="417">
        <f>C159*C142*365/1000</f>
        <v>118.83139020167621</v>
      </c>
      <c r="F159" s="1176" t="s">
        <v>447</v>
      </c>
      <c r="G159" s="1176"/>
      <c r="H159" s="1176"/>
      <c r="I159" s="296"/>
      <c r="J159" s="296"/>
      <c r="K159" s="411"/>
      <c r="L159" s="411"/>
      <c r="M159" s="411"/>
      <c r="N159" s="411"/>
      <c r="O159" s="411"/>
      <c r="P159" s="411"/>
      <c r="Q159" s="411"/>
    </row>
    <row r="160" spans="2:17" s="410" customFormat="1" ht="52.5" customHeight="1">
      <c r="B160" s="346" t="s">
        <v>37</v>
      </c>
      <c r="C160" s="414">
        <f>((POWER(C141,0.75))/(POWER(C136,0.75)))*C153</f>
        <v>1.9901288046313312</v>
      </c>
      <c r="D160" s="1281"/>
      <c r="E160" s="417">
        <f>C160*C141*365/1000</f>
        <v>37.772644711902664</v>
      </c>
      <c r="F160" s="1176"/>
      <c r="G160" s="1176"/>
      <c r="H160" s="1176"/>
      <c r="I160" s="296"/>
      <c r="J160" s="296"/>
      <c r="K160" s="411"/>
      <c r="L160" s="411"/>
      <c r="M160" s="411"/>
      <c r="N160" s="411"/>
      <c r="O160" s="411"/>
      <c r="P160" s="411"/>
      <c r="Q160" s="411"/>
    </row>
    <row r="161" spans="2:17" s="410" customFormat="1" ht="52.5" customHeight="1">
      <c r="B161" s="346" t="s">
        <v>68</v>
      </c>
      <c r="C161" s="414">
        <f>((POWER(C144,0.75))/(POWER(C145,0.75)))*C162</f>
        <v>4.315694573679203</v>
      </c>
      <c r="D161" s="1282"/>
      <c r="E161" s="417">
        <f>C161*C144*365/1000</f>
        <v>1.0886404297524397</v>
      </c>
      <c r="F161" s="1176"/>
      <c r="G161" s="1176"/>
      <c r="H161" s="1176"/>
      <c r="I161" s="296"/>
      <c r="J161" s="296"/>
      <c r="K161" s="411"/>
      <c r="L161" s="411"/>
      <c r="M161" s="411"/>
      <c r="N161" s="411"/>
      <c r="O161" s="411"/>
      <c r="P161" s="411"/>
      <c r="Q161" s="411"/>
    </row>
    <row r="162" spans="2:17" s="410" customFormat="1" ht="49.5" customHeight="1">
      <c r="B162" s="409" t="s">
        <v>130</v>
      </c>
      <c r="C162" s="415">
        <v>8.1</v>
      </c>
      <c r="D162" s="412" t="s">
        <v>1514</v>
      </c>
      <c r="E162" s="418">
        <f>C162*C145*365/1000</f>
        <v>4.7304</v>
      </c>
      <c r="F162" s="1378"/>
      <c r="G162" s="1378"/>
      <c r="H162" s="1378"/>
      <c r="I162" s="296"/>
      <c r="J162" s="296"/>
      <c r="K162" s="411"/>
      <c r="L162" s="411"/>
      <c r="M162" s="411"/>
      <c r="N162" s="411"/>
      <c r="O162" s="411"/>
      <c r="P162" s="411"/>
      <c r="Q162" s="411"/>
    </row>
  </sheetData>
  <mergeCells count="100">
    <mergeCell ref="F162:H162"/>
    <mergeCell ref="B128:E128"/>
    <mergeCell ref="B129:E129"/>
    <mergeCell ref="F159:H161"/>
    <mergeCell ref="F150:H150"/>
    <mergeCell ref="D159:D161"/>
    <mergeCell ref="D151:D158"/>
    <mergeCell ref="B146:E146"/>
    <mergeCell ref="D136:E136"/>
    <mergeCell ref="D143:E143"/>
    <mergeCell ref="D144:E144"/>
    <mergeCell ref="D145:E145"/>
    <mergeCell ref="D140:E140"/>
    <mergeCell ref="D133:E133"/>
    <mergeCell ref="D141:E142"/>
    <mergeCell ref="G103:J104"/>
    <mergeCell ref="G105:J111"/>
    <mergeCell ref="G112:J113"/>
    <mergeCell ref="B123:C123"/>
    <mergeCell ref="B120:C120"/>
    <mergeCell ref="B121:C121"/>
    <mergeCell ref="B124:C124"/>
    <mergeCell ref="B122:C122"/>
    <mergeCell ref="B103:B104"/>
    <mergeCell ref="C103:E103"/>
    <mergeCell ref="F103:F104"/>
    <mergeCell ref="E121:E127"/>
    <mergeCell ref="E65:E67"/>
    <mergeCell ref="B126:C126"/>
    <mergeCell ref="B127:C127"/>
    <mergeCell ref="B125:C125"/>
    <mergeCell ref="D137:E139"/>
    <mergeCell ref="D134:E135"/>
    <mergeCell ref="B97:C97"/>
    <mergeCell ref="B94:C94"/>
    <mergeCell ref="B95:C95"/>
    <mergeCell ref="B40:C40"/>
    <mergeCell ref="B38:C38"/>
    <mergeCell ref="B92:C92"/>
    <mergeCell ref="B93:C93"/>
    <mergeCell ref="B64:C64"/>
    <mergeCell ref="B65:C65"/>
    <mergeCell ref="B66:C66"/>
    <mergeCell ref="B67:C67"/>
    <mergeCell ref="B72:C72"/>
    <mergeCell ref="B73:C73"/>
    <mergeCell ref="B39:C39"/>
    <mergeCell ref="B90:C90"/>
    <mergeCell ref="B81:C81"/>
    <mergeCell ref="B96:C96"/>
    <mergeCell ref="B21:C21"/>
    <mergeCell ref="B22:C22"/>
    <mergeCell ref="B23:C23"/>
    <mergeCell ref="B24:C24"/>
    <mergeCell ref="B25:C25"/>
    <mergeCell ref="B71:C71"/>
    <mergeCell ref="B74:C74"/>
    <mergeCell ref="B79:C79"/>
    <mergeCell ref="B80:C80"/>
    <mergeCell ref="B85:C85"/>
    <mergeCell ref="B86:C86"/>
    <mergeCell ref="B60:F60"/>
    <mergeCell ref="B78:D78"/>
    <mergeCell ref="E79:E81"/>
    <mergeCell ref="D6:E6"/>
    <mergeCell ref="D7:E7"/>
    <mergeCell ref="D15:E15"/>
    <mergeCell ref="D16:E16"/>
    <mergeCell ref="D17:E17"/>
    <mergeCell ref="D33:E34"/>
    <mergeCell ref="D32:E32"/>
    <mergeCell ref="E72:E74"/>
    <mergeCell ref="D9:E14"/>
    <mergeCell ref="D57:F57"/>
    <mergeCell ref="D56:F56"/>
    <mergeCell ref="D58:F58"/>
    <mergeCell ref="D44:E44"/>
    <mergeCell ref="B50:C50"/>
    <mergeCell ref="E38:F38"/>
    <mergeCell ref="E39:F39"/>
    <mergeCell ref="E40:F40"/>
    <mergeCell ref="B59:F59"/>
    <mergeCell ref="D46:E46"/>
    <mergeCell ref="D45:E45"/>
    <mergeCell ref="D8:E8"/>
    <mergeCell ref="F151:H158"/>
    <mergeCell ref="G114:J114"/>
    <mergeCell ref="G115:J115"/>
    <mergeCell ref="G116:J116"/>
    <mergeCell ref="C115:E115"/>
    <mergeCell ref="C116:E116"/>
    <mergeCell ref="H22:H28"/>
    <mergeCell ref="B91:C91"/>
    <mergeCell ref="B26:C26"/>
    <mergeCell ref="B27:C27"/>
    <mergeCell ref="B28:C28"/>
    <mergeCell ref="E50:F50"/>
    <mergeCell ref="E51:F52"/>
    <mergeCell ref="B51:C51"/>
    <mergeCell ref="B52:C52"/>
  </mergeCells>
  <printOptions/>
  <pageMargins left="0.7" right="0.7" top="0.75" bottom="0.75" header="0.3" footer="0.3"/>
  <pageSetup horizontalDpi="300" verticalDpi="300" orientation="portrait" r:id="rId4"/>
  <drawing r:id="rId3"/>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5A7F2B"/>
  </sheetPr>
  <dimension ref="B1:Q37"/>
  <sheetViews>
    <sheetView workbookViewId="0" topLeftCell="A1">
      <selection activeCell="B37" sqref="B37:E37"/>
    </sheetView>
  </sheetViews>
  <sheetFormatPr defaultColWidth="10.8515625" defaultRowHeight="15"/>
  <cols>
    <col min="1" max="1" width="5.140625" style="0" customWidth="1"/>
    <col min="2" max="2" width="16.421875" style="53" customWidth="1"/>
    <col min="3" max="3" width="20.57421875" style="53" bestFit="1" customWidth="1"/>
    <col min="4" max="4" width="17.28125" style="53" bestFit="1" customWidth="1"/>
    <col min="5" max="5" width="30.140625" style="53" customWidth="1"/>
    <col min="6" max="14" width="10.8515625" style="53" customWidth="1"/>
  </cols>
  <sheetData>
    <row r="1" spans="2:7" s="1" customFormat="1" ht="12.75">
      <c r="B1" s="53"/>
      <c r="C1" s="53"/>
      <c r="D1" s="53"/>
      <c r="E1" s="53"/>
      <c r="F1" s="53"/>
      <c r="G1" s="53"/>
    </row>
    <row r="2" spans="2:12" s="1" customFormat="1" ht="15">
      <c r="B2" s="386" t="s">
        <v>1127</v>
      </c>
      <c r="C2" s="387"/>
      <c r="D2" s="387"/>
      <c r="E2" s="387"/>
      <c r="F2" s="387"/>
      <c r="G2" s="387"/>
      <c r="H2" s="387"/>
      <c r="I2" s="387"/>
      <c r="J2" s="387"/>
      <c r="L2"/>
    </row>
    <row r="3" spans="2:6" s="1" customFormat="1" ht="12.75">
      <c r="B3" s="53"/>
      <c r="C3" s="53"/>
      <c r="D3" s="53"/>
      <c r="E3" s="53"/>
      <c r="F3" s="53"/>
    </row>
    <row r="4" spans="2:10" s="1" customFormat="1" ht="15">
      <c r="B4" s="388" t="s">
        <v>1124</v>
      </c>
      <c r="C4" s="332"/>
      <c r="D4" s="332"/>
      <c r="E4" s="332"/>
      <c r="F4" s="332"/>
      <c r="G4" s="332"/>
      <c r="H4" s="398"/>
      <c r="I4" s="398"/>
      <c r="J4" s="398"/>
    </row>
    <row r="5" spans="2:7" s="1" customFormat="1" ht="12.75">
      <c r="B5" s="113"/>
      <c r="C5" s="53"/>
      <c r="D5" s="53"/>
      <c r="E5" s="53"/>
      <c r="F5" s="53"/>
      <c r="G5" s="53"/>
    </row>
    <row r="6" spans="2:5" ht="27.75">
      <c r="B6" s="308" t="s">
        <v>157</v>
      </c>
      <c r="C6" s="308" t="s">
        <v>1126</v>
      </c>
      <c r="D6" s="308" t="s">
        <v>1125</v>
      </c>
      <c r="E6" s="308" t="s">
        <v>132</v>
      </c>
    </row>
    <row r="7" spans="2:5" ht="15">
      <c r="B7" s="105" t="s">
        <v>582</v>
      </c>
      <c r="C7" s="320">
        <v>2.7</v>
      </c>
      <c r="D7" s="320">
        <v>2.3</v>
      </c>
      <c r="E7" s="1381" t="s">
        <v>1515</v>
      </c>
    </row>
    <row r="8" spans="2:5" ht="15">
      <c r="B8" s="105" t="s">
        <v>12</v>
      </c>
      <c r="C8" s="320">
        <v>92</v>
      </c>
      <c r="D8" s="320">
        <v>65</v>
      </c>
      <c r="E8" s="1382"/>
    </row>
    <row r="9" spans="2:5" ht="15">
      <c r="B9" s="105" t="s">
        <v>583</v>
      </c>
      <c r="C9" s="320">
        <v>0.07</v>
      </c>
      <c r="D9" s="320">
        <v>0.21</v>
      </c>
      <c r="E9" s="1382"/>
    </row>
    <row r="10" spans="2:5" ht="15">
      <c r="B10" s="105" t="s">
        <v>672</v>
      </c>
      <c r="C10" s="320">
        <v>2.5</v>
      </c>
      <c r="D10" s="320">
        <v>3.9</v>
      </c>
      <c r="E10" s="1383"/>
    </row>
    <row r="12" spans="2:14" ht="15">
      <c r="B12" s="336" t="s">
        <v>343</v>
      </c>
      <c r="C12" s="334"/>
      <c r="D12" s="334"/>
      <c r="E12" s="332"/>
      <c r="F12" s="332"/>
      <c r="G12" s="332"/>
      <c r="H12" s="332"/>
      <c r="I12" s="332"/>
      <c r="J12" s="332"/>
      <c r="K12"/>
      <c r="L12"/>
      <c r="M12"/>
      <c r="N12"/>
    </row>
    <row r="13" spans="2:14" ht="15">
      <c r="B13"/>
      <c r="C13"/>
      <c r="D13"/>
      <c r="E13"/>
      <c r="F13"/>
      <c r="G13"/>
      <c r="H13"/>
      <c r="I13"/>
      <c r="J13"/>
      <c r="K13"/>
      <c r="L13"/>
      <c r="M13"/>
      <c r="N13"/>
    </row>
    <row r="14" spans="2:14" ht="15">
      <c r="B14" s="291" t="s">
        <v>258</v>
      </c>
      <c r="C14" s="291" t="s">
        <v>259</v>
      </c>
      <c r="D14" s="291" t="s">
        <v>342</v>
      </c>
      <c r="E14" s="1224" t="s">
        <v>132</v>
      </c>
      <c r="F14" s="1224"/>
      <c r="K14"/>
      <c r="L14"/>
      <c r="M14"/>
      <c r="N14"/>
    </row>
    <row r="15" spans="2:14" ht="25.5" customHeight="1">
      <c r="B15" s="1356" t="s">
        <v>344</v>
      </c>
      <c r="C15" s="1357"/>
      <c r="D15" s="319">
        <v>2.1</v>
      </c>
      <c r="E15" s="1176" t="s">
        <v>1516</v>
      </c>
      <c r="F15" s="1176"/>
      <c r="G15"/>
      <c r="K15"/>
      <c r="L15"/>
      <c r="M15"/>
      <c r="N15"/>
    </row>
    <row r="16" spans="2:14" ht="15">
      <c r="B16" s="1280" t="s">
        <v>253</v>
      </c>
      <c r="C16" s="350" t="s">
        <v>254</v>
      </c>
      <c r="D16" s="319">
        <v>4</v>
      </c>
      <c r="E16" s="1176"/>
      <c r="F16" s="1176"/>
      <c r="K16"/>
      <c r="L16"/>
      <c r="M16"/>
      <c r="N16"/>
    </row>
    <row r="17" spans="2:14" ht="15">
      <c r="B17" s="1281"/>
      <c r="C17" s="350" t="s">
        <v>256</v>
      </c>
      <c r="D17" s="319">
        <v>10</v>
      </c>
      <c r="E17" s="1176"/>
      <c r="F17" s="1176"/>
      <c r="K17"/>
      <c r="L17"/>
      <c r="M17"/>
      <c r="N17"/>
    </row>
    <row r="18" spans="2:14" ht="15">
      <c r="B18" s="1281"/>
      <c r="C18" s="350" t="s">
        <v>255</v>
      </c>
      <c r="D18" s="319">
        <v>5.5</v>
      </c>
      <c r="E18" s="1176"/>
      <c r="F18" s="1176"/>
      <c r="K18"/>
      <c r="L18"/>
      <c r="M18"/>
      <c r="N18"/>
    </row>
    <row r="19" spans="2:14" ht="15">
      <c r="B19" s="1281"/>
      <c r="C19" s="350" t="s">
        <v>257</v>
      </c>
      <c r="D19" s="319">
        <v>6.5</v>
      </c>
      <c r="E19" s="1176"/>
      <c r="F19" s="1176"/>
      <c r="K19"/>
      <c r="L19"/>
      <c r="M19"/>
      <c r="N19"/>
    </row>
    <row r="20" spans="2:14" ht="25.5">
      <c r="B20" s="1282"/>
      <c r="C20" s="350" t="s">
        <v>1597</v>
      </c>
      <c r="D20" s="1040" t="s">
        <v>345</v>
      </c>
      <c r="E20" s="1352" t="s">
        <v>1517</v>
      </c>
      <c r="F20" s="1352"/>
      <c r="K20"/>
      <c r="L20"/>
      <c r="M20"/>
      <c r="N20"/>
    </row>
    <row r="21" spans="2:14" ht="27" customHeight="1">
      <c r="B21" s="1361" t="s">
        <v>1598</v>
      </c>
      <c r="C21" s="1361"/>
      <c r="D21" s="1361"/>
      <c r="E21" s="1361"/>
      <c r="F21" s="1361"/>
      <c r="K21"/>
      <c r="L21"/>
      <c r="M21"/>
      <c r="N21"/>
    </row>
    <row r="22" spans="11:17" ht="15">
      <c r="K22" s="1"/>
      <c r="L22" s="1"/>
      <c r="M22" s="1"/>
      <c r="N22" s="1"/>
      <c r="O22" s="1"/>
      <c r="P22" s="1"/>
      <c r="Q22" s="1"/>
    </row>
    <row r="23" spans="2:17" ht="15">
      <c r="B23" s="291" t="s">
        <v>1518</v>
      </c>
      <c r="C23" s="273" t="s">
        <v>342</v>
      </c>
      <c r="D23" s="1326" t="s">
        <v>132</v>
      </c>
      <c r="E23" s="1326"/>
      <c r="K23" s="1"/>
      <c r="L23" s="1"/>
      <c r="M23" s="1"/>
      <c r="N23" s="1"/>
      <c r="O23" s="1"/>
      <c r="P23" s="1"/>
      <c r="Q23" s="1"/>
    </row>
    <row r="24" spans="2:17" ht="43.5" customHeight="1">
      <c r="B24" s="273" t="s">
        <v>741</v>
      </c>
      <c r="C24" s="996">
        <v>0.25</v>
      </c>
      <c r="D24" s="1352" t="s">
        <v>742</v>
      </c>
      <c r="E24" s="1352"/>
      <c r="K24" s="1"/>
      <c r="L24" s="1"/>
      <c r="M24" s="1"/>
      <c r="N24" s="1"/>
      <c r="O24" s="1"/>
      <c r="P24" s="1"/>
      <c r="Q24" s="1"/>
    </row>
    <row r="25" spans="11:17" ht="15">
      <c r="K25" s="1"/>
      <c r="L25" s="1"/>
      <c r="M25" s="1"/>
      <c r="N25" s="1"/>
      <c r="O25" s="1"/>
      <c r="P25" s="1"/>
      <c r="Q25" s="1"/>
    </row>
    <row r="26" spans="2:17" ht="15">
      <c r="B26" s="336" t="s">
        <v>260</v>
      </c>
      <c r="C26" s="334"/>
      <c r="D26" s="334"/>
      <c r="E26" s="332"/>
      <c r="F26" s="332"/>
      <c r="G26" s="332"/>
      <c r="H26" s="332"/>
      <c r="I26" s="332"/>
      <c r="J26" s="332"/>
      <c r="K26" s="1"/>
      <c r="L26" s="1"/>
      <c r="M26" s="1"/>
      <c r="N26" s="1"/>
      <c r="O26" s="1"/>
      <c r="P26" s="1"/>
      <c r="Q26" s="1"/>
    </row>
    <row r="27" spans="2:14" ht="15">
      <c r="B27"/>
      <c r="C27"/>
      <c r="D27"/>
      <c r="E27"/>
      <c r="F27"/>
      <c r="G27"/>
      <c r="H27"/>
      <c r="I27"/>
      <c r="J27"/>
      <c r="K27"/>
      <c r="L27"/>
      <c r="M27"/>
      <c r="N27"/>
    </row>
    <row r="28" spans="2:17" ht="15">
      <c r="B28" s="273" t="s">
        <v>258</v>
      </c>
      <c r="C28" s="273" t="s">
        <v>259</v>
      </c>
      <c r="D28" s="273" t="s">
        <v>342</v>
      </c>
      <c r="E28" s="273" t="s">
        <v>132</v>
      </c>
      <c r="K28" s="1"/>
      <c r="L28" s="1"/>
      <c r="M28" s="1"/>
      <c r="N28" s="1"/>
      <c r="O28" s="1"/>
      <c r="P28" s="1"/>
      <c r="Q28" s="1"/>
    </row>
    <row r="29" spans="2:14" ht="25.5" customHeight="1">
      <c r="B29" s="1356" t="s">
        <v>344</v>
      </c>
      <c r="C29" s="1357"/>
      <c r="D29" s="417">
        <v>0.74</v>
      </c>
      <c r="E29" s="1385" t="s">
        <v>1519</v>
      </c>
      <c r="G29"/>
      <c r="K29"/>
      <c r="L29"/>
      <c r="M29"/>
      <c r="N29"/>
    </row>
    <row r="30" spans="2:17" ht="15">
      <c r="B30" s="1280" t="s">
        <v>253</v>
      </c>
      <c r="C30" s="350" t="s">
        <v>254</v>
      </c>
      <c r="D30" s="417">
        <v>0.9</v>
      </c>
      <c r="E30" s="1386"/>
      <c r="K30" s="1"/>
      <c r="L30" s="1"/>
      <c r="M30" s="1"/>
      <c r="N30" s="1"/>
      <c r="O30" s="1"/>
      <c r="P30" s="1"/>
      <c r="Q30" s="1"/>
    </row>
    <row r="31" spans="2:17" ht="15">
      <c r="B31" s="1281"/>
      <c r="C31" s="350" t="s">
        <v>256</v>
      </c>
      <c r="D31" s="417">
        <v>0.8</v>
      </c>
      <c r="E31" s="1386"/>
      <c r="K31" s="1"/>
      <c r="L31" s="1"/>
      <c r="M31" s="1"/>
      <c r="N31" s="1"/>
      <c r="O31" s="1"/>
      <c r="P31" s="1"/>
      <c r="Q31" s="1"/>
    </row>
    <row r="32" spans="2:17" ht="15">
      <c r="B32" s="1281"/>
      <c r="C32" s="350" t="s">
        <v>255</v>
      </c>
      <c r="D32" s="417">
        <v>0.8</v>
      </c>
      <c r="E32" s="1386"/>
      <c r="K32" s="1"/>
      <c r="L32" s="1"/>
      <c r="M32" s="1"/>
      <c r="N32" s="1"/>
      <c r="O32" s="1"/>
      <c r="P32" s="1"/>
      <c r="Q32" s="1"/>
    </row>
    <row r="33" spans="2:17" ht="15">
      <c r="B33" s="1281"/>
      <c r="C33" s="350" t="s">
        <v>257</v>
      </c>
      <c r="D33" s="417">
        <v>0.8</v>
      </c>
      <c r="E33" s="1387"/>
      <c r="K33" s="1"/>
      <c r="L33" s="1"/>
      <c r="M33" s="1"/>
      <c r="N33" s="1"/>
      <c r="O33" s="1"/>
      <c r="P33" s="1"/>
      <c r="Q33" s="1"/>
    </row>
    <row r="34" spans="2:17" ht="51">
      <c r="B34" s="1282"/>
      <c r="C34" s="350" t="s">
        <v>265</v>
      </c>
      <c r="D34" s="417">
        <v>0.85</v>
      </c>
      <c r="E34" s="251" t="s">
        <v>1520</v>
      </c>
      <c r="K34" s="1"/>
      <c r="L34" s="1"/>
      <c r="M34" s="1"/>
      <c r="N34" s="1"/>
      <c r="O34" s="1"/>
      <c r="P34" s="1"/>
      <c r="Q34" s="1"/>
    </row>
    <row r="35" spans="2:17" ht="25.5" customHeight="1">
      <c r="B35" s="1290" t="s">
        <v>710</v>
      </c>
      <c r="C35" s="1292"/>
      <c r="D35" s="417">
        <v>1</v>
      </c>
      <c r="E35" s="251" t="s">
        <v>1128</v>
      </c>
      <c r="K35" s="1"/>
      <c r="L35" s="1"/>
      <c r="M35" s="1"/>
      <c r="N35" s="1"/>
      <c r="O35" s="1"/>
      <c r="P35" s="1"/>
      <c r="Q35" s="1"/>
    </row>
    <row r="36" spans="2:17" ht="15">
      <c r="B36" s="1384" t="s">
        <v>448</v>
      </c>
      <c r="C36" s="1384"/>
      <c r="D36" s="1384"/>
      <c r="E36" s="1384"/>
      <c r="K36" s="1"/>
      <c r="L36" s="1"/>
      <c r="M36" s="1"/>
      <c r="N36" s="1"/>
      <c r="O36" s="1"/>
      <c r="P36" s="1"/>
      <c r="Q36" s="1"/>
    </row>
    <row r="37" spans="2:17" ht="67.5" customHeight="1">
      <c r="B37" s="1361" t="s">
        <v>456</v>
      </c>
      <c r="C37" s="1361"/>
      <c r="D37" s="1361"/>
      <c r="E37" s="1361"/>
      <c r="K37" s="1"/>
      <c r="L37" s="1"/>
      <c r="M37" s="1"/>
      <c r="N37" s="1"/>
      <c r="O37" s="1"/>
      <c r="P37" s="1"/>
      <c r="Q37" s="1"/>
    </row>
  </sheetData>
  <mergeCells count="15">
    <mergeCell ref="B36:E36"/>
    <mergeCell ref="B37:E37"/>
    <mergeCell ref="B35:C35"/>
    <mergeCell ref="E20:F20"/>
    <mergeCell ref="E15:F19"/>
    <mergeCell ref="E29:E33"/>
    <mergeCell ref="B30:B34"/>
    <mergeCell ref="B21:F21"/>
    <mergeCell ref="E7:E10"/>
    <mergeCell ref="B29:C29"/>
    <mergeCell ref="B15:C15"/>
    <mergeCell ref="D23:E23"/>
    <mergeCell ref="D24:E24"/>
    <mergeCell ref="B16:B20"/>
    <mergeCell ref="E14:F14"/>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5A7F2B"/>
  </sheetPr>
  <dimension ref="B1:L8"/>
  <sheetViews>
    <sheetView workbookViewId="0" topLeftCell="A1"/>
  </sheetViews>
  <sheetFormatPr defaultColWidth="10.8515625" defaultRowHeight="15"/>
  <cols>
    <col min="1" max="1" width="3.140625" style="0" customWidth="1"/>
    <col min="2" max="2" width="17.8515625" style="53" customWidth="1"/>
    <col min="3" max="3" width="20.28125" style="53" bestFit="1" customWidth="1"/>
    <col min="4" max="4" width="39.57421875" style="53" customWidth="1"/>
    <col min="5" max="8" width="10.8515625" style="53" customWidth="1"/>
  </cols>
  <sheetData>
    <row r="1" spans="2:7" s="1" customFormat="1" ht="12.75">
      <c r="B1" s="53"/>
      <c r="C1" s="53"/>
      <c r="D1" s="53"/>
      <c r="E1" s="53"/>
      <c r="F1" s="53"/>
      <c r="G1" s="53"/>
    </row>
    <row r="2" spans="2:12" s="1" customFormat="1" ht="15">
      <c r="B2" s="386" t="s">
        <v>1129</v>
      </c>
      <c r="C2" s="387"/>
      <c r="D2" s="387"/>
      <c r="E2" s="387"/>
      <c r="F2" s="387"/>
      <c r="G2" s="387"/>
      <c r="H2" s="387"/>
      <c r="I2" s="387"/>
      <c r="J2" s="387"/>
      <c r="L2"/>
    </row>
    <row r="3" spans="2:6" s="1" customFormat="1" ht="12.75">
      <c r="B3" s="53"/>
      <c r="C3" s="53"/>
      <c r="D3" s="53"/>
      <c r="E3" s="53"/>
      <c r="F3" s="53"/>
    </row>
    <row r="4" spans="2:10" s="1" customFormat="1" ht="12.75">
      <c r="B4" s="388" t="s">
        <v>156</v>
      </c>
      <c r="C4" s="332"/>
      <c r="D4" s="332"/>
      <c r="E4" s="332"/>
      <c r="F4" s="332"/>
      <c r="G4" s="332"/>
      <c r="H4" s="398"/>
      <c r="I4" s="398"/>
      <c r="J4" s="398"/>
    </row>
    <row r="5" ht="15">
      <c r="B5" s="113"/>
    </row>
    <row r="6" spans="2:6" ht="27.75">
      <c r="B6" s="308" t="s">
        <v>157</v>
      </c>
      <c r="C6" s="308" t="s">
        <v>1130</v>
      </c>
      <c r="D6" s="308" t="s">
        <v>132</v>
      </c>
      <c r="F6"/>
    </row>
    <row r="7" spans="2:4" ht="15">
      <c r="B7" s="105" t="s">
        <v>752</v>
      </c>
      <c r="C7" s="419">
        <v>0.12</v>
      </c>
      <c r="D7" s="1142" t="s">
        <v>1521</v>
      </c>
    </row>
    <row r="8" spans="2:4" ht="15">
      <c r="B8" s="105" t="s">
        <v>753</v>
      </c>
      <c r="C8" s="419">
        <v>0.13</v>
      </c>
      <c r="D8" s="1144"/>
    </row>
  </sheetData>
  <mergeCells count="1">
    <mergeCell ref="D7:D8"/>
  </mergeCells>
  <printOptions/>
  <pageMargins left="0.7" right="0.7" top="0.75" bottom="0.75" header="0.3" footer="0.3"/>
  <pageSetup horizontalDpi="600" verticalDpi="600" orientation="portrait" paperSize="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5A7F2B"/>
  </sheetPr>
  <dimension ref="A1:L7"/>
  <sheetViews>
    <sheetView workbookViewId="0" topLeftCell="A1"/>
  </sheetViews>
  <sheetFormatPr defaultColWidth="10.8515625" defaultRowHeight="15"/>
  <cols>
    <col min="1" max="1" width="1.421875" style="53" customWidth="1"/>
    <col min="2" max="2" width="18.28125" style="53" bestFit="1" customWidth="1"/>
    <col min="3" max="3" width="17.7109375" style="53" bestFit="1" customWidth="1"/>
    <col min="4" max="7" width="10.8515625" style="53" customWidth="1"/>
  </cols>
  <sheetData>
    <row r="1" spans="2:7" s="1" customFormat="1" ht="12.75">
      <c r="B1" s="53"/>
      <c r="C1" s="53"/>
      <c r="D1" s="53"/>
      <c r="E1" s="53"/>
      <c r="F1" s="53"/>
      <c r="G1" s="53"/>
    </row>
    <row r="2" spans="2:12" s="1" customFormat="1" ht="15">
      <c r="B2" s="386" t="s">
        <v>1129</v>
      </c>
      <c r="C2" s="387"/>
      <c r="D2" s="387"/>
      <c r="E2" s="387"/>
      <c r="F2" s="387"/>
      <c r="G2" s="387"/>
      <c r="H2" s="387"/>
      <c r="I2" s="387"/>
      <c r="J2" s="387"/>
      <c r="L2"/>
    </row>
    <row r="3" spans="2:6" s="1" customFormat="1" ht="12.75">
      <c r="B3" s="53"/>
      <c r="C3" s="53"/>
      <c r="D3" s="53"/>
      <c r="E3" s="53"/>
      <c r="F3" s="53"/>
    </row>
    <row r="4" spans="2:10" s="1" customFormat="1" ht="12.75">
      <c r="B4" s="388" t="s">
        <v>161</v>
      </c>
      <c r="C4" s="332"/>
      <c r="D4" s="332"/>
      <c r="E4" s="332"/>
      <c r="F4" s="332"/>
      <c r="G4" s="332"/>
      <c r="H4" s="398"/>
      <c r="I4" s="398"/>
      <c r="J4" s="398"/>
    </row>
    <row r="5" spans="1:8" ht="15">
      <c r="A5"/>
      <c r="B5" s="113"/>
      <c r="H5" s="53"/>
    </row>
    <row r="6" spans="1:8" ht="27.75">
      <c r="A6"/>
      <c r="B6" s="291" t="s">
        <v>162</v>
      </c>
      <c r="C6" s="291" t="s">
        <v>1131</v>
      </c>
      <c r="D6" s="1224" t="s">
        <v>132</v>
      </c>
      <c r="E6" s="1224"/>
      <c r="F6" s="1224"/>
      <c r="H6" s="53"/>
    </row>
    <row r="7" spans="1:6" ht="26.25" customHeight="1">
      <c r="A7" s="113"/>
      <c r="B7" s="346" t="s">
        <v>160</v>
      </c>
      <c r="C7" s="427">
        <v>0.2</v>
      </c>
      <c r="D7" s="1309" t="s">
        <v>1522</v>
      </c>
      <c r="E7" s="1309"/>
      <c r="F7" s="1309"/>
    </row>
  </sheetData>
  <mergeCells count="2">
    <mergeCell ref="D7:F7"/>
    <mergeCell ref="D6:F6"/>
  </mergeCells>
  <printOptions/>
  <pageMargins left="0.7" right="0.7" top="0.75" bottom="0.75" header="0.3" footer="0.3"/>
  <pageSetup horizontalDpi="600" verticalDpi="600" orientation="portrait" paperSize="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99"/>
  </sheetPr>
  <dimension ref="A2:AME50"/>
  <sheetViews>
    <sheetView workbookViewId="0" topLeftCell="A1"/>
  </sheetViews>
  <sheetFormatPr defaultColWidth="9.140625" defaultRowHeight="15"/>
  <cols>
    <col min="1" max="1" width="3.28125" style="17" customWidth="1"/>
    <col min="2" max="2" width="2.7109375" style="49" customWidth="1"/>
    <col min="3" max="3" width="8.00390625" style="50" customWidth="1"/>
    <col min="4" max="4" width="25.28125" style="49" customWidth="1"/>
    <col min="5" max="5" width="23.28125" style="49" customWidth="1"/>
    <col min="6" max="7" width="27.00390625" style="49" customWidth="1"/>
    <col min="8" max="8" width="10.421875" style="49" customWidth="1"/>
    <col min="9" max="9" width="10.28125" style="954" customWidth="1"/>
    <col min="10" max="10" width="40.140625" style="49" customWidth="1"/>
    <col min="11" max="11" width="31.57421875" style="49" customWidth="1"/>
    <col min="12" max="12" width="12.421875" style="954" customWidth="1"/>
    <col min="13" max="13" width="37.28125" style="49" customWidth="1"/>
    <col min="14" max="14" width="30.140625" style="49" customWidth="1"/>
    <col min="15" max="15" width="26.7109375" style="49" customWidth="1"/>
    <col min="16" max="16" width="39.140625" style="49" customWidth="1"/>
    <col min="17" max="17" width="18.57421875" style="49" customWidth="1"/>
    <col min="18" max="18" width="16.140625" style="997" customWidth="1"/>
    <col min="19" max="1019" width="9.140625" style="49" customWidth="1"/>
    <col min="1020" max="16384" width="9.140625" style="8" customWidth="1"/>
  </cols>
  <sheetData>
    <row r="2" spans="1:15" ht="18.75">
      <c r="A2" s="48"/>
      <c r="B2" s="52" t="s">
        <v>555</v>
      </c>
      <c r="C2" s="52"/>
      <c r="D2" s="52"/>
      <c r="E2" s="52"/>
      <c r="F2" s="52"/>
      <c r="G2" s="52"/>
      <c r="H2" s="52"/>
      <c r="I2" s="953"/>
      <c r="J2" s="52"/>
      <c r="K2" s="52"/>
      <c r="L2" s="953"/>
      <c r="M2" s="52"/>
      <c r="N2" s="52"/>
      <c r="O2" s="52"/>
    </row>
    <row r="3" spans="1:18" s="49" customFormat="1" ht="9" customHeight="1" thickBot="1">
      <c r="A3" s="48"/>
      <c r="I3" s="954"/>
      <c r="L3" s="954"/>
      <c r="R3" s="997"/>
    </row>
    <row r="4" spans="2:18" s="950" customFormat="1" ht="51">
      <c r="B4" s="1155" t="s">
        <v>554</v>
      </c>
      <c r="C4" s="1156"/>
      <c r="D4" s="951" t="s">
        <v>1454</v>
      </c>
      <c r="E4" s="951" t="s">
        <v>553</v>
      </c>
      <c r="F4" s="951" t="s">
        <v>617</v>
      </c>
      <c r="G4" s="951" t="s">
        <v>72</v>
      </c>
      <c r="H4" s="951" t="s">
        <v>104</v>
      </c>
      <c r="I4" s="951" t="s">
        <v>1456</v>
      </c>
      <c r="J4" s="951" t="s">
        <v>548</v>
      </c>
      <c r="K4" s="951" t="s">
        <v>552</v>
      </c>
      <c r="L4" s="951" t="s">
        <v>551</v>
      </c>
      <c r="M4" s="951" t="s">
        <v>550</v>
      </c>
      <c r="N4" s="951" t="s">
        <v>547</v>
      </c>
      <c r="O4" s="951" t="s">
        <v>549</v>
      </c>
      <c r="P4" s="951" t="s">
        <v>72</v>
      </c>
      <c r="Q4" s="951" t="s">
        <v>548</v>
      </c>
      <c r="R4" s="952" t="s">
        <v>547</v>
      </c>
    </row>
    <row r="5" spans="2:1019" ht="15">
      <c r="B5" s="198">
        <v>3</v>
      </c>
      <c r="C5" s="199"/>
      <c r="D5" s="200" t="s">
        <v>381</v>
      </c>
      <c r="E5" s="201"/>
      <c r="F5" s="202"/>
      <c r="G5" s="202"/>
      <c r="H5" s="202"/>
      <c r="I5" s="955"/>
      <c r="J5" s="202"/>
      <c r="K5" s="202"/>
      <c r="L5" s="955"/>
      <c r="M5" s="202"/>
      <c r="N5" s="203"/>
      <c r="O5" s="201"/>
      <c r="P5" s="202"/>
      <c r="Q5" s="202"/>
      <c r="R5" s="99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c r="AAX5" s="8"/>
      <c r="AAY5" s="8"/>
      <c r="AAZ5" s="8"/>
      <c r="ABA5" s="8"/>
      <c r="ABB5" s="8"/>
      <c r="ABC5" s="8"/>
      <c r="ABD5" s="8"/>
      <c r="ABE5" s="8"/>
      <c r="ABF5" s="8"/>
      <c r="ABG5" s="8"/>
      <c r="ABH5" s="8"/>
      <c r="ABI5" s="8"/>
      <c r="ABJ5" s="8"/>
      <c r="ABK5" s="8"/>
      <c r="ABL5" s="8"/>
      <c r="ABM5" s="8"/>
      <c r="ABN5" s="8"/>
      <c r="ABO5" s="8"/>
      <c r="ABP5" s="8"/>
      <c r="ABQ5" s="8"/>
      <c r="ABR5" s="8"/>
      <c r="ABS5" s="8"/>
      <c r="ABT5" s="8"/>
      <c r="ABU5" s="8"/>
      <c r="ABV5" s="8"/>
      <c r="ABW5" s="8"/>
      <c r="ABX5" s="8"/>
      <c r="ABY5" s="8"/>
      <c r="ABZ5" s="8"/>
      <c r="ACA5" s="8"/>
      <c r="ACB5" s="8"/>
      <c r="ACC5" s="8"/>
      <c r="ACD5" s="8"/>
      <c r="ACE5" s="8"/>
      <c r="ACF5" s="8"/>
      <c r="ACG5" s="8"/>
      <c r="ACH5" s="8"/>
      <c r="ACI5" s="8"/>
      <c r="ACJ5" s="8"/>
      <c r="ACK5" s="8"/>
      <c r="ACL5" s="8"/>
      <c r="ACM5" s="8"/>
      <c r="ACN5" s="8"/>
      <c r="ACO5" s="8"/>
      <c r="ACP5" s="8"/>
      <c r="ACQ5" s="8"/>
      <c r="ACR5" s="8"/>
      <c r="ACS5" s="8"/>
      <c r="ACT5" s="8"/>
      <c r="ACU5" s="8"/>
      <c r="ACV5" s="8"/>
      <c r="ACW5" s="8"/>
      <c r="ACX5" s="8"/>
      <c r="ACY5" s="8"/>
      <c r="ACZ5" s="8"/>
      <c r="ADA5" s="8"/>
      <c r="ADB5" s="8"/>
      <c r="ADC5" s="8"/>
      <c r="ADD5" s="8"/>
      <c r="ADE5" s="8"/>
      <c r="ADF5" s="8"/>
      <c r="ADG5" s="8"/>
      <c r="ADH5" s="8"/>
      <c r="ADI5" s="8"/>
      <c r="ADJ5" s="8"/>
      <c r="ADK5" s="8"/>
      <c r="ADL5" s="8"/>
      <c r="ADM5" s="8"/>
      <c r="ADN5" s="8"/>
      <c r="ADO5" s="8"/>
      <c r="ADP5" s="8"/>
      <c r="ADQ5" s="8"/>
      <c r="ADR5" s="8"/>
      <c r="ADS5" s="8"/>
      <c r="ADT5" s="8"/>
      <c r="ADU5" s="8"/>
      <c r="ADV5" s="8"/>
      <c r="ADW5" s="8"/>
      <c r="ADX5" s="8"/>
      <c r="ADY5" s="8"/>
      <c r="ADZ5" s="8"/>
      <c r="AEA5" s="8"/>
      <c r="AEB5" s="8"/>
      <c r="AEC5" s="8"/>
      <c r="AED5" s="8"/>
      <c r="AEE5" s="8"/>
      <c r="AEF5" s="8"/>
      <c r="AEG5" s="8"/>
      <c r="AEH5" s="8"/>
      <c r="AEI5" s="8"/>
      <c r="AEJ5" s="8"/>
      <c r="AEK5" s="8"/>
      <c r="AEL5" s="8"/>
      <c r="AEM5" s="8"/>
      <c r="AEN5" s="8"/>
      <c r="AEO5" s="8"/>
      <c r="AEP5" s="8"/>
      <c r="AEQ5" s="8"/>
      <c r="AER5" s="8"/>
      <c r="AES5" s="8"/>
      <c r="AET5" s="8"/>
      <c r="AEU5" s="8"/>
      <c r="AEV5" s="8"/>
      <c r="AEW5" s="8"/>
      <c r="AEX5" s="8"/>
      <c r="AEY5" s="8"/>
      <c r="AEZ5" s="8"/>
      <c r="AFA5" s="8"/>
      <c r="AFB5" s="8"/>
      <c r="AFC5" s="8"/>
      <c r="AFD5" s="8"/>
      <c r="AFE5" s="8"/>
      <c r="AFF5" s="8"/>
      <c r="AFG5" s="8"/>
      <c r="AFH5" s="8"/>
      <c r="AFI5" s="8"/>
      <c r="AFJ5" s="8"/>
      <c r="AFK5" s="8"/>
      <c r="AFL5" s="8"/>
      <c r="AFM5" s="8"/>
      <c r="AFN5" s="8"/>
      <c r="AFO5" s="8"/>
      <c r="AFP5" s="8"/>
      <c r="AFQ5" s="8"/>
      <c r="AFR5" s="8"/>
      <c r="AFS5" s="8"/>
      <c r="AFT5" s="8"/>
      <c r="AFU5" s="8"/>
      <c r="AFV5" s="8"/>
      <c r="AFW5" s="8"/>
      <c r="AFX5" s="8"/>
      <c r="AFY5" s="8"/>
      <c r="AFZ5" s="8"/>
      <c r="AGA5" s="8"/>
      <c r="AGB5" s="8"/>
      <c r="AGC5" s="8"/>
      <c r="AGD5" s="8"/>
      <c r="AGE5" s="8"/>
      <c r="AGF5" s="8"/>
      <c r="AGG5" s="8"/>
      <c r="AGH5" s="8"/>
      <c r="AGI5" s="8"/>
      <c r="AGJ5" s="8"/>
      <c r="AGK5" s="8"/>
      <c r="AGL5" s="8"/>
      <c r="AGM5" s="8"/>
      <c r="AGN5" s="8"/>
      <c r="AGO5" s="8"/>
      <c r="AGP5" s="8"/>
      <c r="AGQ5" s="8"/>
      <c r="AGR5" s="8"/>
      <c r="AGS5" s="8"/>
      <c r="AGT5" s="8"/>
      <c r="AGU5" s="8"/>
      <c r="AGV5" s="8"/>
      <c r="AGW5" s="8"/>
      <c r="AGX5" s="8"/>
      <c r="AGY5" s="8"/>
      <c r="AGZ5" s="8"/>
      <c r="AHA5" s="8"/>
      <c r="AHB5" s="8"/>
      <c r="AHC5" s="8"/>
      <c r="AHD5" s="8"/>
      <c r="AHE5" s="8"/>
      <c r="AHF5" s="8"/>
      <c r="AHG5" s="8"/>
      <c r="AHH5" s="8"/>
      <c r="AHI5" s="8"/>
      <c r="AHJ5" s="8"/>
      <c r="AHK5" s="8"/>
      <c r="AHL5" s="8"/>
      <c r="AHM5" s="8"/>
      <c r="AHN5" s="8"/>
      <c r="AHO5" s="8"/>
      <c r="AHP5" s="8"/>
      <c r="AHQ5" s="8"/>
      <c r="AHR5" s="8"/>
      <c r="AHS5" s="8"/>
      <c r="AHT5" s="8"/>
      <c r="AHU5" s="8"/>
      <c r="AHV5" s="8"/>
      <c r="AHW5" s="8"/>
      <c r="AHX5" s="8"/>
      <c r="AHY5" s="8"/>
      <c r="AHZ5" s="8"/>
      <c r="AIA5" s="8"/>
      <c r="AIB5" s="8"/>
      <c r="AIC5" s="8"/>
      <c r="AID5" s="8"/>
      <c r="AIE5" s="8"/>
      <c r="AIF5" s="8"/>
      <c r="AIG5" s="8"/>
      <c r="AIH5" s="8"/>
      <c r="AII5" s="8"/>
      <c r="AIJ5" s="8"/>
      <c r="AIK5" s="8"/>
      <c r="AIL5" s="8"/>
      <c r="AIM5" s="8"/>
      <c r="AIN5" s="8"/>
      <c r="AIO5" s="8"/>
      <c r="AIP5" s="8"/>
      <c r="AIQ5" s="8"/>
      <c r="AIR5" s="8"/>
      <c r="AIS5" s="8"/>
      <c r="AIT5" s="8"/>
      <c r="AIU5" s="8"/>
      <c r="AIV5" s="8"/>
      <c r="AIW5" s="8"/>
      <c r="AIX5" s="8"/>
      <c r="AIY5" s="8"/>
      <c r="AIZ5" s="8"/>
      <c r="AJA5" s="8"/>
      <c r="AJB5" s="8"/>
      <c r="AJC5" s="8"/>
      <c r="AJD5" s="8"/>
      <c r="AJE5" s="8"/>
      <c r="AJF5" s="8"/>
      <c r="AJG5" s="8"/>
      <c r="AJH5" s="8"/>
      <c r="AJI5" s="8"/>
      <c r="AJJ5" s="8"/>
      <c r="AJK5" s="8"/>
      <c r="AJL5" s="8"/>
      <c r="AJM5" s="8"/>
      <c r="AJN5" s="8"/>
      <c r="AJO5" s="8"/>
      <c r="AJP5" s="8"/>
      <c r="AJQ5" s="8"/>
      <c r="AJR5" s="8"/>
      <c r="AJS5" s="8"/>
      <c r="AJT5" s="8"/>
      <c r="AJU5" s="8"/>
      <c r="AJV5" s="8"/>
      <c r="AJW5" s="8"/>
      <c r="AJX5" s="8"/>
      <c r="AJY5" s="8"/>
      <c r="AJZ5" s="8"/>
      <c r="AKA5" s="8"/>
      <c r="AKB5" s="8"/>
      <c r="AKC5" s="8"/>
      <c r="AKD5" s="8"/>
      <c r="AKE5" s="8"/>
      <c r="AKF5" s="8"/>
      <c r="AKG5" s="8"/>
      <c r="AKH5" s="8"/>
      <c r="AKI5" s="8"/>
      <c r="AKJ5" s="8"/>
      <c r="AKK5" s="8"/>
      <c r="AKL5" s="8"/>
      <c r="AKM5" s="8"/>
      <c r="AKN5" s="8"/>
      <c r="AKO5" s="8"/>
      <c r="AKP5" s="8"/>
      <c r="AKQ5" s="8"/>
      <c r="AKR5" s="8"/>
      <c r="AKS5" s="8"/>
      <c r="AKT5" s="8"/>
      <c r="AKU5" s="8"/>
      <c r="AKV5" s="8"/>
      <c r="AKW5" s="8"/>
      <c r="AKX5" s="8"/>
      <c r="AKY5" s="8"/>
      <c r="AKZ5" s="8"/>
      <c r="ALA5" s="8"/>
      <c r="ALB5" s="8"/>
      <c r="ALC5" s="8"/>
      <c r="ALD5" s="8"/>
      <c r="ALE5" s="8"/>
      <c r="ALF5" s="8"/>
      <c r="ALG5" s="8"/>
      <c r="ALH5" s="8"/>
      <c r="ALI5" s="8"/>
      <c r="ALJ5" s="8"/>
      <c r="ALK5" s="8"/>
      <c r="ALL5" s="8"/>
      <c r="ALM5" s="8"/>
      <c r="ALN5" s="8"/>
      <c r="ALO5" s="8"/>
      <c r="ALP5" s="8"/>
      <c r="ALQ5" s="8"/>
      <c r="ALR5" s="8"/>
      <c r="ALS5" s="8"/>
      <c r="ALT5" s="8"/>
      <c r="ALU5" s="8"/>
      <c r="ALV5" s="8"/>
      <c r="ALW5" s="8"/>
      <c r="ALX5" s="8"/>
      <c r="ALY5" s="8"/>
      <c r="ALZ5" s="8"/>
      <c r="AMA5" s="8"/>
      <c r="AMB5" s="8"/>
      <c r="AMC5" s="8"/>
      <c r="AMD5" s="8"/>
      <c r="AME5" s="8"/>
    </row>
    <row r="6" spans="2:1019" ht="38.25">
      <c r="B6" s="204"/>
      <c r="C6" s="1157" t="s">
        <v>392</v>
      </c>
      <c r="D6" s="1135" t="s">
        <v>382</v>
      </c>
      <c r="E6" s="1138" t="s">
        <v>618</v>
      </c>
      <c r="F6" s="1138" t="s">
        <v>628</v>
      </c>
      <c r="G6" s="1138" t="s">
        <v>1455</v>
      </c>
      <c r="H6" s="1126" t="s">
        <v>642</v>
      </c>
      <c r="I6" s="1128" t="s">
        <v>1457</v>
      </c>
      <c r="J6" s="245" t="s">
        <v>1458</v>
      </c>
      <c r="K6" s="1126" t="s">
        <v>546</v>
      </c>
      <c r="L6" s="1128" t="s">
        <v>632</v>
      </c>
      <c r="M6" s="1126" t="s">
        <v>1153</v>
      </c>
      <c r="N6" s="1141" t="s">
        <v>635</v>
      </c>
      <c r="O6" s="1126" t="s">
        <v>636</v>
      </c>
      <c r="P6" s="1126"/>
      <c r="Q6" s="1142" t="s">
        <v>1245</v>
      </c>
      <c r="R6" s="1123" t="s">
        <v>1252</v>
      </c>
      <c r="T6" s="53"/>
      <c r="U6" s="64"/>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row>
    <row r="7" spans="2:1019" ht="66" customHeight="1">
      <c r="B7" s="246"/>
      <c r="C7" s="1134"/>
      <c r="D7" s="1136"/>
      <c r="E7" s="1139"/>
      <c r="F7" s="1139"/>
      <c r="G7" s="1139"/>
      <c r="H7" s="1130"/>
      <c r="I7" s="1129"/>
      <c r="J7" s="245" t="s">
        <v>1011</v>
      </c>
      <c r="K7" s="1130"/>
      <c r="L7" s="1129"/>
      <c r="M7" s="1130"/>
      <c r="N7" s="1141"/>
      <c r="O7" s="1130"/>
      <c r="P7" s="1130"/>
      <c r="Q7" s="1143"/>
      <c r="R7" s="1124"/>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row>
    <row r="8" spans="2:1019" ht="39" customHeight="1">
      <c r="B8" s="246"/>
      <c r="C8" s="1134"/>
      <c r="D8" s="1136"/>
      <c r="E8" s="1139"/>
      <c r="F8" s="51" t="s">
        <v>629</v>
      </c>
      <c r="G8" s="249" t="s">
        <v>355</v>
      </c>
      <c r="H8" s="249" t="s">
        <v>642</v>
      </c>
      <c r="I8" s="1129"/>
      <c r="J8" s="245" t="s">
        <v>1257</v>
      </c>
      <c r="K8" s="1130"/>
      <c r="L8" s="1129"/>
      <c r="M8" s="1130"/>
      <c r="N8" s="1141"/>
      <c r="O8" s="1130"/>
      <c r="P8" s="1130"/>
      <c r="Q8" s="1143"/>
      <c r="R8" s="1124"/>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row>
    <row r="9" spans="2:1019" ht="39.75" customHeight="1">
      <c r="B9" s="246"/>
      <c r="C9" s="1134"/>
      <c r="D9" s="1136"/>
      <c r="E9" s="1139"/>
      <c r="F9" s="248" t="s">
        <v>630</v>
      </c>
      <c r="G9" s="245" t="s">
        <v>356</v>
      </c>
      <c r="H9" s="245" t="s">
        <v>76</v>
      </c>
      <c r="I9" s="1129"/>
      <c r="J9" s="245" t="s">
        <v>1257</v>
      </c>
      <c r="K9" s="1130"/>
      <c r="L9" s="1129"/>
      <c r="M9" s="1130"/>
      <c r="N9" s="1141"/>
      <c r="O9" s="1127"/>
      <c r="P9" s="1127"/>
      <c r="Q9" s="1144"/>
      <c r="R9" s="1124"/>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row>
    <row r="10" spans="2:1019" ht="147" customHeight="1">
      <c r="B10" s="246"/>
      <c r="C10" s="1134"/>
      <c r="D10" s="1136"/>
      <c r="E10" s="1139"/>
      <c r="F10" s="251" t="s">
        <v>754</v>
      </c>
      <c r="G10" s="251" t="s">
        <v>755</v>
      </c>
      <c r="H10" s="251" t="s">
        <v>347</v>
      </c>
      <c r="I10" s="1149"/>
      <c r="J10" s="237" t="s">
        <v>1258</v>
      </c>
      <c r="K10" s="250" t="s">
        <v>756</v>
      </c>
      <c r="L10" s="1149"/>
      <c r="M10" s="1130"/>
      <c r="N10" s="1126" t="s">
        <v>757</v>
      </c>
      <c r="O10" s="1126" t="s">
        <v>758</v>
      </c>
      <c r="P10" s="1126" t="s">
        <v>759</v>
      </c>
      <c r="Q10" s="1126" t="s">
        <v>1246</v>
      </c>
      <c r="R10" s="1124"/>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c r="AMB10" s="8"/>
      <c r="AMC10" s="8"/>
      <c r="AMD10" s="8"/>
      <c r="AME10" s="8"/>
    </row>
    <row r="11" spans="2:1019" ht="38.25" customHeight="1">
      <c r="B11" s="246"/>
      <c r="C11" s="1134"/>
      <c r="D11" s="1136"/>
      <c r="E11" s="1139"/>
      <c r="F11" s="1158" t="s">
        <v>760</v>
      </c>
      <c r="G11" s="251" t="s">
        <v>761</v>
      </c>
      <c r="H11" s="251" t="s">
        <v>762</v>
      </c>
      <c r="I11" s="1149"/>
      <c r="J11" s="251" t="s">
        <v>715</v>
      </c>
      <c r="K11" s="1153" t="s">
        <v>763</v>
      </c>
      <c r="L11" s="1129"/>
      <c r="M11" s="1130"/>
      <c r="N11" s="1130"/>
      <c r="O11" s="1130"/>
      <c r="P11" s="1130"/>
      <c r="Q11" s="1130"/>
      <c r="R11" s="1124"/>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c r="VU11" s="8"/>
      <c r="VV11" s="8"/>
      <c r="VW11" s="8"/>
      <c r="VX11" s="8"/>
      <c r="VY11" s="8"/>
      <c r="VZ11" s="8"/>
      <c r="WA11" s="8"/>
      <c r="WB11" s="8"/>
      <c r="WC11" s="8"/>
      <c r="WD11" s="8"/>
      <c r="WE11" s="8"/>
      <c r="WF11" s="8"/>
      <c r="WG11" s="8"/>
      <c r="WH11" s="8"/>
      <c r="WI11" s="8"/>
      <c r="WJ11" s="8"/>
      <c r="WK11" s="8"/>
      <c r="WL11" s="8"/>
      <c r="WM11" s="8"/>
      <c r="WN11" s="8"/>
      <c r="WO11" s="8"/>
      <c r="WP11" s="8"/>
      <c r="WQ11" s="8"/>
      <c r="WR11" s="8"/>
      <c r="WS11" s="8"/>
      <c r="WT11" s="8"/>
      <c r="WU11" s="8"/>
      <c r="WV11" s="8"/>
      <c r="WW11" s="8"/>
      <c r="WX11" s="8"/>
      <c r="WY11" s="8"/>
      <c r="WZ11" s="8"/>
      <c r="XA11" s="8"/>
      <c r="XB11" s="8"/>
      <c r="XC11" s="8"/>
      <c r="XD11" s="8"/>
      <c r="XE11" s="8"/>
      <c r="XF11" s="8"/>
      <c r="XG11" s="8"/>
      <c r="XH11" s="8"/>
      <c r="XI11" s="8"/>
      <c r="XJ11" s="8"/>
      <c r="XK11" s="8"/>
      <c r="XL11" s="8"/>
      <c r="XM11" s="8"/>
      <c r="XN11" s="8"/>
      <c r="XO11" s="8"/>
      <c r="XP11" s="8"/>
      <c r="XQ11" s="8"/>
      <c r="XR11" s="8"/>
      <c r="XS11" s="8"/>
      <c r="XT11" s="8"/>
      <c r="XU11" s="8"/>
      <c r="XV11" s="8"/>
      <c r="XW11" s="8"/>
      <c r="XX11" s="8"/>
      <c r="XY11" s="8"/>
      <c r="XZ11" s="8"/>
      <c r="YA11" s="8"/>
      <c r="YB11" s="8"/>
      <c r="YC11" s="8"/>
      <c r="YD11" s="8"/>
      <c r="YE11" s="8"/>
      <c r="YF11" s="8"/>
      <c r="YG11" s="8"/>
      <c r="YH11" s="8"/>
      <c r="YI11" s="8"/>
      <c r="YJ11" s="8"/>
      <c r="YK11" s="8"/>
      <c r="YL11" s="8"/>
      <c r="YM11" s="8"/>
      <c r="YN11" s="8"/>
      <c r="YO11" s="8"/>
      <c r="YP11" s="8"/>
      <c r="YQ11" s="8"/>
      <c r="YR11" s="8"/>
      <c r="YS11" s="8"/>
      <c r="YT11" s="8"/>
      <c r="YU11" s="8"/>
      <c r="YV11" s="8"/>
      <c r="YW11" s="8"/>
      <c r="YX11" s="8"/>
      <c r="YY11" s="8"/>
      <c r="YZ11" s="8"/>
      <c r="ZA11" s="8"/>
      <c r="ZB11" s="8"/>
      <c r="ZC11" s="8"/>
      <c r="ZD11" s="8"/>
      <c r="ZE11" s="8"/>
      <c r="ZF11" s="8"/>
      <c r="ZG11" s="8"/>
      <c r="ZH11" s="8"/>
      <c r="ZI11" s="8"/>
      <c r="ZJ11" s="8"/>
      <c r="ZK11" s="8"/>
      <c r="ZL11" s="8"/>
      <c r="ZM11" s="8"/>
      <c r="ZN11" s="8"/>
      <c r="ZO11" s="8"/>
      <c r="ZP11" s="8"/>
      <c r="ZQ11" s="8"/>
      <c r="ZR11" s="8"/>
      <c r="ZS11" s="8"/>
      <c r="ZT11" s="8"/>
      <c r="ZU11" s="8"/>
      <c r="ZV11" s="8"/>
      <c r="ZW11" s="8"/>
      <c r="ZX11" s="8"/>
      <c r="ZY11" s="8"/>
      <c r="ZZ11" s="8"/>
      <c r="AAA11" s="8"/>
      <c r="AAB11" s="8"/>
      <c r="AAC11" s="8"/>
      <c r="AAD11" s="8"/>
      <c r="AAE11" s="8"/>
      <c r="AAF11" s="8"/>
      <c r="AAG11" s="8"/>
      <c r="AAH11" s="8"/>
      <c r="AAI11" s="8"/>
      <c r="AAJ11" s="8"/>
      <c r="AAK11" s="8"/>
      <c r="AAL11" s="8"/>
      <c r="AAM11" s="8"/>
      <c r="AAN11" s="8"/>
      <c r="AAO11" s="8"/>
      <c r="AAP11" s="8"/>
      <c r="AAQ11" s="8"/>
      <c r="AAR11" s="8"/>
      <c r="AAS11" s="8"/>
      <c r="AAT11" s="8"/>
      <c r="AAU11" s="8"/>
      <c r="AAV11" s="8"/>
      <c r="AAW11" s="8"/>
      <c r="AAX11" s="8"/>
      <c r="AAY11" s="8"/>
      <c r="AAZ11" s="8"/>
      <c r="ABA11" s="8"/>
      <c r="ABB11" s="8"/>
      <c r="ABC11" s="8"/>
      <c r="ABD11" s="8"/>
      <c r="ABE11" s="8"/>
      <c r="ABF11" s="8"/>
      <c r="ABG11" s="8"/>
      <c r="ABH11" s="8"/>
      <c r="ABI11" s="8"/>
      <c r="ABJ11" s="8"/>
      <c r="ABK11" s="8"/>
      <c r="ABL11" s="8"/>
      <c r="ABM11" s="8"/>
      <c r="ABN11" s="8"/>
      <c r="ABO11" s="8"/>
      <c r="ABP11" s="8"/>
      <c r="ABQ11" s="8"/>
      <c r="ABR11" s="8"/>
      <c r="ABS11" s="8"/>
      <c r="ABT11" s="8"/>
      <c r="ABU11" s="8"/>
      <c r="ABV11" s="8"/>
      <c r="ABW11" s="8"/>
      <c r="ABX11" s="8"/>
      <c r="ABY11" s="8"/>
      <c r="ABZ11" s="8"/>
      <c r="ACA11" s="8"/>
      <c r="ACB11" s="8"/>
      <c r="ACC11" s="8"/>
      <c r="ACD11" s="8"/>
      <c r="ACE11" s="8"/>
      <c r="ACF11" s="8"/>
      <c r="ACG11" s="8"/>
      <c r="ACH11" s="8"/>
      <c r="ACI11" s="8"/>
      <c r="ACJ11" s="8"/>
      <c r="ACK11" s="8"/>
      <c r="ACL11" s="8"/>
      <c r="ACM11" s="8"/>
      <c r="ACN11" s="8"/>
      <c r="ACO11" s="8"/>
      <c r="ACP11" s="8"/>
      <c r="ACQ11" s="8"/>
      <c r="ACR11" s="8"/>
      <c r="ACS11" s="8"/>
      <c r="ACT11" s="8"/>
      <c r="ACU11" s="8"/>
      <c r="ACV11" s="8"/>
      <c r="ACW11" s="8"/>
      <c r="ACX11" s="8"/>
      <c r="ACY11" s="8"/>
      <c r="ACZ11" s="8"/>
      <c r="ADA11" s="8"/>
      <c r="ADB11" s="8"/>
      <c r="ADC11" s="8"/>
      <c r="ADD11" s="8"/>
      <c r="ADE11" s="8"/>
      <c r="ADF11" s="8"/>
      <c r="ADG11" s="8"/>
      <c r="ADH11" s="8"/>
      <c r="ADI11" s="8"/>
      <c r="ADJ11" s="8"/>
      <c r="ADK11" s="8"/>
      <c r="ADL11" s="8"/>
      <c r="ADM11" s="8"/>
      <c r="ADN11" s="8"/>
      <c r="ADO11" s="8"/>
      <c r="ADP11" s="8"/>
      <c r="ADQ11" s="8"/>
      <c r="ADR11" s="8"/>
      <c r="ADS11" s="8"/>
      <c r="ADT11" s="8"/>
      <c r="ADU11" s="8"/>
      <c r="ADV11" s="8"/>
      <c r="ADW11" s="8"/>
      <c r="ADX11" s="8"/>
      <c r="ADY11" s="8"/>
      <c r="ADZ11" s="8"/>
      <c r="AEA11" s="8"/>
      <c r="AEB11" s="8"/>
      <c r="AEC11" s="8"/>
      <c r="AED11" s="8"/>
      <c r="AEE11" s="8"/>
      <c r="AEF11" s="8"/>
      <c r="AEG11" s="8"/>
      <c r="AEH11" s="8"/>
      <c r="AEI11" s="8"/>
      <c r="AEJ11" s="8"/>
      <c r="AEK11" s="8"/>
      <c r="AEL11" s="8"/>
      <c r="AEM11" s="8"/>
      <c r="AEN11" s="8"/>
      <c r="AEO11" s="8"/>
      <c r="AEP11" s="8"/>
      <c r="AEQ11" s="8"/>
      <c r="AER11" s="8"/>
      <c r="AES11" s="8"/>
      <c r="AET11" s="8"/>
      <c r="AEU11" s="8"/>
      <c r="AEV11" s="8"/>
      <c r="AEW11" s="8"/>
      <c r="AEX11" s="8"/>
      <c r="AEY11" s="8"/>
      <c r="AEZ11" s="8"/>
      <c r="AFA11" s="8"/>
      <c r="AFB11" s="8"/>
      <c r="AFC11" s="8"/>
      <c r="AFD11" s="8"/>
      <c r="AFE11" s="8"/>
      <c r="AFF11" s="8"/>
      <c r="AFG11" s="8"/>
      <c r="AFH11" s="8"/>
      <c r="AFI11" s="8"/>
      <c r="AFJ11" s="8"/>
      <c r="AFK11" s="8"/>
      <c r="AFL11" s="8"/>
      <c r="AFM11" s="8"/>
      <c r="AFN11" s="8"/>
      <c r="AFO11" s="8"/>
      <c r="AFP11" s="8"/>
      <c r="AFQ11" s="8"/>
      <c r="AFR11" s="8"/>
      <c r="AFS11" s="8"/>
      <c r="AFT11" s="8"/>
      <c r="AFU11" s="8"/>
      <c r="AFV11" s="8"/>
      <c r="AFW11" s="8"/>
      <c r="AFX11" s="8"/>
      <c r="AFY11" s="8"/>
      <c r="AFZ11" s="8"/>
      <c r="AGA11" s="8"/>
      <c r="AGB11" s="8"/>
      <c r="AGC11" s="8"/>
      <c r="AGD11" s="8"/>
      <c r="AGE11" s="8"/>
      <c r="AGF11" s="8"/>
      <c r="AGG11" s="8"/>
      <c r="AGH11" s="8"/>
      <c r="AGI11" s="8"/>
      <c r="AGJ11" s="8"/>
      <c r="AGK11" s="8"/>
      <c r="AGL11" s="8"/>
      <c r="AGM11" s="8"/>
      <c r="AGN11" s="8"/>
      <c r="AGO11" s="8"/>
      <c r="AGP11" s="8"/>
      <c r="AGQ11" s="8"/>
      <c r="AGR11" s="8"/>
      <c r="AGS11" s="8"/>
      <c r="AGT11" s="8"/>
      <c r="AGU11" s="8"/>
      <c r="AGV11" s="8"/>
      <c r="AGW11" s="8"/>
      <c r="AGX11" s="8"/>
      <c r="AGY11" s="8"/>
      <c r="AGZ11" s="8"/>
      <c r="AHA11" s="8"/>
      <c r="AHB11" s="8"/>
      <c r="AHC11" s="8"/>
      <c r="AHD11" s="8"/>
      <c r="AHE11" s="8"/>
      <c r="AHF11" s="8"/>
      <c r="AHG11" s="8"/>
      <c r="AHH11" s="8"/>
      <c r="AHI11" s="8"/>
      <c r="AHJ11" s="8"/>
      <c r="AHK11" s="8"/>
      <c r="AHL11" s="8"/>
      <c r="AHM11" s="8"/>
      <c r="AHN11" s="8"/>
      <c r="AHO11" s="8"/>
      <c r="AHP11" s="8"/>
      <c r="AHQ11" s="8"/>
      <c r="AHR11" s="8"/>
      <c r="AHS11" s="8"/>
      <c r="AHT11" s="8"/>
      <c r="AHU11" s="8"/>
      <c r="AHV11" s="8"/>
      <c r="AHW11" s="8"/>
      <c r="AHX11" s="8"/>
      <c r="AHY11" s="8"/>
      <c r="AHZ11" s="8"/>
      <c r="AIA11" s="8"/>
      <c r="AIB11" s="8"/>
      <c r="AIC11" s="8"/>
      <c r="AID11" s="8"/>
      <c r="AIE11" s="8"/>
      <c r="AIF11" s="8"/>
      <c r="AIG11" s="8"/>
      <c r="AIH11" s="8"/>
      <c r="AII11" s="8"/>
      <c r="AIJ11" s="8"/>
      <c r="AIK11" s="8"/>
      <c r="AIL11" s="8"/>
      <c r="AIM11" s="8"/>
      <c r="AIN11" s="8"/>
      <c r="AIO11" s="8"/>
      <c r="AIP11" s="8"/>
      <c r="AIQ11" s="8"/>
      <c r="AIR11" s="8"/>
      <c r="AIS11" s="8"/>
      <c r="AIT11" s="8"/>
      <c r="AIU11" s="8"/>
      <c r="AIV11" s="8"/>
      <c r="AIW11" s="8"/>
      <c r="AIX11" s="8"/>
      <c r="AIY11" s="8"/>
      <c r="AIZ11" s="8"/>
      <c r="AJA11" s="8"/>
      <c r="AJB11" s="8"/>
      <c r="AJC11" s="8"/>
      <c r="AJD11" s="8"/>
      <c r="AJE11" s="8"/>
      <c r="AJF11" s="8"/>
      <c r="AJG11" s="8"/>
      <c r="AJH11" s="8"/>
      <c r="AJI11" s="8"/>
      <c r="AJJ11" s="8"/>
      <c r="AJK11" s="8"/>
      <c r="AJL11" s="8"/>
      <c r="AJM11" s="8"/>
      <c r="AJN11" s="8"/>
      <c r="AJO11" s="8"/>
      <c r="AJP11" s="8"/>
      <c r="AJQ11" s="8"/>
      <c r="AJR11" s="8"/>
      <c r="AJS11" s="8"/>
      <c r="AJT11" s="8"/>
      <c r="AJU11" s="8"/>
      <c r="AJV11" s="8"/>
      <c r="AJW11" s="8"/>
      <c r="AJX11" s="8"/>
      <c r="AJY11" s="8"/>
      <c r="AJZ11" s="8"/>
      <c r="AKA11" s="8"/>
      <c r="AKB11" s="8"/>
      <c r="AKC11" s="8"/>
      <c r="AKD11" s="8"/>
      <c r="AKE11" s="8"/>
      <c r="AKF11" s="8"/>
      <c r="AKG11" s="8"/>
      <c r="AKH11" s="8"/>
      <c r="AKI11" s="8"/>
      <c r="AKJ11" s="8"/>
      <c r="AKK11" s="8"/>
      <c r="AKL11" s="8"/>
      <c r="AKM11" s="8"/>
      <c r="AKN11" s="8"/>
      <c r="AKO11" s="8"/>
      <c r="AKP11" s="8"/>
      <c r="AKQ11" s="8"/>
      <c r="AKR11" s="8"/>
      <c r="AKS11" s="8"/>
      <c r="AKT11" s="8"/>
      <c r="AKU11" s="8"/>
      <c r="AKV11" s="8"/>
      <c r="AKW11" s="8"/>
      <c r="AKX11" s="8"/>
      <c r="AKY11" s="8"/>
      <c r="AKZ11" s="8"/>
      <c r="ALA11" s="8"/>
      <c r="ALB11" s="8"/>
      <c r="ALC11" s="8"/>
      <c r="ALD11" s="8"/>
      <c r="ALE11" s="8"/>
      <c r="ALF11" s="8"/>
      <c r="ALG11" s="8"/>
      <c r="ALH11" s="8"/>
      <c r="ALI11" s="8"/>
      <c r="ALJ11" s="8"/>
      <c r="ALK11" s="8"/>
      <c r="ALL11" s="8"/>
      <c r="ALM11" s="8"/>
      <c r="ALN11" s="8"/>
      <c r="ALO11" s="8"/>
      <c r="ALP11" s="8"/>
      <c r="ALQ11" s="8"/>
      <c r="ALR11" s="8"/>
      <c r="ALS11" s="8"/>
      <c r="ALT11" s="8"/>
      <c r="ALU11" s="8"/>
      <c r="ALV11" s="8"/>
      <c r="ALW11" s="8"/>
      <c r="ALX11" s="8"/>
      <c r="ALY11" s="8"/>
      <c r="ALZ11" s="8"/>
      <c r="AMA11" s="8"/>
      <c r="AMB11" s="8"/>
      <c r="AMC11" s="8"/>
      <c r="AMD11" s="8"/>
      <c r="AME11" s="8"/>
    </row>
    <row r="12" spans="2:1019" ht="51" customHeight="1">
      <c r="B12" s="246"/>
      <c r="C12" s="1134"/>
      <c r="D12" s="1136"/>
      <c r="E12" s="1139"/>
      <c r="F12" s="1158"/>
      <c r="G12" s="251" t="s">
        <v>764</v>
      </c>
      <c r="H12" s="251" t="s">
        <v>347</v>
      </c>
      <c r="I12" s="1149"/>
      <c r="J12" s="251" t="s">
        <v>715</v>
      </c>
      <c r="K12" s="1153"/>
      <c r="L12" s="1129"/>
      <c r="M12" s="1130"/>
      <c r="N12" s="1130"/>
      <c r="O12" s="1130"/>
      <c r="P12" s="1130"/>
      <c r="Q12" s="1130"/>
      <c r="R12" s="1124"/>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c r="VT12" s="8"/>
      <c r="VU12" s="8"/>
      <c r="VV12" s="8"/>
      <c r="VW12" s="8"/>
      <c r="VX12" s="8"/>
      <c r="VY12" s="8"/>
      <c r="VZ12" s="8"/>
      <c r="WA12" s="8"/>
      <c r="WB12" s="8"/>
      <c r="WC12" s="8"/>
      <c r="WD12" s="8"/>
      <c r="WE12" s="8"/>
      <c r="WF12" s="8"/>
      <c r="WG12" s="8"/>
      <c r="WH12" s="8"/>
      <c r="WI12" s="8"/>
      <c r="WJ12" s="8"/>
      <c r="WK12" s="8"/>
      <c r="WL12" s="8"/>
      <c r="WM12" s="8"/>
      <c r="WN12" s="8"/>
      <c r="WO12" s="8"/>
      <c r="WP12" s="8"/>
      <c r="WQ12" s="8"/>
      <c r="WR12" s="8"/>
      <c r="WS12" s="8"/>
      <c r="WT12" s="8"/>
      <c r="WU12" s="8"/>
      <c r="WV12" s="8"/>
      <c r="WW12" s="8"/>
      <c r="WX12" s="8"/>
      <c r="WY12" s="8"/>
      <c r="WZ12" s="8"/>
      <c r="XA12" s="8"/>
      <c r="XB12" s="8"/>
      <c r="XC12" s="8"/>
      <c r="XD12" s="8"/>
      <c r="XE12" s="8"/>
      <c r="XF12" s="8"/>
      <c r="XG12" s="8"/>
      <c r="XH12" s="8"/>
      <c r="XI12" s="8"/>
      <c r="XJ12" s="8"/>
      <c r="XK12" s="8"/>
      <c r="XL12" s="8"/>
      <c r="XM12" s="8"/>
      <c r="XN12" s="8"/>
      <c r="XO12" s="8"/>
      <c r="XP12" s="8"/>
      <c r="XQ12" s="8"/>
      <c r="XR12" s="8"/>
      <c r="XS12" s="8"/>
      <c r="XT12" s="8"/>
      <c r="XU12" s="8"/>
      <c r="XV12" s="8"/>
      <c r="XW12" s="8"/>
      <c r="XX12" s="8"/>
      <c r="XY12" s="8"/>
      <c r="XZ12" s="8"/>
      <c r="YA12" s="8"/>
      <c r="YB12" s="8"/>
      <c r="YC12" s="8"/>
      <c r="YD12" s="8"/>
      <c r="YE12" s="8"/>
      <c r="YF12" s="8"/>
      <c r="YG12" s="8"/>
      <c r="YH12" s="8"/>
      <c r="YI12" s="8"/>
      <c r="YJ12" s="8"/>
      <c r="YK12" s="8"/>
      <c r="YL12" s="8"/>
      <c r="YM12" s="8"/>
      <c r="YN12" s="8"/>
      <c r="YO12" s="8"/>
      <c r="YP12" s="8"/>
      <c r="YQ12" s="8"/>
      <c r="YR12" s="8"/>
      <c r="YS12" s="8"/>
      <c r="YT12" s="8"/>
      <c r="YU12" s="8"/>
      <c r="YV12" s="8"/>
      <c r="YW12" s="8"/>
      <c r="YX12" s="8"/>
      <c r="YY12" s="8"/>
      <c r="YZ12" s="8"/>
      <c r="ZA12" s="8"/>
      <c r="ZB12" s="8"/>
      <c r="ZC12" s="8"/>
      <c r="ZD12" s="8"/>
      <c r="ZE12" s="8"/>
      <c r="ZF12" s="8"/>
      <c r="ZG12" s="8"/>
      <c r="ZH12" s="8"/>
      <c r="ZI12" s="8"/>
      <c r="ZJ12" s="8"/>
      <c r="ZK12" s="8"/>
      <c r="ZL12" s="8"/>
      <c r="ZM12" s="8"/>
      <c r="ZN12" s="8"/>
      <c r="ZO12" s="8"/>
      <c r="ZP12" s="8"/>
      <c r="ZQ12" s="8"/>
      <c r="ZR12" s="8"/>
      <c r="ZS12" s="8"/>
      <c r="ZT12" s="8"/>
      <c r="ZU12" s="8"/>
      <c r="ZV12" s="8"/>
      <c r="ZW12" s="8"/>
      <c r="ZX12" s="8"/>
      <c r="ZY12" s="8"/>
      <c r="ZZ12" s="8"/>
      <c r="AAA12" s="8"/>
      <c r="AAB12" s="8"/>
      <c r="AAC12" s="8"/>
      <c r="AAD12" s="8"/>
      <c r="AAE12" s="8"/>
      <c r="AAF12" s="8"/>
      <c r="AAG12" s="8"/>
      <c r="AAH12" s="8"/>
      <c r="AAI12" s="8"/>
      <c r="AAJ12" s="8"/>
      <c r="AAK12" s="8"/>
      <c r="AAL12" s="8"/>
      <c r="AAM12" s="8"/>
      <c r="AAN12" s="8"/>
      <c r="AAO12" s="8"/>
      <c r="AAP12" s="8"/>
      <c r="AAQ12" s="8"/>
      <c r="AAR12" s="8"/>
      <c r="AAS12" s="8"/>
      <c r="AAT12" s="8"/>
      <c r="AAU12" s="8"/>
      <c r="AAV12" s="8"/>
      <c r="AAW12" s="8"/>
      <c r="AAX12" s="8"/>
      <c r="AAY12" s="8"/>
      <c r="AAZ12" s="8"/>
      <c r="ABA12" s="8"/>
      <c r="ABB12" s="8"/>
      <c r="ABC12" s="8"/>
      <c r="ABD12" s="8"/>
      <c r="ABE12" s="8"/>
      <c r="ABF12" s="8"/>
      <c r="ABG12" s="8"/>
      <c r="ABH12" s="8"/>
      <c r="ABI12" s="8"/>
      <c r="ABJ12" s="8"/>
      <c r="ABK12" s="8"/>
      <c r="ABL12" s="8"/>
      <c r="ABM12" s="8"/>
      <c r="ABN12" s="8"/>
      <c r="ABO12" s="8"/>
      <c r="ABP12" s="8"/>
      <c r="ABQ12" s="8"/>
      <c r="ABR12" s="8"/>
      <c r="ABS12" s="8"/>
      <c r="ABT12" s="8"/>
      <c r="ABU12" s="8"/>
      <c r="ABV12" s="8"/>
      <c r="ABW12" s="8"/>
      <c r="ABX12" s="8"/>
      <c r="ABY12" s="8"/>
      <c r="ABZ12" s="8"/>
      <c r="ACA12" s="8"/>
      <c r="ACB12" s="8"/>
      <c r="ACC12" s="8"/>
      <c r="ACD12" s="8"/>
      <c r="ACE12" s="8"/>
      <c r="ACF12" s="8"/>
      <c r="ACG12" s="8"/>
      <c r="ACH12" s="8"/>
      <c r="ACI12" s="8"/>
      <c r="ACJ12" s="8"/>
      <c r="ACK12" s="8"/>
      <c r="ACL12" s="8"/>
      <c r="ACM12" s="8"/>
      <c r="ACN12" s="8"/>
      <c r="ACO12" s="8"/>
      <c r="ACP12" s="8"/>
      <c r="ACQ12" s="8"/>
      <c r="ACR12" s="8"/>
      <c r="ACS12" s="8"/>
      <c r="ACT12" s="8"/>
      <c r="ACU12" s="8"/>
      <c r="ACV12" s="8"/>
      <c r="ACW12" s="8"/>
      <c r="ACX12" s="8"/>
      <c r="ACY12" s="8"/>
      <c r="ACZ12" s="8"/>
      <c r="ADA12" s="8"/>
      <c r="ADB12" s="8"/>
      <c r="ADC12" s="8"/>
      <c r="ADD12" s="8"/>
      <c r="ADE12" s="8"/>
      <c r="ADF12" s="8"/>
      <c r="ADG12" s="8"/>
      <c r="ADH12" s="8"/>
      <c r="ADI12" s="8"/>
      <c r="ADJ12" s="8"/>
      <c r="ADK12" s="8"/>
      <c r="ADL12" s="8"/>
      <c r="ADM12" s="8"/>
      <c r="ADN12" s="8"/>
      <c r="ADO12" s="8"/>
      <c r="ADP12" s="8"/>
      <c r="ADQ12" s="8"/>
      <c r="ADR12" s="8"/>
      <c r="ADS12" s="8"/>
      <c r="ADT12" s="8"/>
      <c r="ADU12" s="8"/>
      <c r="ADV12" s="8"/>
      <c r="ADW12" s="8"/>
      <c r="ADX12" s="8"/>
      <c r="ADY12" s="8"/>
      <c r="ADZ12" s="8"/>
      <c r="AEA12" s="8"/>
      <c r="AEB12" s="8"/>
      <c r="AEC12" s="8"/>
      <c r="AED12" s="8"/>
      <c r="AEE12" s="8"/>
      <c r="AEF12" s="8"/>
      <c r="AEG12" s="8"/>
      <c r="AEH12" s="8"/>
      <c r="AEI12" s="8"/>
      <c r="AEJ12" s="8"/>
      <c r="AEK12" s="8"/>
      <c r="AEL12" s="8"/>
      <c r="AEM12" s="8"/>
      <c r="AEN12" s="8"/>
      <c r="AEO12" s="8"/>
      <c r="AEP12" s="8"/>
      <c r="AEQ12" s="8"/>
      <c r="AER12" s="8"/>
      <c r="AES12" s="8"/>
      <c r="AET12" s="8"/>
      <c r="AEU12" s="8"/>
      <c r="AEV12" s="8"/>
      <c r="AEW12" s="8"/>
      <c r="AEX12" s="8"/>
      <c r="AEY12" s="8"/>
      <c r="AEZ12" s="8"/>
      <c r="AFA12" s="8"/>
      <c r="AFB12" s="8"/>
      <c r="AFC12" s="8"/>
      <c r="AFD12" s="8"/>
      <c r="AFE12" s="8"/>
      <c r="AFF12" s="8"/>
      <c r="AFG12" s="8"/>
      <c r="AFH12" s="8"/>
      <c r="AFI12" s="8"/>
      <c r="AFJ12" s="8"/>
      <c r="AFK12" s="8"/>
      <c r="AFL12" s="8"/>
      <c r="AFM12" s="8"/>
      <c r="AFN12" s="8"/>
      <c r="AFO12" s="8"/>
      <c r="AFP12" s="8"/>
      <c r="AFQ12" s="8"/>
      <c r="AFR12" s="8"/>
      <c r="AFS12" s="8"/>
      <c r="AFT12" s="8"/>
      <c r="AFU12" s="8"/>
      <c r="AFV12" s="8"/>
      <c r="AFW12" s="8"/>
      <c r="AFX12" s="8"/>
      <c r="AFY12" s="8"/>
      <c r="AFZ12" s="8"/>
      <c r="AGA12" s="8"/>
      <c r="AGB12" s="8"/>
      <c r="AGC12" s="8"/>
      <c r="AGD12" s="8"/>
      <c r="AGE12" s="8"/>
      <c r="AGF12" s="8"/>
      <c r="AGG12" s="8"/>
      <c r="AGH12" s="8"/>
      <c r="AGI12" s="8"/>
      <c r="AGJ12" s="8"/>
      <c r="AGK12" s="8"/>
      <c r="AGL12" s="8"/>
      <c r="AGM12" s="8"/>
      <c r="AGN12" s="8"/>
      <c r="AGO12" s="8"/>
      <c r="AGP12" s="8"/>
      <c r="AGQ12" s="8"/>
      <c r="AGR12" s="8"/>
      <c r="AGS12" s="8"/>
      <c r="AGT12" s="8"/>
      <c r="AGU12" s="8"/>
      <c r="AGV12" s="8"/>
      <c r="AGW12" s="8"/>
      <c r="AGX12" s="8"/>
      <c r="AGY12" s="8"/>
      <c r="AGZ12" s="8"/>
      <c r="AHA12" s="8"/>
      <c r="AHB12" s="8"/>
      <c r="AHC12" s="8"/>
      <c r="AHD12" s="8"/>
      <c r="AHE12" s="8"/>
      <c r="AHF12" s="8"/>
      <c r="AHG12" s="8"/>
      <c r="AHH12" s="8"/>
      <c r="AHI12" s="8"/>
      <c r="AHJ12" s="8"/>
      <c r="AHK12" s="8"/>
      <c r="AHL12" s="8"/>
      <c r="AHM12" s="8"/>
      <c r="AHN12" s="8"/>
      <c r="AHO12" s="8"/>
      <c r="AHP12" s="8"/>
      <c r="AHQ12" s="8"/>
      <c r="AHR12" s="8"/>
      <c r="AHS12" s="8"/>
      <c r="AHT12" s="8"/>
      <c r="AHU12" s="8"/>
      <c r="AHV12" s="8"/>
      <c r="AHW12" s="8"/>
      <c r="AHX12" s="8"/>
      <c r="AHY12" s="8"/>
      <c r="AHZ12" s="8"/>
      <c r="AIA12" s="8"/>
      <c r="AIB12" s="8"/>
      <c r="AIC12" s="8"/>
      <c r="AID12" s="8"/>
      <c r="AIE12" s="8"/>
      <c r="AIF12" s="8"/>
      <c r="AIG12" s="8"/>
      <c r="AIH12" s="8"/>
      <c r="AII12" s="8"/>
      <c r="AIJ12" s="8"/>
      <c r="AIK12" s="8"/>
      <c r="AIL12" s="8"/>
      <c r="AIM12" s="8"/>
      <c r="AIN12" s="8"/>
      <c r="AIO12" s="8"/>
      <c r="AIP12" s="8"/>
      <c r="AIQ12" s="8"/>
      <c r="AIR12" s="8"/>
      <c r="AIS12" s="8"/>
      <c r="AIT12" s="8"/>
      <c r="AIU12" s="8"/>
      <c r="AIV12" s="8"/>
      <c r="AIW12" s="8"/>
      <c r="AIX12" s="8"/>
      <c r="AIY12" s="8"/>
      <c r="AIZ12" s="8"/>
      <c r="AJA12" s="8"/>
      <c r="AJB12" s="8"/>
      <c r="AJC12" s="8"/>
      <c r="AJD12" s="8"/>
      <c r="AJE12" s="8"/>
      <c r="AJF12" s="8"/>
      <c r="AJG12" s="8"/>
      <c r="AJH12" s="8"/>
      <c r="AJI12" s="8"/>
      <c r="AJJ12" s="8"/>
      <c r="AJK12" s="8"/>
      <c r="AJL12" s="8"/>
      <c r="AJM12" s="8"/>
      <c r="AJN12" s="8"/>
      <c r="AJO12" s="8"/>
      <c r="AJP12" s="8"/>
      <c r="AJQ12" s="8"/>
      <c r="AJR12" s="8"/>
      <c r="AJS12" s="8"/>
      <c r="AJT12" s="8"/>
      <c r="AJU12" s="8"/>
      <c r="AJV12" s="8"/>
      <c r="AJW12" s="8"/>
      <c r="AJX12" s="8"/>
      <c r="AJY12" s="8"/>
      <c r="AJZ12" s="8"/>
      <c r="AKA12" s="8"/>
      <c r="AKB12" s="8"/>
      <c r="AKC12" s="8"/>
      <c r="AKD12" s="8"/>
      <c r="AKE12" s="8"/>
      <c r="AKF12" s="8"/>
      <c r="AKG12" s="8"/>
      <c r="AKH12" s="8"/>
      <c r="AKI12" s="8"/>
      <c r="AKJ12" s="8"/>
      <c r="AKK12" s="8"/>
      <c r="AKL12" s="8"/>
      <c r="AKM12" s="8"/>
      <c r="AKN12" s="8"/>
      <c r="AKO12" s="8"/>
      <c r="AKP12" s="8"/>
      <c r="AKQ12" s="8"/>
      <c r="AKR12" s="8"/>
      <c r="AKS12" s="8"/>
      <c r="AKT12" s="8"/>
      <c r="AKU12" s="8"/>
      <c r="AKV12" s="8"/>
      <c r="AKW12" s="8"/>
      <c r="AKX12" s="8"/>
      <c r="AKY12" s="8"/>
      <c r="AKZ12" s="8"/>
      <c r="ALA12" s="8"/>
      <c r="ALB12" s="8"/>
      <c r="ALC12" s="8"/>
      <c r="ALD12" s="8"/>
      <c r="ALE12" s="8"/>
      <c r="ALF12" s="8"/>
      <c r="ALG12" s="8"/>
      <c r="ALH12" s="8"/>
      <c r="ALI12" s="8"/>
      <c r="ALJ12" s="8"/>
      <c r="ALK12" s="8"/>
      <c r="ALL12" s="8"/>
      <c r="ALM12" s="8"/>
      <c r="ALN12" s="8"/>
      <c r="ALO12" s="8"/>
      <c r="ALP12" s="8"/>
      <c r="ALQ12" s="8"/>
      <c r="ALR12" s="8"/>
      <c r="ALS12" s="8"/>
      <c r="ALT12" s="8"/>
      <c r="ALU12" s="8"/>
      <c r="ALV12" s="8"/>
      <c r="ALW12" s="8"/>
      <c r="ALX12" s="8"/>
      <c r="ALY12" s="8"/>
      <c r="ALZ12" s="8"/>
      <c r="AMA12" s="8"/>
      <c r="AMB12" s="8"/>
      <c r="AMC12" s="8"/>
      <c r="AMD12" s="8"/>
      <c r="AME12" s="8"/>
    </row>
    <row r="13" spans="2:1019" ht="38.25">
      <c r="B13" s="246"/>
      <c r="C13" s="1134"/>
      <c r="D13" s="1136"/>
      <c r="E13" s="1139"/>
      <c r="F13" s="1158"/>
      <c r="G13" s="251" t="s">
        <v>765</v>
      </c>
      <c r="H13" s="251" t="s">
        <v>762</v>
      </c>
      <c r="I13" s="1149"/>
      <c r="J13" s="251" t="s">
        <v>715</v>
      </c>
      <c r="K13" s="1153"/>
      <c r="L13" s="1129"/>
      <c r="M13" s="1130"/>
      <c r="N13" s="1130"/>
      <c r="O13" s="1130"/>
      <c r="P13" s="1130"/>
      <c r="Q13" s="1130"/>
      <c r="R13" s="1124"/>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c r="VU13" s="8"/>
      <c r="VV13" s="8"/>
      <c r="VW13" s="8"/>
      <c r="VX13" s="8"/>
      <c r="VY13" s="8"/>
      <c r="VZ13" s="8"/>
      <c r="WA13" s="8"/>
      <c r="WB13" s="8"/>
      <c r="WC13" s="8"/>
      <c r="WD13" s="8"/>
      <c r="WE13" s="8"/>
      <c r="WF13" s="8"/>
      <c r="WG13" s="8"/>
      <c r="WH13" s="8"/>
      <c r="WI13" s="8"/>
      <c r="WJ13" s="8"/>
      <c r="WK13" s="8"/>
      <c r="WL13" s="8"/>
      <c r="WM13" s="8"/>
      <c r="WN13" s="8"/>
      <c r="WO13" s="8"/>
      <c r="WP13" s="8"/>
      <c r="WQ13" s="8"/>
      <c r="WR13" s="8"/>
      <c r="WS13" s="8"/>
      <c r="WT13" s="8"/>
      <c r="WU13" s="8"/>
      <c r="WV13" s="8"/>
      <c r="WW13" s="8"/>
      <c r="WX13" s="8"/>
      <c r="WY13" s="8"/>
      <c r="WZ13" s="8"/>
      <c r="XA13" s="8"/>
      <c r="XB13" s="8"/>
      <c r="XC13" s="8"/>
      <c r="XD13" s="8"/>
      <c r="XE13" s="8"/>
      <c r="XF13" s="8"/>
      <c r="XG13" s="8"/>
      <c r="XH13" s="8"/>
      <c r="XI13" s="8"/>
      <c r="XJ13" s="8"/>
      <c r="XK13" s="8"/>
      <c r="XL13" s="8"/>
      <c r="XM13" s="8"/>
      <c r="XN13" s="8"/>
      <c r="XO13" s="8"/>
      <c r="XP13" s="8"/>
      <c r="XQ13" s="8"/>
      <c r="XR13" s="8"/>
      <c r="XS13" s="8"/>
      <c r="XT13" s="8"/>
      <c r="XU13" s="8"/>
      <c r="XV13" s="8"/>
      <c r="XW13" s="8"/>
      <c r="XX13" s="8"/>
      <c r="XY13" s="8"/>
      <c r="XZ13" s="8"/>
      <c r="YA13" s="8"/>
      <c r="YB13" s="8"/>
      <c r="YC13" s="8"/>
      <c r="YD13" s="8"/>
      <c r="YE13" s="8"/>
      <c r="YF13" s="8"/>
      <c r="YG13" s="8"/>
      <c r="YH13" s="8"/>
      <c r="YI13" s="8"/>
      <c r="YJ13" s="8"/>
      <c r="YK13" s="8"/>
      <c r="YL13" s="8"/>
      <c r="YM13" s="8"/>
      <c r="YN13" s="8"/>
      <c r="YO13" s="8"/>
      <c r="YP13" s="8"/>
      <c r="YQ13" s="8"/>
      <c r="YR13" s="8"/>
      <c r="YS13" s="8"/>
      <c r="YT13" s="8"/>
      <c r="YU13" s="8"/>
      <c r="YV13" s="8"/>
      <c r="YW13" s="8"/>
      <c r="YX13" s="8"/>
      <c r="YY13" s="8"/>
      <c r="YZ13" s="8"/>
      <c r="ZA13" s="8"/>
      <c r="ZB13" s="8"/>
      <c r="ZC13" s="8"/>
      <c r="ZD13" s="8"/>
      <c r="ZE13" s="8"/>
      <c r="ZF13" s="8"/>
      <c r="ZG13" s="8"/>
      <c r="ZH13" s="8"/>
      <c r="ZI13" s="8"/>
      <c r="ZJ13" s="8"/>
      <c r="ZK13" s="8"/>
      <c r="ZL13" s="8"/>
      <c r="ZM13" s="8"/>
      <c r="ZN13" s="8"/>
      <c r="ZO13" s="8"/>
      <c r="ZP13" s="8"/>
      <c r="ZQ13" s="8"/>
      <c r="ZR13" s="8"/>
      <c r="ZS13" s="8"/>
      <c r="ZT13" s="8"/>
      <c r="ZU13" s="8"/>
      <c r="ZV13" s="8"/>
      <c r="ZW13" s="8"/>
      <c r="ZX13" s="8"/>
      <c r="ZY13" s="8"/>
      <c r="ZZ13" s="8"/>
      <c r="AAA13" s="8"/>
      <c r="AAB13" s="8"/>
      <c r="AAC13" s="8"/>
      <c r="AAD13" s="8"/>
      <c r="AAE13" s="8"/>
      <c r="AAF13" s="8"/>
      <c r="AAG13" s="8"/>
      <c r="AAH13" s="8"/>
      <c r="AAI13" s="8"/>
      <c r="AAJ13" s="8"/>
      <c r="AAK13" s="8"/>
      <c r="AAL13" s="8"/>
      <c r="AAM13" s="8"/>
      <c r="AAN13" s="8"/>
      <c r="AAO13" s="8"/>
      <c r="AAP13" s="8"/>
      <c r="AAQ13" s="8"/>
      <c r="AAR13" s="8"/>
      <c r="AAS13" s="8"/>
      <c r="AAT13" s="8"/>
      <c r="AAU13" s="8"/>
      <c r="AAV13" s="8"/>
      <c r="AAW13" s="8"/>
      <c r="AAX13" s="8"/>
      <c r="AAY13" s="8"/>
      <c r="AAZ13" s="8"/>
      <c r="ABA13" s="8"/>
      <c r="ABB13" s="8"/>
      <c r="ABC13" s="8"/>
      <c r="ABD13" s="8"/>
      <c r="ABE13" s="8"/>
      <c r="ABF13" s="8"/>
      <c r="ABG13" s="8"/>
      <c r="ABH13" s="8"/>
      <c r="ABI13" s="8"/>
      <c r="ABJ13" s="8"/>
      <c r="ABK13" s="8"/>
      <c r="ABL13" s="8"/>
      <c r="ABM13" s="8"/>
      <c r="ABN13" s="8"/>
      <c r="ABO13" s="8"/>
      <c r="ABP13" s="8"/>
      <c r="ABQ13" s="8"/>
      <c r="ABR13" s="8"/>
      <c r="ABS13" s="8"/>
      <c r="ABT13" s="8"/>
      <c r="ABU13" s="8"/>
      <c r="ABV13" s="8"/>
      <c r="ABW13" s="8"/>
      <c r="ABX13" s="8"/>
      <c r="ABY13" s="8"/>
      <c r="ABZ13" s="8"/>
      <c r="ACA13" s="8"/>
      <c r="ACB13" s="8"/>
      <c r="ACC13" s="8"/>
      <c r="ACD13" s="8"/>
      <c r="ACE13" s="8"/>
      <c r="ACF13" s="8"/>
      <c r="ACG13" s="8"/>
      <c r="ACH13" s="8"/>
      <c r="ACI13" s="8"/>
      <c r="ACJ13" s="8"/>
      <c r="ACK13" s="8"/>
      <c r="ACL13" s="8"/>
      <c r="ACM13" s="8"/>
      <c r="ACN13" s="8"/>
      <c r="ACO13" s="8"/>
      <c r="ACP13" s="8"/>
      <c r="ACQ13" s="8"/>
      <c r="ACR13" s="8"/>
      <c r="ACS13" s="8"/>
      <c r="ACT13" s="8"/>
      <c r="ACU13" s="8"/>
      <c r="ACV13" s="8"/>
      <c r="ACW13" s="8"/>
      <c r="ACX13" s="8"/>
      <c r="ACY13" s="8"/>
      <c r="ACZ13" s="8"/>
      <c r="ADA13" s="8"/>
      <c r="ADB13" s="8"/>
      <c r="ADC13" s="8"/>
      <c r="ADD13" s="8"/>
      <c r="ADE13" s="8"/>
      <c r="ADF13" s="8"/>
      <c r="ADG13" s="8"/>
      <c r="ADH13" s="8"/>
      <c r="ADI13" s="8"/>
      <c r="ADJ13" s="8"/>
      <c r="ADK13" s="8"/>
      <c r="ADL13" s="8"/>
      <c r="ADM13" s="8"/>
      <c r="ADN13" s="8"/>
      <c r="ADO13" s="8"/>
      <c r="ADP13" s="8"/>
      <c r="ADQ13" s="8"/>
      <c r="ADR13" s="8"/>
      <c r="ADS13" s="8"/>
      <c r="ADT13" s="8"/>
      <c r="ADU13" s="8"/>
      <c r="ADV13" s="8"/>
      <c r="ADW13" s="8"/>
      <c r="ADX13" s="8"/>
      <c r="ADY13" s="8"/>
      <c r="ADZ13" s="8"/>
      <c r="AEA13" s="8"/>
      <c r="AEB13" s="8"/>
      <c r="AEC13" s="8"/>
      <c r="AED13" s="8"/>
      <c r="AEE13" s="8"/>
      <c r="AEF13" s="8"/>
      <c r="AEG13" s="8"/>
      <c r="AEH13" s="8"/>
      <c r="AEI13" s="8"/>
      <c r="AEJ13" s="8"/>
      <c r="AEK13" s="8"/>
      <c r="AEL13" s="8"/>
      <c r="AEM13" s="8"/>
      <c r="AEN13" s="8"/>
      <c r="AEO13" s="8"/>
      <c r="AEP13" s="8"/>
      <c r="AEQ13" s="8"/>
      <c r="AER13" s="8"/>
      <c r="AES13" s="8"/>
      <c r="AET13" s="8"/>
      <c r="AEU13" s="8"/>
      <c r="AEV13" s="8"/>
      <c r="AEW13" s="8"/>
      <c r="AEX13" s="8"/>
      <c r="AEY13" s="8"/>
      <c r="AEZ13" s="8"/>
      <c r="AFA13" s="8"/>
      <c r="AFB13" s="8"/>
      <c r="AFC13" s="8"/>
      <c r="AFD13" s="8"/>
      <c r="AFE13" s="8"/>
      <c r="AFF13" s="8"/>
      <c r="AFG13" s="8"/>
      <c r="AFH13" s="8"/>
      <c r="AFI13" s="8"/>
      <c r="AFJ13" s="8"/>
      <c r="AFK13" s="8"/>
      <c r="AFL13" s="8"/>
      <c r="AFM13" s="8"/>
      <c r="AFN13" s="8"/>
      <c r="AFO13" s="8"/>
      <c r="AFP13" s="8"/>
      <c r="AFQ13" s="8"/>
      <c r="AFR13" s="8"/>
      <c r="AFS13" s="8"/>
      <c r="AFT13" s="8"/>
      <c r="AFU13" s="8"/>
      <c r="AFV13" s="8"/>
      <c r="AFW13" s="8"/>
      <c r="AFX13" s="8"/>
      <c r="AFY13" s="8"/>
      <c r="AFZ13" s="8"/>
      <c r="AGA13" s="8"/>
      <c r="AGB13" s="8"/>
      <c r="AGC13" s="8"/>
      <c r="AGD13" s="8"/>
      <c r="AGE13" s="8"/>
      <c r="AGF13" s="8"/>
      <c r="AGG13" s="8"/>
      <c r="AGH13" s="8"/>
      <c r="AGI13" s="8"/>
      <c r="AGJ13" s="8"/>
      <c r="AGK13" s="8"/>
      <c r="AGL13" s="8"/>
      <c r="AGM13" s="8"/>
      <c r="AGN13" s="8"/>
      <c r="AGO13" s="8"/>
      <c r="AGP13" s="8"/>
      <c r="AGQ13" s="8"/>
      <c r="AGR13" s="8"/>
      <c r="AGS13" s="8"/>
      <c r="AGT13" s="8"/>
      <c r="AGU13" s="8"/>
      <c r="AGV13" s="8"/>
      <c r="AGW13" s="8"/>
      <c r="AGX13" s="8"/>
      <c r="AGY13" s="8"/>
      <c r="AGZ13" s="8"/>
      <c r="AHA13" s="8"/>
      <c r="AHB13" s="8"/>
      <c r="AHC13" s="8"/>
      <c r="AHD13" s="8"/>
      <c r="AHE13" s="8"/>
      <c r="AHF13" s="8"/>
      <c r="AHG13" s="8"/>
      <c r="AHH13" s="8"/>
      <c r="AHI13" s="8"/>
      <c r="AHJ13" s="8"/>
      <c r="AHK13" s="8"/>
      <c r="AHL13" s="8"/>
      <c r="AHM13" s="8"/>
      <c r="AHN13" s="8"/>
      <c r="AHO13" s="8"/>
      <c r="AHP13" s="8"/>
      <c r="AHQ13" s="8"/>
      <c r="AHR13" s="8"/>
      <c r="AHS13" s="8"/>
      <c r="AHT13" s="8"/>
      <c r="AHU13" s="8"/>
      <c r="AHV13" s="8"/>
      <c r="AHW13" s="8"/>
      <c r="AHX13" s="8"/>
      <c r="AHY13" s="8"/>
      <c r="AHZ13" s="8"/>
      <c r="AIA13" s="8"/>
      <c r="AIB13" s="8"/>
      <c r="AIC13" s="8"/>
      <c r="AID13" s="8"/>
      <c r="AIE13" s="8"/>
      <c r="AIF13" s="8"/>
      <c r="AIG13" s="8"/>
      <c r="AIH13" s="8"/>
      <c r="AII13" s="8"/>
      <c r="AIJ13" s="8"/>
      <c r="AIK13" s="8"/>
      <c r="AIL13" s="8"/>
      <c r="AIM13" s="8"/>
      <c r="AIN13" s="8"/>
      <c r="AIO13" s="8"/>
      <c r="AIP13" s="8"/>
      <c r="AIQ13" s="8"/>
      <c r="AIR13" s="8"/>
      <c r="AIS13" s="8"/>
      <c r="AIT13" s="8"/>
      <c r="AIU13" s="8"/>
      <c r="AIV13" s="8"/>
      <c r="AIW13" s="8"/>
      <c r="AIX13" s="8"/>
      <c r="AIY13" s="8"/>
      <c r="AIZ13" s="8"/>
      <c r="AJA13" s="8"/>
      <c r="AJB13" s="8"/>
      <c r="AJC13" s="8"/>
      <c r="AJD13" s="8"/>
      <c r="AJE13" s="8"/>
      <c r="AJF13" s="8"/>
      <c r="AJG13" s="8"/>
      <c r="AJH13" s="8"/>
      <c r="AJI13" s="8"/>
      <c r="AJJ13" s="8"/>
      <c r="AJK13" s="8"/>
      <c r="AJL13" s="8"/>
      <c r="AJM13" s="8"/>
      <c r="AJN13" s="8"/>
      <c r="AJO13" s="8"/>
      <c r="AJP13" s="8"/>
      <c r="AJQ13" s="8"/>
      <c r="AJR13" s="8"/>
      <c r="AJS13" s="8"/>
      <c r="AJT13" s="8"/>
      <c r="AJU13" s="8"/>
      <c r="AJV13" s="8"/>
      <c r="AJW13" s="8"/>
      <c r="AJX13" s="8"/>
      <c r="AJY13" s="8"/>
      <c r="AJZ13" s="8"/>
      <c r="AKA13" s="8"/>
      <c r="AKB13" s="8"/>
      <c r="AKC13" s="8"/>
      <c r="AKD13" s="8"/>
      <c r="AKE13" s="8"/>
      <c r="AKF13" s="8"/>
      <c r="AKG13" s="8"/>
      <c r="AKH13" s="8"/>
      <c r="AKI13" s="8"/>
      <c r="AKJ13" s="8"/>
      <c r="AKK13" s="8"/>
      <c r="AKL13" s="8"/>
      <c r="AKM13" s="8"/>
      <c r="AKN13" s="8"/>
      <c r="AKO13" s="8"/>
      <c r="AKP13" s="8"/>
      <c r="AKQ13" s="8"/>
      <c r="AKR13" s="8"/>
      <c r="AKS13" s="8"/>
      <c r="AKT13" s="8"/>
      <c r="AKU13" s="8"/>
      <c r="AKV13" s="8"/>
      <c r="AKW13" s="8"/>
      <c r="AKX13" s="8"/>
      <c r="AKY13" s="8"/>
      <c r="AKZ13" s="8"/>
      <c r="ALA13" s="8"/>
      <c r="ALB13" s="8"/>
      <c r="ALC13" s="8"/>
      <c r="ALD13" s="8"/>
      <c r="ALE13" s="8"/>
      <c r="ALF13" s="8"/>
      <c r="ALG13" s="8"/>
      <c r="ALH13" s="8"/>
      <c r="ALI13" s="8"/>
      <c r="ALJ13" s="8"/>
      <c r="ALK13" s="8"/>
      <c r="ALL13" s="8"/>
      <c r="ALM13" s="8"/>
      <c r="ALN13" s="8"/>
      <c r="ALO13" s="8"/>
      <c r="ALP13" s="8"/>
      <c r="ALQ13" s="8"/>
      <c r="ALR13" s="8"/>
      <c r="ALS13" s="8"/>
      <c r="ALT13" s="8"/>
      <c r="ALU13" s="8"/>
      <c r="ALV13" s="8"/>
      <c r="ALW13" s="8"/>
      <c r="ALX13" s="8"/>
      <c r="ALY13" s="8"/>
      <c r="ALZ13" s="8"/>
      <c r="AMA13" s="8"/>
      <c r="AMB13" s="8"/>
      <c r="AMC13" s="8"/>
      <c r="AMD13" s="8"/>
      <c r="AME13" s="8"/>
    </row>
    <row r="14" spans="2:1019" ht="31.5" customHeight="1">
      <c r="B14" s="246"/>
      <c r="C14" s="1134"/>
      <c r="D14" s="1136"/>
      <c r="E14" s="1139"/>
      <c r="F14" s="1158"/>
      <c r="G14" s="251" t="s">
        <v>766</v>
      </c>
      <c r="H14" s="251" t="s">
        <v>347</v>
      </c>
      <c r="I14" s="1149"/>
      <c r="J14" s="251" t="s">
        <v>715</v>
      </c>
      <c r="K14" s="1153"/>
      <c r="L14" s="1129"/>
      <c r="M14" s="1130"/>
      <c r="N14" s="1130"/>
      <c r="O14" s="1130"/>
      <c r="P14" s="1130"/>
      <c r="Q14" s="1130"/>
      <c r="R14" s="1124"/>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c r="VU14" s="8"/>
      <c r="VV14" s="8"/>
      <c r="VW14" s="8"/>
      <c r="VX14" s="8"/>
      <c r="VY14" s="8"/>
      <c r="VZ14" s="8"/>
      <c r="WA14" s="8"/>
      <c r="WB14" s="8"/>
      <c r="WC14" s="8"/>
      <c r="WD14" s="8"/>
      <c r="WE14" s="8"/>
      <c r="WF14" s="8"/>
      <c r="WG14" s="8"/>
      <c r="WH14" s="8"/>
      <c r="WI14" s="8"/>
      <c r="WJ14" s="8"/>
      <c r="WK14" s="8"/>
      <c r="WL14" s="8"/>
      <c r="WM14" s="8"/>
      <c r="WN14" s="8"/>
      <c r="WO14" s="8"/>
      <c r="WP14" s="8"/>
      <c r="WQ14" s="8"/>
      <c r="WR14" s="8"/>
      <c r="WS14" s="8"/>
      <c r="WT14" s="8"/>
      <c r="WU14" s="8"/>
      <c r="WV14" s="8"/>
      <c r="WW14" s="8"/>
      <c r="WX14" s="8"/>
      <c r="WY14" s="8"/>
      <c r="WZ14" s="8"/>
      <c r="XA14" s="8"/>
      <c r="XB14" s="8"/>
      <c r="XC14" s="8"/>
      <c r="XD14" s="8"/>
      <c r="XE14" s="8"/>
      <c r="XF14" s="8"/>
      <c r="XG14" s="8"/>
      <c r="XH14" s="8"/>
      <c r="XI14" s="8"/>
      <c r="XJ14" s="8"/>
      <c r="XK14" s="8"/>
      <c r="XL14" s="8"/>
      <c r="XM14" s="8"/>
      <c r="XN14" s="8"/>
      <c r="XO14" s="8"/>
      <c r="XP14" s="8"/>
      <c r="XQ14" s="8"/>
      <c r="XR14" s="8"/>
      <c r="XS14" s="8"/>
      <c r="XT14" s="8"/>
      <c r="XU14" s="8"/>
      <c r="XV14" s="8"/>
      <c r="XW14" s="8"/>
      <c r="XX14" s="8"/>
      <c r="XY14" s="8"/>
      <c r="XZ14" s="8"/>
      <c r="YA14" s="8"/>
      <c r="YB14" s="8"/>
      <c r="YC14" s="8"/>
      <c r="YD14" s="8"/>
      <c r="YE14" s="8"/>
      <c r="YF14" s="8"/>
      <c r="YG14" s="8"/>
      <c r="YH14" s="8"/>
      <c r="YI14" s="8"/>
      <c r="YJ14" s="8"/>
      <c r="YK14" s="8"/>
      <c r="YL14" s="8"/>
      <c r="YM14" s="8"/>
      <c r="YN14" s="8"/>
      <c r="YO14" s="8"/>
      <c r="YP14" s="8"/>
      <c r="YQ14" s="8"/>
      <c r="YR14" s="8"/>
      <c r="YS14" s="8"/>
      <c r="YT14" s="8"/>
      <c r="YU14" s="8"/>
      <c r="YV14" s="8"/>
      <c r="YW14" s="8"/>
      <c r="YX14" s="8"/>
      <c r="YY14" s="8"/>
      <c r="YZ14" s="8"/>
      <c r="ZA14" s="8"/>
      <c r="ZB14" s="8"/>
      <c r="ZC14" s="8"/>
      <c r="ZD14" s="8"/>
      <c r="ZE14" s="8"/>
      <c r="ZF14" s="8"/>
      <c r="ZG14" s="8"/>
      <c r="ZH14" s="8"/>
      <c r="ZI14" s="8"/>
      <c r="ZJ14" s="8"/>
      <c r="ZK14" s="8"/>
      <c r="ZL14" s="8"/>
      <c r="ZM14" s="8"/>
      <c r="ZN14" s="8"/>
      <c r="ZO14" s="8"/>
      <c r="ZP14" s="8"/>
      <c r="ZQ14" s="8"/>
      <c r="ZR14" s="8"/>
      <c r="ZS14" s="8"/>
      <c r="ZT14" s="8"/>
      <c r="ZU14" s="8"/>
      <c r="ZV14" s="8"/>
      <c r="ZW14" s="8"/>
      <c r="ZX14" s="8"/>
      <c r="ZY14" s="8"/>
      <c r="ZZ14" s="8"/>
      <c r="AAA14" s="8"/>
      <c r="AAB14" s="8"/>
      <c r="AAC14" s="8"/>
      <c r="AAD14" s="8"/>
      <c r="AAE14" s="8"/>
      <c r="AAF14" s="8"/>
      <c r="AAG14" s="8"/>
      <c r="AAH14" s="8"/>
      <c r="AAI14" s="8"/>
      <c r="AAJ14" s="8"/>
      <c r="AAK14" s="8"/>
      <c r="AAL14" s="8"/>
      <c r="AAM14" s="8"/>
      <c r="AAN14" s="8"/>
      <c r="AAO14" s="8"/>
      <c r="AAP14" s="8"/>
      <c r="AAQ14" s="8"/>
      <c r="AAR14" s="8"/>
      <c r="AAS14" s="8"/>
      <c r="AAT14" s="8"/>
      <c r="AAU14" s="8"/>
      <c r="AAV14" s="8"/>
      <c r="AAW14" s="8"/>
      <c r="AAX14" s="8"/>
      <c r="AAY14" s="8"/>
      <c r="AAZ14" s="8"/>
      <c r="ABA14" s="8"/>
      <c r="ABB14" s="8"/>
      <c r="ABC14" s="8"/>
      <c r="ABD14" s="8"/>
      <c r="ABE14" s="8"/>
      <c r="ABF14" s="8"/>
      <c r="ABG14" s="8"/>
      <c r="ABH14" s="8"/>
      <c r="ABI14" s="8"/>
      <c r="ABJ14" s="8"/>
      <c r="ABK14" s="8"/>
      <c r="ABL14" s="8"/>
      <c r="ABM14" s="8"/>
      <c r="ABN14" s="8"/>
      <c r="ABO14" s="8"/>
      <c r="ABP14" s="8"/>
      <c r="ABQ14" s="8"/>
      <c r="ABR14" s="8"/>
      <c r="ABS14" s="8"/>
      <c r="ABT14" s="8"/>
      <c r="ABU14" s="8"/>
      <c r="ABV14" s="8"/>
      <c r="ABW14" s="8"/>
      <c r="ABX14" s="8"/>
      <c r="ABY14" s="8"/>
      <c r="ABZ14" s="8"/>
      <c r="ACA14" s="8"/>
      <c r="ACB14" s="8"/>
      <c r="ACC14" s="8"/>
      <c r="ACD14" s="8"/>
      <c r="ACE14" s="8"/>
      <c r="ACF14" s="8"/>
      <c r="ACG14" s="8"/>
      <c r="ACH14" s="8"/>
      <c r="ACI14" s="8"/>
      <c r="ACJ14" s="8"/>
      <c r="ACK14" s="8"/>
      <c r="ACL14" s="8"/>
      <c r="ACM14" s="8"/>
      <c r="ACN14" s="8"/>
      <c r="ACO14" s="8"/>
      <c r="ACP14" s="8"/>
      <c r="ACQ14" s="8"/>
      <c r="ACR14" s="8"/>
      <c r="ACS14" s="8"/>
      <c r="ACT14" s="8"/>
      <c r="ACU14" s="8"/>
      <c r="ACV14" s="8"/>
      <c r="ACW14" s="8"/>
      <c r="ACX14" s="8"/>
      <c r="ACY14" s="8"/>
      <c r="ACZ14" s="8"/>
      <c r="ADA14" s="8"/>
      <c r="ADB14" s="8"/>
      <c r="ADC14" s="8"/>
      <c r="ADD14" s="8"/>
      <c r="ADE14" s="8"/>
      <c r="ADF14" s="8"/>
      <c r="ADG14" s="8"/>
      <c r="ADH14" s="8"/>
      <c r="ADI14" s="8"/>
      <c r="ADJ14" s="8"/>
      <c r="ADK14" s="8"/>
      <c r="ADL14" s="8"/>
      <c r="ADM14" s="8"/>
      <c r="ADN14" s="8"/>
      <c r="ADO14" s="8"/>
      <c r="ADP14" s="8"/>
      <c r="ADQ14" s="8"/>
      <c r="ADR14" s="8"/>
      <c r="ADS14" s="8"/>
      <c r="ADT14" s="8"/>
      <c r="ADU14" s="8"/>
      <c r="ADV14" s="8"/>
      <c r="ADW14" s="8"/>
      <c r="ADX14" s="8"/>
      <c r="ADY14" s="8"/>
      <c r="ADZ14" s="8"/>
      <c r="AEA14" s="8"/>
      <c r="AEB14" s="8"/>
      <c r="AEC14" s="8"/>
      <c r="AED14" s="8"/>
      <c r="AEE14" s="8"/>
      <c r="AEF14" s="8"/>
      <c r="AEG14" s="8"/>
      <c r="AEH14" s="8"/>
      <c r="AEI14" s="8"/>
      <c r="AEJ14" s="8"/>
      <c r="AEK14" s="8"/>
      <c r="AEL14" s="8"/>
      <c r="AEM14" s="8"/>
      <c r="AEN14" s="8"/>
      <c r="AEO14" s="8"/>
      <c r="AEP14" s="8"/>
      <c r="AEQ14" s="8"/>
      <c r="AER14" s="8"/>
      <c r="AES14" s="8"/>
      <c r="AET14" s="8"/>
      <c r="AEU14" s="8"/>
      <c r="AEV14" s="8"/>
      <c r="AEW14" s="8"/>
      <c r="AEX14" s="8"/>
      <c r="AEY14" s="8"/>
      <c r="AEZ14" s="8"/>
      <c r="AFA14" s="8"/>
      <c r="AFB14" s="8"/>
      <c r="AFC14" s="8"/>
      <c r="AFD14" s="8"/>
      <c r="AFE14" s="8"/>
      <c r="AFF14" s="8"/>
      <c r="AFG14" s="8"/>
      <c r="AFH14" s="8"/>
      <c r="AFI14" s="8"/>
      <c r="AFJ14" s="8"/>
      <c r="AFK14" s="8"/>
      <c r="AFL14" s="8"/>
      <c r="AFM14" s="8"/>
      <c r="AFN14" s="8"/>
      <c r="AFO14" s="8"/>
      <c r="AFP14" s="8"/>
      <c r="AFQ14" s="8"/>
      <c r="AFR14" s="8"/>
      <c r="AFS14" s="8"/>
      <c r="AFT14" s="8"/>
      <c r="AFU14" s="8"/>
      <c r="AFV14" s="8"/>
      <c r="AFW14" s="8"/>
      <c r="AFX14" s="8"/>
      <c r="AFY14" s="8"/>
      <c r="AFZ14" s="8"/>
      <c r="AGA14" s="8"/>
      <c r="AGB14" s="8"/>
      <c r="AGC14" s="8"/>
      <c r="AGD14" s="8"/>
      <c r="AGE14" s="8"/>
      <c r="AGF14" s="8"/>
      <c r="AGG14" s="8"/>
      <c r="AGH14" s="8"/>
      <c r="AGI14" s="8"/>
      <c r="AGJ14" s="8"/>
      <c r="AGK14" s="8"/>
      <c r="AGL14" s="8"/>
      <c r="AGM14" s="8"/>
      <c r="AGN14" s="8"/>
      <c r="AGO14" s="8"/>
      <c r="AGP14" s="8"/>
      <c r="AGQ14" s="8"/>
      <c r="AGR14" s="8"/>
      <c r="AGS14" s="8"/>
      <c r="AGT14" s="8"/>
      <c r="AGU14" s="8"/>
      <c r="AGV14" s="8"/>
      <c r="AGW14" s="8"/>
      <c r="AGX14" s="8"/>
      <c r="AGY14" s="8"/>
      <c r="AGZ14" s="8"/>
      <c r="AHA14" s="8"/>
      <c r="AHB14" s="8"/>
      <c r="AHC14" s="8"/>
      <c r="AHD14" s="8"/>
      <c r="AHE14" s="8"/>
      <c r="AHF14" s="8"/>
      <c r="AHG14" s="8"/>
      <c r="AHH14" s="8"/>
      <c r="AHI14" s="8"/>
      <c r="AHJ14" s="8"/>
      <c r="AHK14" s="8"/>
      <c r="AHL14" s="8"/>
      <c r="AHM14" s="8"/>
      <c r="AHN14" s="8"/>
      <c r="AHO14" s="8"/>
      <c r="AHP14" s="8"/>
      <c r="AHQ14" s="8"/>
      <c r="AHR14" s="8"/>
      <c r="AHS14" s="8"/>
      <c r="AHT14" s="8"/>
      <c r="AHU14" s="8"/>
      <c r="AHV14" s="8"/>
      <c r="AHW14" s="8"/>
      <c r="AHX14" s="8"/>
      <c r="AHY14" s="8"/>
      <c r="AHZ14" s="8"/>
      <c r="AIA14" s="8"/>
      <c r="AIB14" s="8"/>
      <c r="AIC14" s="8"/>
      <c r="AID14" s="8"/>
      <c r="AIE14" s="8"/>
      <c r="AIF14" s="8"/>
      <c r="AIG14" s="8"/>
      <c r="AIH14" s="8"/>
      <c r="AII14" s="8"/>
      <c r="AIJ14" s="8"/>
      <c r="AIK14" s="8"/>
      <c r="AIL14" s="8"/>
      <c r="AIM14" s="8"/>
      <c r="AIN14" s="8"/>
      <c r="AIO14" s="8"/>
      <c r="AIP14" s="8"/>
      <c r="AIQ14" s="8"/>
      <c r="AIR14" s="8"/>
      <c r="AIS14" s="8"/>
      <c r="AIT14" s="8"/>
      <c r="AIU14" s="8"/>
      <c r="AIV14" s="8"/>
      <c r="AIW14" s="8"/>
      <c r="AIX14" s="8"/>
      <c r="AIY14" s="8"/>
      <c r="AIZ14" s="8"/>
      <c r="AJA14" s="8"/>
      <c r="AJB14" s="8"/>
      <c r="AJC14" s="8"/>
      <c r="AJD14" s="8"/>
      <c r="AJE14" s="8"/>
      <c r="AJF14" s="8"/>
      <c r="AJG14" s="8"/>
      <c r="AJH14" s="8"/>
      <c r="AJI14" s="8"/>
      <c r="AJJ14" s="8"/>
      <c r="AJK14" s="8"/>
      <c r="AJL14" s="8"/>
      <c r="AJM14" s="8"/>
      <c r="AJN14" s="8"/>
      <c r="AJO14" s="8"/>
      <c r="AJP14" s="8"/>
      <c r="AJQ14" s="8"/>
      <c r="AJR14" s="8"/>
      <c r="AJS14" s="8"/>
      <c r="AJT14" s="8"/>
      <c r="AJU14" s="8"/>
      <c r="AJV14" s="8"/>
      <c r="AJW14" s="8"/>
      <c r="AJX14" s="8"/>
      <c r="AJY14" s="8"/>
      <c r="AJZ14" s="8"/>
      <c r="AKA14" s="8"/>
      <c r="AKB14" s="8"/>
      <c r="AKC14" s="8"/>
      <c r="AKD14" s="8"/>
      <c r="AKE14" s="8"/>
      <c r="AKF14" s="8"/>
      <c r="AKG14" s="8"/>
      <c r="AKH14" s="8"/>
      <c r="AKI14" s="8"/>
      <c r="AKJ14" s="8"/>
      <c r="AKK14" s="8"/>
      <c r="AKL14" s="8"/>
      <c r="AKM14" s="8"/>
      <c r="AKN14" s="8"/>
      <c r="AKO14" s="8"/>
      <c r="AKP14" s="8"/>
      <c r="AKQ14" s="8"/>
      <c r="AKR14" s="8"/>
      <c r="AKS14" s="8"/>
      <c r="AKT14" s="8"/>
      <c r="AKU14" s="8"/>
      <c r="AKV14" s="8"/>
      <c r="AKW14" s="8"/>
      <c r="AKX14" s="8"/>
      <c r="AKY14" s="8"/>
      <c r="AKZ14" s="8"/>
      <c r="ALA14" s="8"/>
      <c r="ALB14" s="8"/>
      <c r="ALC14" s="8"/>
      <c r="ALD14" s="8"/>
      <c r="ALE14" s="8"/>
      <c r="ALF14" s="8"/>
      <c r="ALG14" s="8"/>
      <c r="ALH14" s="8"/>
      <c r="ALI14" s="8"/>
      <c r="ALJ14" s="8"/>
      <c r="ALK14" s="8"/>
      <c r="ALL14" s="8"/>
      <c r="ALM14" s="8"/>
      <c r="ALN14" s="8"/>
      <c r="ALO14" s="8"/>
      <c r="ALP14" s="8"/>
      <c r="ALQ14" s="8"/>
      <c r="ALR14" s="8"/>
      <c r="ALS14" s="8"/>
      <c r="ALT14" s="8"/>
      <c r="ALU14" s="8"/>
      <c r="ALV14" s="8"/>
      <c r="ALW14" s="8"/>
      <c r="ALX14" s="8"/>
      <c r="ALY14" s="8"/>
      <c r="ALZ14" s="8"/>
      <c r="AMA14" s="8"/>
      <c r="AMB14" s="8"/>
      <c r="AMC14" s="8"/>
      <c r="AMD14" s="8"/>
      <c r="AME14" s="8"/>
    </row>
    <row r="15" spans="2:1019" ht="24.75" customHeight="1">
      <c r="B15" s="246"/>
      <c r="C15" s="1134"/>
      <c r="D15" s="1136"/>
      <c r="E15" s="1139"/>
      <c r="F15" s="1158"/>
      <c r="G15" s="251" t="s">
        <v>767</v>
      </c>
      <c r="H15" s="251" t="s">
        <v>768</v>
      </c>
      <c r="I15" s="1149"/>
      <c r="J15" s="251" t="s">
        <v>769</v>
      </c>
      <c r="K15" s="1153"/>
      <c r="L15" s="1129"/>
      <c r="M15" s="1130"/>
      <c r="N15" s="1130"/>
      <c r="O15" s="1130"/>
      <c r="P15" s="1130"/>
      <c r="Q15" s="1130"/>
      <c r="R15" s="1124"/>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c r="VU15" s="8"/>
      <c r="VV15" s="8"/>
      <c r="VW15" s="8"/>
      <c r="VX15" s="8"/>
      <c r="VY15" s="8"/>
      <c r="VZ15" s="8"/>
      <c r="WA15" s="8"/>
      <c r="WB15" s="8"/>
      <c r="WC15" s="8"/>
      <c r="WD15" s="8"/>
      <c r="WE15" s="8"/>
      <c r="WF15" s="8"/>
      <c r="WG15" s="8"/>
      <c r="WH15" s="8"/>
      <c r="WI15" s="8"/>
      <c r="WJ15" s="8"/>
      <c r="WK15" s="8"/>
      <c r="WL15" s="8"/>
      <c r="WM15" s="8"/>
      <c r="WN15" s="8"/>
      <c r="WO15" s="8"/>
      <c r="WP15" s="8"/>
      <c r="WQ15" s="8"/>
      <c r="WR15" s="8"/>
      <c r="WS15" s="8"/>
      <c r="WT15" s="8"/>
      <c r="WU15" s="8"/>
      <c r="WV15" s="8"/>
      <c r="WW15" s="8"/>
      <c r="WX15" s="8"/>
      <c r="WY15" s="8"/>
      <c r="WZ15" s="8"/>
      <c r="XA15" s="8"/>
      <c r="XB15" s="8"/>
      <c r="XC15" s="8"/>
      <c r="XD15" s="8"/>
      <c r="XE15" s="8"/>
      <c r="XF15" s="8"/>
      <c r="XG15" s="8"/>
      <c r="XH15" s="8"/>
      <c r="XI15" s="8"/>
      <c r="XJ15" s="8"/>
      <c r="XK15" s="8"/>
      <c r="XL15" s="8"/>
      <c r="XM15" s="8"/>
      <c r="XN15" s="8"/>
      <c r="XO15" s="8"/>
      <c r="XP15" s="8"/>
      <c r="XQ15" s="8"/>
      <c r="XR15" s="8"/>
      <c r="XS15" s="8"/>
      <c r="XT15" s="8"/>
      <c r="XU15" s="8"/>
      <c r="XV15" s="8"/>
      <c r="XW15" s="8"/>
      <c r="XX15" s="8"/>
      <c r="XY15" s="8"/>
      <c r="XZ15" s="8"/>
      <c r="YA15" s="8"/>
      <c r="YB15" s="8"/>
      <c r="YC15" s="8"/>
      <c r="YD15" s="8"/>
      <c r="YE15" s="8"/>
      <c r="YF15" s="8"/>
      <c r="YG15" s="8"/>
      <c r="YH15" s="8"/>
      <c r="YI15" s="8"/>
      <c r="YJ15" s="8"/>
      <c r="YK15" s="8"/>
      <c r="YL15" s="8"/>
      <c r="YM15" s="8"/>
      <c r="YN15" s="8"/>
      <c r="YO15" s="8"/>
      <c r="YP15" s="8"/>
      <c r="YQ15" s="8"/>
      <c r="YR15" s="8"/>
      <c r="YS15" s="8"/>
      <c r="YT15" s="8"/>
      <c r="YU15" s="8"/>
      <c r="YV15" s="8"/>
      <c r="YW15" s="8"/>
      <c r="YX15" s="8"/>
      <c r="YY15" s="8"/>
      <c r="YZ15" s="8"/>
      <c r="ZA15" s="8"/>
      <c r="ZB15" s="8"/>
      <c r="ZC15" s="8"/>
      <c r="ZD15" s="8"/>
      <c r="ZE15" s="8"/>
      <c r="ZF15" s="8"/>
      <c r="ZG15" s="8"/>
      <c r="ZH15" s="8"/>
      <c r="ZI15" s="8"/>
      <c r="ZJ15" s="8"/>
      <c r="ZK15" s="8"/>
      <c r="ZL15" s="8"/>
      <c r="ZM15" s="8"/>
      <c r="ZN15" s="8"/>
      <c r="ZO15" s="8"/>
      <c r="ZP15" s="8"/>
      <c r="ZQ15" s="8"/>
      <c r="ZR15" s="8"/>
      <c r="ZS15" s="8"/>
      <c r="ZT15" s="8"/>
      <c r="ZU15" s="8"/>
      <c r="ZV15" s="8"/>
      <c r="ZW15" s="8"/>
      <c r="ZX15" s="8"/>
      <c r="ZY15" s="8"/>
      <c r="ZZ15" s="8"/>
      <c r="AAA15" s="8"/>
      <c r="AAB15" s="8"/>
      <c r="AAC15" s="8"/>
      <c r="AAD15" s="8"/>
      <c r="AAE15" s="8"/>
      <c r="AAF15" s="8"/>
      <c r="AAG15" s="8"/>
      <c r="AAH15" s="8"/>
      <c r="AAI15" s="8"/>
      <c r="AAJ15" s="8"/>
      <c r="AAK15" s="8"/>
      <c r="AAL15" s="8"/>
      <c r="AAM15" s="8"/>
      <c r="AAN15" s="8"/>
      <c r="AAO15" s="8"/>
      <c r="AAP15" s="8"/>
      <c r="AAQ15" s="8"/>
      <c r="AAR15" s="8"/>
      <c r="AAS15" s="8"/>
      <c r="AAT15" s="8"/>
      <c r="AAU15" s="8"/>
      <c r="AAV15" s="8"/>
      <c r="AAW15" s="8"/>
      <c r="AAX15" s="8"/>
      <c r="AAY15" s="8"/>
      <c r="AAZ15" s="8"/>
      <c r="ABA15" s="8"/>
      <c r="ABB15" s="8"/>
      <c r="ABC15" s="8"/>
      <c r="ABD15" s="8"/>
      <c r="ABE15" s="8"/>
      <c r="ABF15" s="8"/>
      <c r="ABG15" s="8"/>
      <c r="ABH15" s="8"/>
      <c r="ABI15" s="8"/>
      <c r="ABJ15" s="8"/>
      <c r="ABK15" s="8"/>
      <c r="ABL15" s="8"/>
      <c r="ABM15" s="8"/>
      <c r="ABN15" s="8"/>
      <c r="ABO15" s="8"/>
      <c r="ABP15" s="8"/>
      <c r="ABQ15" s="8"/>
      <c r="ABR15" s="8"/>
      <c r="ABS15" s="8"/>
      <c r="ABT15" s="8"/>
      <c r="ABU15" s="8"/>
      <c r="ABV15" s="8"/>
      <c r="ABW15" s="8"/>
      <c r="ABX15" s="8"/>
      <c r="ABY15" s="8"/>
      <c r="ABZ15" s="8"/>
      <c r="ACA15" s="8"/>
      <c r="ACB15" s="8"/>
      <c r="ACC15" s="8"/>
      <c r="ACD15" s="8"/>
      <c r="ACE15" s="8"/>
      <c r="ACF15" s="8"/>
      <c r="ACG15" s="8"/>
      <c r="ACH15" s="8"/>
      <c r="ACI15" s="8"/>
      <c r="ACJ15" s="8"/>
      <c r="ACK15" s="8"/>
      <c r="ACL15" s="8"/>
      <c r="ACM15" s="8"/>
      <c r="ACN15" s="8"/>
      <c r="ACO15" s="8"/>
      <c r="ACP15" s="8"/>
      <c r="ACQ15" s="8"/>
      <c r="ACR15" s="8"/>
      <c r="ACS15" s="8"/>
      <c r="ACT15" s="8"/>
      <c r="ACU15" s="8"/>
      <c r="ACV15" s="8"/>
      <c r="ACW15" s="8"/>
      <c r="ACX15" s="8"/>
      <c r="ACY15" s="8"/>
      <c r="ACZ15" s="8"/>
      <c r="ADA15" s="8"/>
      <c r="ADB15" s="8"/>
      <c r="ADC15" s="8"/>
      <c r="ADD15" s="8"/>
      <c r="ADE15" s="8"/>
      <c r="ADF15" s="8"/>
      <c r="ADG15" s="8"/>
      <c r="ADH15" s="8"/>
      <c r="ADI15" s="8"/>
      <c r="ADJ15" s="8"/>
      <c r="ADK15" s="8"/>
      <c r="ADL15" s="8"/>
      <c r="ADM15" s="8"/>
      <c r="ADN15" s="8"/>
      <c r="ADO15" s="8"/>
      <c r="ADP15" s="8"/>
      <c r="ADQ15" s="8"/>
      <c r="ADR15" s="8"/>
      <c r="ADS15" s="8"/>
      <c r="ADT15" s="8"/>
      <c r="ADU15" s="8"/>
      <c r="ADV15" s="8"/>
      <c r="ADW15" s="8"/>
      <c r="ADX15" s="8"/>
      <c r="ADY15" s="8"/>
      <c r="ADZ15" s="8"/>
      <c r="AEA15" s="8"/>
      <c r="AEB15" s="8"/>
      <c r="AEC15" s="8"/>
      <c r="AED15" s="8"/>
      <c r="AEE15" s="8"/>
      <c r="AEF15" s="8"/>
      <c r="AEG15" s="8"/>
      <c r="AEH15" s="8"/>
      <c r="AEI15" s="8"/>
      <c r="AEJ15" s="8"/>
      <c r="AEK15" s="8"/>
      <c r="AEL15" s="8"/>
      <c r="AEM15" s="8"/>
      <c r="AEN15" s="8"/>
      <c r="AEO15" s="8"/>
      <c r="AEP15" s="8"/>
      <c r="AEQ15" s="8"/>
      <c r="AER15" s="8"/>
      <c r="AES15" s="8"/>
      <c r="AET15" s="8"/>
      <c r="AEU15" s="8"/>
      <c r="AEV15" s="8"/>
      <c r="AEW15" s="8"/>
      <c r="AEX15" s="8"/>
      <c r="AEY15" s="8"/>
      <c r="AEZ15" s="8"/>
      <c r="AFA15" s="8"/>
      <c r="AFB15" s="8"/>
      <c r="AFC15" s="8"/>
      <c r="AFD15" s="8"/>
      <c r="AFE15" s="8"/>
      <c r="AFF15" s="8"/>
      <c r="AFG15" s="8"/>
      <c r="AFH15" s="8"/>
      <c r="AFI15" s="8"/>
      <c r="AFJ15" s="8"/>
      <c r="AFK15" s="8"/>
      <c r="AFL15" s="8"/>
      <c r="AFM15" s="8"/>
      <c r="AFN15" s="8"/>
      <c r="AFO15" s="8"/>
      <c r="AFP15" s="8"/>
      <c r="AFQ15" s="8"/>
      <c r="AFR15" s="8"/>
      <c r="AFS15" s="8"/>
      <c r="AFT15" s="8"/>
      <c r="AFU15" s="8"/>
      <c r="AFV15" s="8"/>
      <c r="AFW15" s="8"/>
      <c r="AFX15" s="8"/>
      <c r="AFY15" s="8"/>
      <c r="AFZ15" s="8"/>
      <c r="AGA15" s="8"/>
      <c r="AGB15" s="8"/>
      <c r="AGC15" s="8"/>
      <c r="AGD15" s="8"/>
      <c r="AGE15" s="8"/>
      <c r="AGF15" s="8"/>
      <c r="AGG15" s="8"/>
      <c r="AGH15" s="8"/>
      <c r="AGI15" s="8"/>
      <c r="AGJ15" s="8"/>
      <c r="AGK15" s="8"/>
      <c r="AGL15" s="8"/>
      <c r="AGM15" s="8"/>
      <c r="AGN15" s="8"/>
      <c r="AGO15" s="8"/>
      <c r="AGP15" s="8"/>
      <c r="AGQ15" s="8"/>
      <c r="AGR15" s="8"/>
      <c r="AGS15" s="8"/>
      <c r="AGT15" s="8"/>
      <c r="AGU15" s="8"/>
      <c r="AGV15" s="8"/>
      <c r="AGW15" s="8"/>
      <c r="AGX15" s="8"/>
      <c r="AGY15" s="8"/>
      <c r="AGZ15" s="8"/>
      <c r="AHA15" s="8"/>
      <c r="AHB15" s="8"/>
      <c r="AHC15" s="8"/>
      <c r="AHD15" s="8"/>
      <c r="AHE15" s="8"/>
      <c r="AHF15" s="8"/>
      <c r="AHG15" s="8"/>
      <c r="AHH15" s="8"/>
      <c r="AHI15" s="8"/>
      <c r="AHJ15" s="8"/>
      <c r="AHK15" s="8"/>
      <c r="AHL15" s="8"/>
      <c r="AHM15" s="8"/>
      <c r="AHN15" s="8"/>
      <c r="AHO15" s="8"/>
      <c r="AHP15" s="8"/>
      <c r="AHQ15" s="8"/>
      <c r="AHR15" s="8"/>
      <c r="AHS15" s="8"/>
      <c r="AHT15" s="8"/>
      <c r="AHU15" s="8"/>
      <c r="AHV15" s="8"/>
      <c r="AHW15" s="8"/>
      <c r="AHX15" s="8"/>
      <c r="AHY15" s="8"/>
      <c r="AHZ15" s="8"/>
      <c r="AIA15" s="8"/>
      <c r="AIB15" s="8"/>
      <c r="AIC15" s="8"/>
      <c r="AID15" s="8"/>
      <c r="AIE15" s="8"/>
      <c r="AIF15" s="8"/>
      <c r="AIG15" s="8"/>
      <c r="AIH15" s="8"/>
      <c r="AII15" s="8"/>
      <c r="AIJ15" s="8"/>
      <c r="AIK15" s="8"/>
      <c r="AIL15" s="8"/>
      <c r="AIM15" s="8"/>
      <c r="AIN15" s="8"/>
      <c r="AIO15" s="8"/>
      <c r="AIP15" s="8"/>
      <c r="AIQ15" s="8"/>
      <c r="AIR15" s="8"/>
      <c r="AIS15" s="8"/>
      <c r="AIT15" s="8"/>
      <c r="AIU15" s="8"/>
      <c r="AIV15" s="8"/>
      <c r="AIW15" s="8"/>
      <c r="AIX15" s="8"/>
      <c r="AIY15" s="8"/>
      <c r="AIZ15" s="8"/>
      <c r="AJA15" s="8"/>
      <c r="AJB15" s="8"/>
      <c r="AJC15" s="8"/>
      <c r="AJD15" s="8"/>
      <c r="AJE15" s="8"/>
      <c r="AJF15" s="8"/>
      <c r="AJG15" s="8"/>
      <c r="AJH15" s="8"/>
      <c r="AJI15" s="8"/>
      <c r="AJJ15" s="8"/>
      <c r="AJK15" s="8"/>
      <c r="AJL15" s="8"/>
      <c r="AJM15" s="8"/>
      <c r="AJN15" s="8"/>
      <c r="AJO15" s="8"/>
      <c r="AJP15" s="8"/>
      <c r="AJQ15" s="8"/>
      <c r="AJR15" s="8"/>
      <c r="AJS15" s="8"/>
      <c r="AJT15" s="8"/>
      <c r="AJU15" s="8"/>
      <c r="AJV15" s="8"/>
      <c r="AJW15" s="8"/>
      <c r="AJX15" s="8"/>
      <c r="AJY15" s="8"/>
      <c r="AJZ15" s="8"/>
      <c r="AKA15" s="8"/>
      <c r="AKB15" s="8"/>
      <c r="AKC15" s="8"/>
      <c r="AKD15" s="8"/>
      <c r="AKE15" s="8"/>
      <c r="AKF15" s="8"/>
      <c r="AKG15" s="8"/>
      <c r="AKH15" s="8"/>
      <c r="AKI15" s="8"/>
      <c r="AKJ15" s="8"/>
      <c r="AKK15" s="8"/>
      <c r="AKL15" s="8"/>
      <c r="AKM15" s="8"/>
      <c r="AKN15" s="8"/>
      <c r="AKO15" s="8"/>
      <c r="AKP15" s="8"/>
      <c r="AKQ15" s="8"/>
      <c r="AKR15" s="8"/>
      <c r="AKS15" s="8"/>
      <c r="AKT15" s="8"/>
      <c r="AKU15" s="8"/>
      <c r="AKV15" s="8"/>
      <c r="AKW15" s="8"/>
      <c r="AKX15" s="8"/>
      <c r="AKY15" s="8"/>
      <c r="AKZ15" s="8"/>
      <c r="ALA15" s="8"/>
      <c r="ALB15" s="8"/>
      <c r="ALC15" s="8"/>
      <c r="ALD15" s="8"/>
      <c r="ALE15" s="8"/>
      <c r="ALF15" s="8"/>
      <c r="ALG15" s="8"/>
      <c r="ALH15" s="8"/>
      <c r="ALI15" s="8"/>
      <c r="ALJ15" s="8"/>
      <c r="ALK15" s="8"/>
      <c r="ALL15" s="8"/>
      <c r="ALM15" s="8"/>
      <c r="ALN15" s="8"/>
      <c r="ALO15" s="8"/>
      <c r="ALP15" s="8"/>
      <c r="ALQ15" s="8"/>
      <c r="ALR15" s="8"/>
      <c r="ALS15" s="8"/>
      <c r="ALT15" s="8"/>
      <c r="ALU15" s="8"/>
      <c r="ALV15" s="8"/>
      <c r="ALW15" s="8"/>
      <c r="ALX15" s="8"/>
      <c r="ALY15" s="8"/>
      <c r="ALZ15" s="8"/>
      <c r="AMA15" s="8"/>
      <c r="AMB15" s="8"/>
      <c r="AMC15" s="8"/>
      <c r="AMD15" s="8"/>
      <c r="AME15" s="8"/>
    </row>
    <row r="16" spans="2:1019" ht="35.25" customHeight="1">
      <c r="B16" s="246"/>
      <c r="C16" s="1134"/>
      <c r="D16" s="1136"/>
      <c r="E16" s="1139"/>
      <c r="F16" s="1158"/>
      <c r="G16" s="251" t="s">
        <v>770</v>
      </c>
      <c r="H16" s="251" t="s">
        <v>347</v>
      </c>
      <c r="I16" s="1149"/>
      <c r="J16" s="251" t="s">
        <v>771</v>
      </c>
      <c r="K16" s="1153"/>
      <c r="L16" s="1129"/>
      <c r="M16" s="1130"/>
      <c r="N16" s="1130"/>
      <c r="O16" s="1130"/>
      <c r="P16" s="1130"/>
      <c r="Q16" s="1130"/>
      <c r="R16" s="1124"/>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c r="VU16" s="8"/>
      <c r="VV16" s="8"/>
      <c r="VW16" s="8"/>
      <c r="VX16" s="8"/>
      <c r="VY16" s="8"/>
      <c r="VZ16" s="8"/>
      <c r="WA16" s="8"/>
      <c r="WB16" s="8"/>
      <c r="WC16" s="8"/>
      <c r="WD16" s="8"/>
      <c r="WE16" s="8"/>
      <c r="WF16" s="8"/>
      <c r="WG16" s="8"/>
      <c r="WH16" s="8"/>
      <c r="WI16" s="8"/>
      <c r="WJ16" s="8"/>
      <c r="WK16" s="8"/>
      <c r="WL16" s="8"/>
      <c r="WM16" s="8"/>
      <c r="WN16" s="8"/>
      <c r="WO16" s="8"/>
      <c r="WP16" s="8"/>
      <c r="WQ16" s="8"/>
      <c r="WR16" s="8"/>
      <c r="WS16" s="8"/>
      <c r="WT16" s="8"/>
      <c r="WU16" s="8"/>
      <c r="WV16" s="8"/>
      <c r="WW16" s="8"/>
      <c r="WX16" s="8"/>
      <c r="WY16" s="8"/>
      <c r="WZ16" s="8"/>
      <c r="XA16" s="8"/>
      <c r="XB16" s="8"/>
      <c r="XC16" s="8"/>
      <c r="XD16" s="8"/>
      <c r="XE16" s="8"/>
      <c r="XF16" s="8"/>
      <c r="XG16" s="8"/>
      <c r="XH16" s="8"/>
      <c r="XI16" s="8"/>
      <c r="XJ16" s="8"/>
      <c r="XK16" s="8"/>
      <c r="XL16" s="8"/>
      <c r="XM16" s="8"/>
      <c r="XN16" s="8"/>
      <c r="XO16" s="8"/>
      <c r="XP16" s="8"/>
      <c r="XQ16" s="8"/>
      <c r="XR16" s="8"/>
      <c r="XS16" s="8"/>
      <c r="XT16" s="8"/>
      <c r="XU16" s="8"/>
      <c r="XV16" s="8"/>
      <c r="XW16" s="8"/>
      <c r="XX16" s="8"/>
      <c r="XY16" s="8"/>
      <c r="XZ16" s="8"/>
      <c r="YA16" s="8"/>
      <c r="YB16" s="8"/>
      <c r="YC16" s="8"/>
      <c r="YD16" s="8"/>
      <c r="YE16" s="8"/>
      <c r="YF16" s="8"/>
      <c r="YG16" s="8"/>
      <c r="YH16" s="8"/>
      <c r="YI16" s="8"/>
      <c r="YJ16" s="8"/>
      <c r="YK16" s="8"/>
      <c r="YL16" s="8"/>
      <c r="YM16" s="8"/>
      <c r="YN16" s="8"/>
      <c r="YO16" s="8"/>
      <c r="YP16" s="8"/>
      <c r="YQ16" s="8"/>
      <c r="YR16" s="8"/>
      <c r="YS16" s="8"/>
      <c r="YT16" s="8"/>
      <c r="YU16" s="8"/>
      <c r="YV16" s="8"/>
      <c r="YW16" s="8"/>
      <c r="YX16" s="8"/>
      <c r="YY16" s="8"/>
      <c r="YZ16" s="8"/>
      <c r="ZA16" s="8"/>
      <c r="ZB16" s="8"/>
      <c r="ZC16" s="8"/>
      <c r="ZD16" s="8"/>
      <c r="ZE16" s="8"/>
      <c r="ZF16" s="8"/>
      <c r="ZG16" s="8"/>
      <c r="ZH16" s="8"/>
      <c r="ZI16" s="8"/>
      <c r="ZJ16" s="8"/>
      <c r="ZK16" s="8"/>
      <c r="ZL16" s="8"/>
      <c r="ZM16" s="8"/>
      <c r="ZN16" s="8"/>
      <c r="ZO16" s="8"/>
      <c r="ZP16" s="8"/>
      <c r="ZQ16" s="8"/>
      <c r="ZR16" s="8"/>
      <c r="ZS16" s="8"/>
      <c r="ZT16" s="8"/>
      <c r="ZU16" s="8"/>
      <c r="ZV16" s="8"/>
      <c r="ZW16" s="8"/>
      <c r="ZX16" s="8"/>
      <c r="ZY16" s="8"/>
      <c r="ZZ16" s="8"/>
      <c r="AAA16" s="8"/>
      <c r="AAB16" s="8"/>
      <c r="AAC16" s="8"/>
      <c r="AAD16" s="8"/>
      <c r="AAE16" s="8"/>
      <c r="AAF16" s="8"/>
      <c r="AAG16" s="8"/>
      <c r="AAH16" s="8"/>
      <c r="AAI16" s="8"/>
      <c r="AAJ16" s="8"/>
      <c r="AAK16" s="8"/>
      <c r="AAL16" s="8"/>
      <c r="AAM16" s="8"/>
      <c r="AAN16" s="8"/>
      <c r="AAO16" s="8"/>
      <c r="AAP16" s="8"/>
      <c r="AAQ16" s="8"/>
      <c r="AAR16" s="8"/>
      <c r="AAS16" s="8"/>
      <c r="AAT16" s="8"/>
      <c r="AAU16" s="8"/>
      <c r="AAV16" s="8"/>
      <c r="AAW16" s="8"/>
      <c r="AAX16" s="8"/>
      <c r="AAY16" s="8"/>
      <c r="AAZ16" s="8"/>
      <c r="ABA16" s="8"/>
      <c r="ABB16" s="8"/>
      <c r="ABC16" s="8"/>
      <c r="ABD16" s="8"/>
      <c r="ABE16" s="8"/>
      <c r="ABF16" s="8"/>
      <c r="ABG16" s="8"/>
      <c r="ABH16" s="8"/>
      <c r="ABI16" s="8"/>
      <c r="ABJ16" s="8"/>
      <c r="ABK16" s="8"/>
      <c r="ABL16" s="8"/>
      <c r="ABM16" s="8"/>
      <c r="ABN16" s="8"/>
      <c r="ABO16" s="8"/>
      <c r="ABP16" s="8"/>
      <c r="ABQ16" s="8"/>
      <c r="ABR16" s="8"/>
      <c r="ABS16" s="8"/>
      <c r="ABT16" s="8"/>
      <c r="ABU16" s="8"/>
      <c r="ABV16" s="8"/>
      <c r="ABW16" s="8"/>
      <c r="ABX16" s="8"/>
      <c r="ABY16" s="8"/>
      <c r="ABZ16" s="8"/>
      <c r="ACA16" s="8"/>
      <c r="ACB16" s="8"/>
      <c r="ACC16" s="8"/>
      <c r="ACD16" s="8"/>
      <c r="ACE16" s="8"/>
      <c r="ACF16" s="8"/>
      <c r="ACG16" s="8"/>
      <c r="ACH16" s="8"/>
      <c r="ACI16" s="8"/>
      <c r="ACJ16" s="8"/>
      <c r="ACK16" s="8"/>
      <c r="ACL16" s="8"/>
      <c r="ACM16" s="8"/>
      <c r="ACN16" s="8"/>
      <c r="ACO16" s="8"/>
      <c r="ACP16" s="8"/>
      <c r="ACQ16" s="8"/>
      <c r="ACR16" s="8"/>
      <c r="ACS16" s="8"/>
      <c r="ACT16" s="8"/>
      <c r="ACU16" s="8"/>
      <c r="ACV16" s="8"/>
      <c r="ACW16" s="8"/>
      <c r="ACX16" s="8"/>
      <c r="ACY16" s="8"/>
      <c r="ACZ16" s="8"/>
      <c r="ADA16" s="8"/>
      <c r="ADB16" s="8"/>
      <c r="ADC16" s="8"/>
      <c r="ADD16" s="8"/>
      <c r="ADE16" s="8"/>
      <c r="ADF16" s="8"/>
      <c r="ADG16" s="8"/>
      <c r="ADH16" s="8"/>
      <c r="ADI16" s="8"/>
      <c r="ADJ16" s="8"/>
      <c r="ADK16" s="8"/>
      <c r="ADL16" s="8"/>
      <c r="ADM16" s="8"/>
      <c r="ADN16" s="8"/>
      <c r="ADO16" s="8"/>
      <c r="ADP16" s="8"/>
      <c r="ADQ16" s="8"/>
      <c r="ADR16" s="8"/>
      <c r="ADS16" s="8"/>
      <c r="ADT16" s="8"/>
      <c r="ADU16" s="8"/>
      <c r="ADV16" s="8"/>
      <c r="ADW16" s="8"/>
      <c r="ADX16" s="8"/>
      <c r="ADY16" s="8"/>
      <c r="ADZ16" s="8"/>
      <c r="AEA16" s="8"/>
      <c r="AEB16" s="8"/>
      <c r="AEC16" s="8"/>
      <c r="AED16" s="8"/>
      <c r="AEE16" s="8"/>
      <c r="AEF16" s="8"/>
      <c r="AEG16" s="8"/>
      <c r="AEH16" s="8"/>
      <c r="AEI16" s="8"/>
      <c r="AEJ16" s="8"/>
      <c r="AEK16" s="8"/>
      <c r="AEL16" s="8"/>
      <c r="AEM16" s="8"/>
      <c r="AEN16" s="8"/>
      <c r="AEO16" s="8"/>
      <c r="AEP16" s="8"/>
      <c r="AEQ16" s="8"/>
      <c r="AER16" s="8"/>
      <c r="AES16" s="8"/>
      <c r="AET16" s="8"/>
      <c r="AEU16" s="8"/>
      <c r="AEV16" s="8"/>
      <c r="AEW16" s="8"/>
      <c r="AEX16" s="8"/>
      <c r="AEY16" s="8"/>
      <c r="AEZ16" s="8"/>
      <c r="AFA16" s="8"/>
      <c r="AFB16" s="8"/>
      <c r="AFC16" s="8"/>
      <c r="AFD16" s="8"/>
      <c r="AFE16" s="8"/>
      <c r="AFF16" s="8"/>
      <c r="AFG16" s="8"/>
      <c r="AFH16" s="8"/>
      <c r="AFI16" s="8"/>
      <c r="AFJ16" s="8"/>
      <c r="AFK16" s="8"/>
      <c r="AFL16" s="8"/>
      <c r="AFM16" s="8"/>
      <c r="AFN16" s="8"/>
      <c r="AFO16" s="8"/>
      <c r="AFP16" s="8"/>
      <c r="AFQ16" s="8"/>
      <c r="AFR16" s="8"/>
      <c r="AFS16" s="8"/>
      <c r="AFT16" s="8"/>
      <c r="AFU16" s="8"/>
      <c r="AFV16" s="8"/>
      <c r="AFW16" s="8"/>
      <c r="AFX16" s="8"/>
      <c r="AFY16" s="8"/>
      <c r="AFZ16" s="8"/>
      <c r="AGA16" s="8"/>
      <c r="AGB16" s="8"/>
      <c r="AGC16" s="8"/>
      <c r="AGD16" s="8"/>
      <c r="AGE16" s="8"/>
      <c r="AGF16" s="8"/>
      <c r="AGG16" s="8"/>
      <c r="AGH16" s="8"/>
      <c r="AGI16" s="8"/>
      <c r="AGJ16" s="8"/>
      <c r="AGK16" s="8"/>
      <c r="AGL16" s="8"/>
      <c r="AGM16" s="8"/>
      <c r="AGN16" s="8"/>
      <c r="AGO16" s="8"/>
      <c r="AGP16" s="8"/>
      <c r="AGQ16" s="8"/>
      <c r="AGR16" s="8"/>
      <c r="AGS16" s="8"/>
      <c r="AGT16" s="8"/>
      <c r="AGU16" s="8"/>
      <c r="AGV16" s="8"/>
      <c r="AGW16" s="8"/>
      <c r="AGX16" s="8"/>
      <c r="AGY16" s="8"/>
      <c r="AGZ16" s="8"/>
      <c r="AHA16" s="8"/>
      <c r="AHB16" s="8"/>
      <c r="AHC16" s="8"/>
      <c r="AHD16" s="8"/>
      <c r="AHE16" s="8"/>
      <c r="AHF16" s="8"/>
      <c r="AHG16" s="8"/>
      <c r="AHH16" s="8"/>
      <c r="AHI16" s="8"/>
      <c r="AHJ16" s="8"/>
      <c r="AHK16" s="8"/>
      <c r="AHL16" s="8"/>
      <c r="AHM16" s="8"/>
      <c r="AHN16" s="8"/>
      <c r="AHO16" s="8"/>
      <c r="AHP16" s="8"/>
      <c r="AHQ16" s="8"/>
      <c r="AHR16" s="8"/>
      <c r="AHS16" s="8"/>
      <c r="AHT16" s="8"/>
      <c r="AHU16" s="8"/>
      <c r="AHV16" s="8"/>
      <c r="AHW16" s="8"/>
      <c r="AHX16" s="8"/>
      <c r="AHY16" s="8"/>
      <c r="AHZ16" s="8"/>
      <c r="AIA16" s="8"/>
      <c r="AIB16" s="8"/>
      <c r="AIC16" s="8"/>
      <c r="AID16" s="8"/>
      <c r="AIE16" s="8"/>
      <c r="AIF16" s="8"/>
      <c r="AIG16" s="8"/>
      <c r="AIH16" s="8"/>
      <c r="AII16" s="8"/>
      <c r="AIJ16" s="8"/>
      <c r="AIK16" s="8"/>
      <c r="AIL16" s="8"/>
      <c r="AIM16" s="8"/>
      <c r="AIN16" s="8"/>
      <c r="AIO16" s="8"/>
      <c r="AIP16" s="8"/>
      <c r="AIQ16" s="8"/>
      <c r="AIR16" s="8"/>
      <c r="AIS16" s="8"/>
      <c r="AIT16" s="8"/>
      <c r="AIU16" s="8"/>
      <c r="AIV16" s="8"/>
      <c r="AIW16" s="8"/>
      <c r="AIX16" s="8"/>
      <c r="AIY16" s="8"/>
      <c r="AIZ16" s="8"/>
      <c r="AJA16" s="8"/>
      <c r="AJB16" s="8"/>
      <c r="AJC16" s="8"/>
      <c r="AJD16" s="8"/>
      <c r="AJE16" s="8"/>
      <c r="AJF16" s="8"/>
      <c r="AJG16" s="8"/>
      <c r="AJH16" s="8"/>
      <c r="AJI16" s="8"/>
      <c r="AJJ16" s="8"/>
      <c r="AJK16" s="8"/>
      <c r="AJL16" s="8"/>
      <c r="AJM16" s="8"/>
      <c r="AJN16" s="8"/>
      <c r="AJO16" s="8"/>
      <c r="AJP16" s="8"/>
      <c r="AJQ16" s="8"/>
      <c r="AJR16" s="8"/>
      <c r="AJS16" s="8"/>
      <c r="AJT16" s="8"/>
      <c r="AJU16" s="8"/>
      <c r="AJV16" s="8"/>
      <c r="AJW16" s="8"/>
      <c r="AJX16" s="8"/>
      <c r="AJY16" s="8"/>
      <c r="AJZ16" s="8"/>
      <c r="AKA16" s="8"/>
      <c r="AKB16" s="8"/>
      <c r="AKC16" s="8"/>
      <c r="AKD16" s="8"/>
      <c r="AKE16" s="8"/>
      <c r="AKF16" s="8"/>
      <c r="AKG16" s="8"/>
      <c r="AKH16" s="8"/>
      <c r="AKI16" s="8"/>
      <c r="AKJ16" s="8"/>
      <c r="AKK16" s="8"/>
      <c r="AKL16" s="8"/>
      <c r="AKM16" s="8"/>
      <c r="AKN16" s="8"/>
      <c r="AKO16" s="8"/>
      <c r="AKP16" s="8"/>
      <c r="AKQ16" s="8"/>
      <c r="AKR16" s="8"/>
      <c r="AKS16" s="8"/>
      <c r="AKT16" s="8"/>
      <c r="AKU16" s="8"/>
      <c r="AKV16" s="8"/>
      <c r="AKW16" s="8"/>
      <c r="AKX16" s="8"/>
      <c r="AKY16" s="8"/>
      <c r="AKZ16" s="8"/>
      <c r="ALA16" s="8"/>
      <c r="ALB16" s="8"/>
      <c r="ALC16" s="8"/>
      <c r="ALD16" s="8"/>
      <c r="ALE16" s="8"/>
      <c r="ALF16" s="8"/>
      <c r="ALG16" s="8"/>
      <c r="ALH16" s="8"/>
      <c r="ALI16" s="8"/>
      <c r="ALJ16" s="8"/>
      <c r="ALK16" s="8"/>
      <c r="ALL16" s="8"/>
      <c r="ALM16" s="8"/>
      <c r="ALN16" s="8"/>
      <c r="ALO16" s="8"/>
      <c r="ALP16" s="8"/>
      <c r="ALQ16" s="8"/>
      <c r="ALR16" s="8"/>
      <c r="ALS16" s="8"/>
      <c r="ALT16" s="8"/>
      <c r="ALU16" s="8"/>
      <c r="ALV16" s="8"/>
      <c r="ALW16" s="8"/>
      <c r="ALX16" s="8"/>
      <c r="ALY16" s="8"/>
      <c r="ALZ16" s="8"/>
      <c r="AMA16" s="8"/>
      <c r="AMB16" s="8"/>
      <c r="AMC16" s="8"/>
      <c r="AMD16" s="8"/>
      <c r="AME16" s="8"/>
    </row>
    <row r="17" spans="2:1019" ht="26.25" customHeight="1" thickBot="1">
      <c r="B17" s="246"/>
      <c r="C17" s="1134"/>
      <c r="D17" s="1136"/>
      <c r="E17" s="1139"/>
      <c r="F17" s="1158"/>
      <c r="G17" s="251" t="s">
        <v>772</v>
      </c>
      <c r="H17" s="251" t="s">
        <v>347</v>
      </c>
      <c r="I17" s="1149"/>
      <c r="J17" s="251" t="s">
        <v>715</v>
      </c>
      <c r="K17" s="1154"/>
      <c r="L17" s="1129"/>
      <c r="M17" s="1130"/>
      <c r="N17" s="1127"/>
      <c r="O17" s="1127"/>
      <c r="P17" s="1127"/>
      <c r="Q17" s="1127"/>
      <c r="R17" s="1124"/>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row>
    <row r="18" spans="2:1019" ht="76.5" customHeight="1">
      <c r="B18" s="204"/>
      <c r="C18" s="1133" t="s">
        <v>406</v>
      </c>
      <c r="D18" s="1135" t="s">
        <v>389</v>
      </c>
      <c r="E18" s="1138" t="s">
        <v>626</v>
      </c>
      <c r="F18" s="1139" t="s">
        <v>628</v>
      </c>
      <c r="G18" s="1139" t="s">
        <v>354</v>
      </c>
      <c r="H18" s="1130" t="s">
        <v>642</v>
      </c>
      <c r="I18" s="1128">
        <v>1</v>
      </c>
      <c r="J18" s="245" t="s">
        <v>1257</v>
      </c>
      <c r="K18" s="1152" t="s">
        <v>546</v>
      </c>
      <c r="L18" s="1128" t="s">
        <v>633</v>
      </c>
      <c r="M18" s="1130" t="s">
        <v>634</v>
      </c>
      <c r="N18" s="1126" t="s">
        <v>635</v>
      </c>
      <c r="O18" s="1126" t="s">
        <v>140</v>
      </c>
      <c r="P18" s="1126"/>
      <c r="Q18" s="1142" t="s">
        <v>1247</v>
      </c>
      <c r="R18" s="1123" t="s">
        <v>1252</v>
      </c>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c r="VU18" s="8"/>
      <c r="VV18" s="8"/>
      <c r="VW18" s="8"/>
      <c r="VX18" s="8"/>
      <c r="VY18" s="8"/>
      <c r="VZ18" s="8"/>
      <c r="WA18" s="8"/>
      <c r="WB18" s="8"/>
      <c r="WC18" s="8"/>
      <c r="WD18" s="8"/>
      <c r="WE18" s="8"/>
      <c r="WF18" s="8"/>
      <c r="WG18" s="8"/>
      <c r="WH18" s="8"/>
      <c r="WI18" s="8"/>
      <c r="WJ18" s="8"/>
      <c r="WK18" s="8"/>
      <c r="WL18" s="8"/>
      <c r="WM18" s="8"/>
      <c r="WN18" s="8"/>
      <c r="WO18" s="8"/>
      <c r="WP18" s="8"/>
      <c r="WQ18" s="8"/>
      <c r="WR18" s="8"/>
      <c r="WS18" s="8"/>
      <c r="WT18" s="8"/>
      <c r="WU18" s="8"/>
      <c r="WV18" s="8"/>
      <c r="WW18" s="8"/>
      <c r="WX18" s="8"/>
      <c r="WY18" s="8"/>
      <c r="WZ18" s="8"/>
      <c r="XA18" s="8"/>
      <c r="XB18" s="8"/>
      <c r="XC18" s="8"/>
      <c r="XD18" s="8"/>
      <c r="XE18" s="8"/>
      <c r="XF18" s="8"/>
      <c r="XG18" s="8"/>
      <c r="XH18" s="8"/>
      <c r="XI18" s="8"/>
      <c r="XJ18" s="8"/>
      <c r="XK18" s="8"/>
      <c r="XL18" s="8"/>
      <c r="XM18" s="8"/>
      <c r="XN18" s="8"/>
      <c r="XO18" s="8"/>
      <c r="XP18" s="8"/>
      <c r="XQ18" s="8"/>
      <c r="XR18" s="8"/>
      <c r="XS18" s="8"/>
      <c r="XT18" s="8"/>
      <c r="XU18" s="8"/>
      <c r="XV18" s="8"/>
      <c r="XW18" s="8"/>
      <c r="XX18" s="8"/>
      <c r="XY18" s="8"/>
      <c r="XZ18" s="8"/>
      <c r="YA18" s="8"/>
      <c r="YB18" s="8"/>
      <c r="YC18" s="8"/>
      <c r="YD18" s="8"/>
      <c r="YE18" s="8"/>
      <c r="YF18" s="8"/>
      <c r="YG18" s="8"/>
      <c r="YH18" s="8"/>
      <c r="YI18" s="8"/>
      <c r="YJ18" s="8"/>
      <c r="YK18" s="8"/>
      <c r="YL18" s="8"/>
      <c r="YM18" s="8"/>
      <c r="YN18" s="8"/>
      <c r="YO18" s="8"/>
      <c r="YP18" s="8"/>
      <c r="YQ18" s="8"/>
      <c r="YR18" s="8"/>
      <c r="YS18" s="8"/>
      <c r="YT18" s="8"/>
      <c r="YU18" s="8"/>
      <c r="YV18" s="8"/>
      <c r="YW18" s="8"/>
      <c r="YX18" s="8"/>
      <c r="YY18" s="8"/>
      <c r="YZ18" s="8"/>
      <c r="ZA18" s="8"/>
      <c r="ZB18" s="8"/>
      <c r="ZC18" s="8"/>
      <c r="ZD18" s="8"/>
      <c r="ZE18" s="8"/>
      <c r="ZF18" s="8"/>
      <c r="ZG18" s="8"/>
      <c r="ZH18" s="8"/>
      <c r="ZI18" s="8"/>
      <c r="ZJ18" s="8"/>
      <c r="ZK18" s="8"/>
      <c r="ZL18" s="8"/>
      <c r="ZM18" s="8"/>
      <c r="ZN18" s="8"/>
      <c r="ZO18" s="8"/>
      <c r="ZP18" s="8"/>
      <c r="ZQ18" s="8"/>
      <c r="ZR18" s="8"/>
      <c r="ZS18" s="8"/>
      <c r="ZT18" s="8"/>
      <c r="ZU18" s="8"/>
      <c r="ZV18" s="8"/>
      <c r="ZW18" s="8"/>
      <c r="ZX18" s="8"/>
      <c r="ZY18" s="8"/>
      <c r="ZZ18" s="8"/>
      <c r="AAA18" s="8"/>
      <c r="AAB18" s="8"/>
      <c r="AAC18" s="8"/>
      <c r="AAD18" s="8"/>
      <c r="AAE18" s="8"/>
      <c r="AAF18" s="8"/>
      <c r="AAG18" s="8"/>
      <c r="AAH18" s="8"/>
      <c r="AAI18" s="8"/>
      <c r="AAJ18" s="8"/>
      <c r="AAK18" s="8"/>
      <c r="AAL18" s="8"/>
      <c r="AAM18" s="8"/>
      <c r="AAN18" s="8"/>
      <c r="AAO18" s="8"/>
      <c r="AAP18" s="8"/>
      <c r="AAQ18" s="8"/>
      <c r="AAR18" s="8"/>
      <c r="AAS18" s="8"/>
      <c r="AAT18" s="8"/>
      <c r="AAU18" s="8"/>
      <c r="AAV18" s="8"/>
      <c r="AAW18" s="8"/>
      <c r="AAX18" s="8"/>
      <c r="AAY18" s="8"/>
      <c r="AAZ18" s="8"/>
      <c r="ABA18" s="8"/>
      <c r="ABB18" s="8"/>
      <c r="ABC18" s="8"/>
      <c r="ABD18" s="8"/>
      <c r="ABE18" s="8"/>
      <c r="ABF18" s="8"/>
      <c r="ABG18" s="8"/>
      <c r="ABH18" s="8"/>
      <c r="ABI18" s="8"/>
      <c r="ABJ18" s="8"/>
      <c r="ABK18" s="8"/>
      <c r="ABL18" s="8"/>
      <c r="ABM18" s="8"/>
      <c r="ABN18" s="8"/>
      <c r="ABO18" s="8"/>
      <c r="ABP18" s="8"/>
      <c r="ABQ18" s="8"/>
      <c r="ABR18" s="8"/>
      <c r="ABS18" s="8"/>
      <c r="ABT18" s="8"/>
      <c r="ABU18" s="8"/>
      <c r="ABV18" s="8"/>
      <c r="ABW18" s="8"/>
      <c r="ABX18" s="8"/>
      <c r="ABY18" s="8"/>
      <c r="ABZ18" s="8"/>
      <c r="ACA18" s="8"/>
      <c r="ACB18" s="8"/>
      <c r="ACC18" s="8"/>
      <c r="ACD18" s="8"/>
      <c r="ACE18" s="8"/>
      <c r="ACF18" s="8"/>
      <c r="ACG18" s="8"/>
      <c r="ACH18" s="8"/>
      <c r="ACI18" s="8"/>
      <c r="ACJ18" s="8"/>
      <c r="ACK18" s="8"/>
      <c r="ACL18" s="8"/>
      <c r="ACM18" s="8"/>
      <c r="ACN18" s="8"/>
      <c r="ACO18" s="8"/>
      <c r="ACP18" s="8"/>
      <c r="ACQ18" s="8"/>
      <c r="ACR18" s="8"/>
      <c r="ACS18" s="8"/>
      <c r="ACT18" s="8"/>
      <c r="ACU18" s="8"/>
      <c r="ACV18" s="8"/>
      <c r="ACW18" s="8"/>
      <c r="ACX18" s="8"/>
      <c r="ACY18" s="8"/>
      <c r="ACZ18" s="8"/>
      <c r="ADA18" s="8"/>
      <c r="ADB18" s="8"/>
      <c r="ADC18" s="8"/>
      <c r="ADD18" s="8"/>
      <c r="ADE18" s="8"/>
      <c r="ADF18" s="8"/>
      <c r="ADG18" s="8"/>
      <c r="ADH18" s="8"/>
      <c r="ADI18" s="8"/>
      <c r="ADJ18" s="8"/>
      <c r="ADK18" s="8"/>
      <c r="ADL18" s="8"/>
      <c r="ADM18" s="8"/>
      <c r="ADN18" s="8"/>
      <c r="ADO18" s="8"/>
      <c r="ADP18" s="8"/>
      <c r="ADQ18" s="8"/>
      <c r="ADR18" s="8"/>
      <c r="ADS18" s="8"/>
      <c r="ADT18" s="8"/>
      <c r="ADU18" s="8"/>
      <c r="ADV18" s="8"/>
      <c r="ADW18" s="8"/>
      <c r="ADX18" s="8"/>
      <c r="ADY18" s="8"/>
      <c r="ADZ18" s="8"/>
      <c r="AEA18" s="8"/>
      <c r="AEB18" s="8"/>
      <c r="AEC18" s="8"/>
      <c r="AED18" s="8"/>
      <c r="AEE18" s="8"/>
      <c r="AEF18" s="8"/>
      <c r="AEG18" s="8"/>
      <c r="AEH18" s="8"/>
      <c r="AEI18" s="8"/>
      <c r="AEJ18" s="8"/>
      <c r="AEK18" s="8"/>
      <c r="AEL18" s="8"/>
      <c r="AEM18" s="8"/>
      <c r="AEN18" s="8"/>
      <c r="AEO18" s="8"/>
      <c r="AEP18" s="8"/>
      <c r="AEQ18" s="8"/>
      <c r="AER18" s="8"/>
      <c r="AES18" s="8"/>
      <c r="AET18" s="8"/>
      <c r="AEU18" s="8"/>
      <c r="AEV18" s="8"/>
      <c r="AEW18" s="8"/>
      <c r="AEX18" s="8"/>
      <c r="AEY18" s="8"/>
      <c r="AEZ18" s="8"/>
      <c r="AFA18" s="8"/>
      <c r="AFB18" s="8"/>
      <c r="AFC18" s="8"/>
      <c r="AFD18" s="8"/>
      <c r="AFE18" s="8"/>
      <c r="AFF18" s="8"/>
      <c r="AFG18" s="8"/>
      <c r="AFH18" s="8"/>
      <c r="AFI18" s="8"/>
      <c r="AFJ18" s="8"/>
      <c r="AFK18" s="8"/>
      <c r="AFL18" s="8"/>
      <c r="AFM18" s="8"/>
      <c r="AFN18" s="8"/>
      <c r="AFO18" s="8"/>
      <c r="AFP18" s="8"/>
      <c r="AFQ18" s="8"/>
      <c r="AFR18" s="8"/>
      <c r="AFS18" s="8"/>
      <c r="AFT18" s="8"/>
      <c r="AFU18" s="8"/>
      <c r="AFV18" s="8"/>
      <c r="AFW18" s="8"/>
      <c r="AFX18" s="8"/>
      <c r="AFY18" s="8"/>
      <c r="AFZ18" s="8"/>
      <c r="AGA18" s="8"/>
      <c r="AGB18" s="8"/>
      <c r="AGC18" s="8"/>
      <c r="AGD18" s="8"/>
      <c r="AGE18" s="8"/>
      <c r="AGF18" s="8"/>
      <c r="AGG18" s="8"/>
      <c r="AGH18" s="8"/>
      <c r="AGI18" s="8"/>
      <c r="AGJ18" s="8"/>
      <c r="AGK18" s="8"/>
      <c r="AGL18" s="8"/>
      <c r="AGM18" s="8"/>
      <c r="AGN18" s="8"/>
      <c r="AGO18" s="8"/>
      <c r="AGP18" s="8"/>
      <c r="AGQ18" s="8"/>
      <c r="AGR18" s="8"/>
      <c r="AGS18" s="8"/>
      <c r="AGT18" s="8"/>
      <c r="AGU18" s="8"/>
      <c r="AGV18" s="8"/>
      <c r="AGW18" s="8"/>
      <c r="AGX18" s="8"/>
      <c r="AGY18" s="8"/>
      <c r="AGZ18" s="8"/>
      <c r="AHA18" s="8"/>
      <c r="AHB18" s="8"/>
      <c r="AHC18" s="8"/>
      <c r="AHD18" s="8"/>
      <c r="AHE18" s="8"/>
      <c r="AHF18" s="8"/>
      <c r="AHG18" s="8"/>
      <c r="AHH18" s="8"/>
      <c r="AHI18" s="8"/>
      <c r="AHJ18" s="8"/>
      <c r="AHK18" s="8"/>
      <c r="AHL18" s="8"/>
      <c r="AHM18" s="8"/>
      <c r="AHN18" s="8"/>
      <c r="AHO18" s="8"/>
      <c r="AHP18" s="8"/>
      <c r="AHQ18" s="8"/>
      <c r="AHR18" s="8"/>
      <c r="AHS18" s="8"/>
      <c r="AHT18" s="8"/>
      <c r="AHU18" s="8"/>
      <c r="AHV18" s="8"/>
      <c r="AHW18" s="8"/>
      <c r="AHX18" s="8"/>
      <c r="AHY18" s="8"/>
      <c r="AHZ18" s="8"/>
      <c r="AIA18" s="8"/>
      <c r="AIB18" s="8"/>
      <c r="AIC18" s="8"/>
      <c r="AID18" s="8"/>
      <c r="AIE18" s="8"/>
      <c r="AIF18" s="8"/>
      <c r="AIG18" s="8"/>
      <c r="AIH18" s="8"/>
      <c r="AII18" s="8"/>
      <c r="AIJ18" s="8"/>
      <c r="AIK18" s="8"/>
      <c r="AIL18" s="8"/>
      <c r="AIM18" s="8"/>
      <c r="AIN18" s="8"/>
      <c r="AIO18" s="8"/>
      <c r="AIP18" s="8"/>
      <c r="AIQ18" s="8"/>
      <c r="AIR18" s="8"/>
      <c r="AIS18" s="8"/>
      <c r="AIT18" s="8"/>
      <c r="AIU18" s="8"/>
      <c r="AIV18" s="8"/>
      <c r="AIW18" s="8"/>
      <c r="AIX18" s="8"/>
      <c r="AIY18" s="8"/>
      <c r="AIZ18" s="8"/>
      <c r="AJA18" s="8"/>
      <c r="AJB18" s="8"/>
      <c r="AJC18" s="8"/>
      <c r="AJD18" s="8"/>
      <c r="AJE18" s="8"/>
      <c r="AJF18" s="8"/>
      <c r="AJG18" s="8"/>
      <c r="AJH18" s="8"/>
      <c r="AJI18" s="8"/>
      <c r="AJJ18" s="8"/>
      <c r="AJK18" s="8"/>
      <c r="AJL18" s="8"/>
      <c r="AJM18" s="8"/>
      <c r="AJN18" s="8"/>
      <c r="AJO18" s="8"/>
      <c r="AJP18" s="8"/>
      <c r="AJQ18" s="8"/>
      <c r="AJR18" s="8"/>
      <c r="AJS18" s="8"/>
      <c r="AJT18" s="8"/>
      <c r="AJU18" s="8"/>
      <c r="AJV18" s="8"/>
      <c r="AJW18" s="8"/>
      <c r="AJX18" s="8"/>
      <c r="AJY18" s="8"/>
      <c r="AJZ18" s="8"/>
      <c r="AKA18" s="8"/>
      <c r="AKB18" s="8"/>
      <c r="AKC18" s="8"/>
      <c r="AKD18" s="8"/>
      <c r="AKE18" s="8"/>
      <c r="AKF18" s="8"/>
      <c r="AKG18" s="8"/>
      <c r="AKH18" s="8"/>
      <c r="AKI18" s="8"/>
      <c r="AKJ18" s="8"/>
      <c r="AKK18" s="8"/>
      <c r="AKL18" s="8"/>
      <c r="AKM18" s="8"/>
      <c r="AKN18" s="8"/>
      <c r="AKO18" s="8"/>
      <c r="AKP18" s="8"/>
      <c r="AKQ18" s="8"/>
      <c r="AKR18" s="8"/>
      <c r="AKS18" s="8"/>
      <c r="AKT18" s="8"/>
      <c r="AKU18" s="8"/>
      <c r="AKV18" s="8"/>
      <c r="AKW18" s="8"/>
      <c r="AKX18" s="8"/>
      <c r="AKY18" s="8"/>
      <c r="AKZ18" s="8"/>
      <c r="ALA18" s="8"/>
      <c r="ALB18" s="8"/>
      <c r="ALC18" s="8"/>
      <c r="ALD18" s="8"/>
      <c r="ALE18" s="8"/>
      <c r="ALF18" s="8"/>
      <c r="ALG18" s="8"/>
      <c r="ALH18" s="8"/>
      <c r="ALI18" s="8"/>
      <c r="ALJ18" s="8"/>
      <c r="ALK18" s="8"/>
      <c r="ALL18" s="8"/>
      <c r="ALM18" s="8"/>
      <c r="ALN18" s="8"/>
      <c r="ALO18" s="8"/>
      <c r="ALP18" s="8"/>
      <c r="ALQ18" s="8"/>
      <c r="ALR18" s="8"/>
      <c r="ALS18" s="8"/>
      <c r="ALT18" s="8"/>
      <c r="ALU18" s="8"/>
      <c r="ALV18" s="8"/>
      <c r="ALW18" s="8"/>
      <c r="ALX18" s="8"/>
      <c r="ALY18" s="8"/>
      <c r="ALZ18" s="8"/>
      <c r="AMA18" s="8"/>
      <c r="AMB18" s="8"/>
      <c r="AMC18" s="8"/>
      <c r="AMD18" s="8"/>
      <c r="AME18" s="8"/>
    </row>
    <row r="19" spans="2:1019" ht="102" customHeight="1">
      <c r="B19" s="246"/>
      <c r="C19" s="1134"/>
      <c r="D19" s="1136"/>
      <c r="E19" s="1139"/>
      <c r="F19" s="1140"/>
      <c r="G19" s="1140"/>
      <c r="H19" s="1127"/>
      <c r="I19" s="1129"/>
      <c r="J19" s="245" t="s">
        <v>105</v>
      </c>
      <c r="K19" s="1130"/>
      <c r="L19" s="1129"/>
      <c r="M19" s="1130"/>
      <c r="N19" s="1130"/>
      <c r="O19" s="1130"/>
      <c r="P19" s="1130"/>
      <c r="Q19" s="1143"/>
      <c r="R19" s="1124"/>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c r="VT19" s="8"/>
      <c r="VU19" s="8"/>
      <c r="VV19" s="8"/>
      <c r="VW19" s="8"/>
      <c r="VX19" s="8"/>
      <c r="VY19" s="8"/>
      <c r="VZ19" s="8"/>
      <c r="WA19" s="8"/>
      <c r="WB19" s="8"/>
      <c r="WC19" s="8"/>
      <c r="WD19" s="8"/>
      <c r="WE19" s="8"/>
      <c r="WF19" s="8"/>
      <c r="WG19" s="8"/>
      <c r="WH19" s="8"/>
      <c r="WI19" s="8"/>
      <c r="WJ19" s="8"/>
      <c r="WK19" s="8"/>
      <c r="WL19" s="8"/>
      <c r="WM19" s="8"/>
      <c r="WN19" s="8"/>
      <c r="WO19" s="8"/>
      <c r="WP19" s="8"/>
      <c r="WQ19" s="8"/>
      <c r="WR19" s="8"/>
      <c r="WS19" s="8"/>
      <c r="WT19" s="8"/>
      <c r="WU19" s="8"/>
      <c r="WV19" s="8"/>
      <c r="WW19" s="8"/>
      <c r="WX19" s="8"/>
      <c r="WY19" s="8"/>
      <c r="WZ19" s="8"/>
      <c r="XA19" s="8"/>
      <c r="XB19" s="8"/>
      <c r="XC19" s="8"/>
      <c r="XD19" s="8"/>
      <c r="XE19" s="8"/>
      <c r="XF19" s="8"/>
      <c r="XG19" s="8"/>
      <c r="XH19" s="8"/>
      <c r="XI19" s="8"/>
      <c r="XJ19" s="8"/>
      <c r="XK19" s="8"/>
      <c r="XL19" s="8"/>
      <c r="XM19" s="8"/>
      <c r="XN19" s="8"/>
      <c r="XO19" s="8"/>
      <c r="XP19" s="8"/>
      <c r="XQ19" s="8"/>
      <c r="XR19" s="8"/>
      <c r="XS19" s="8"/>
      <c r="XT19" s="8"/>
      <c r="XU19" s="8"/>
      <c r="XV19" s="8"/>
      <c r="XW19" s="8"/>
      <c r="XX19" s="8"/>
      <c r="XY19" s="8"/>
      <c r="XZ19" s="8"/>
      <c r="YA19" s="8"/>
      <c r="YB19" s="8"/>
      <c r="YC19" s="8"/>
      <c r="YD19" s="8"/>
      <c r="YE19" s="8"/>
      <c r="YF19" s="8"/>
      <c r="YG19" s="8"/>
      <c r="YH19" s="8"/>
      <c r="YI19" s="8"/>
      <c r="YJ19" s="8"/>
      <c r="YK19" s="8"/>
      <c r="YL19" s="8"/>
      <c r="YM19" s="8"/>
      <c r="YN19" s="8"/>
      <c r="YO19" s="8"/>
      <c r="YP19" s="8"/>
      <c r="YQ19" s="8"/>
      <c r="YR19" s="8"/>
      <c r="YS19" s="8"/>
      <c r="YT19" s="8"/>
      <c r="YU19" s="8"/>
      <c r="YV19" s="8"/>
      <c r="YW19" s="8"/>
      <c r="YX19" s="8"/>
      <c r="YY19" s="8"/>
      <c r="YZ19" s="8"/>
      <c r="ZA19" s="8"/>
      <c r="ZB19" s="8"/>
      <c r="ZC19" s="8"/>
      <c r="ZD19" s="8"/>
      <c r="ZE19" s="8"/>
      <c r="ZF19" s="8"/>
      <c r="ZG19" s="8"/>
      <c r="ZH19" s="8"/>
      <c r="ZI19" s="8"/>
      <c r="ZJ19" s="8"/>
      <c r="ZK19" s="8"/>
      <c r="ZL19" s="8"/>
      <c r="ZM19" s="8"/>
      <c r="ZN19" s="8"/>
      <c r="ZO19" s="8"/>
      <c r="ZP19" s="8"/>
      <c r="ZQ19" s="8"/>
      <c r="ZR19" s="8"/>
      <c r="ZS19" s="8"/>
      <c r="ZT19" s="8"/>
      <c r="ZU19" s="8"/>
      <c r="ZV19" s="8"/>
      <c r="ZW19" s="8"/>
      <c r="ZX19" s="8"/>
      <c r="ZY19" s="8"/>
      <c r="ZZ19" s="8"/>
      <c r="AAA19" s="8"/>
      <c r="AAB19" s="8"/>
      <c r="AAC19" s="8"/>
      <c r="AAD19" s="8"/>
      <c r="AAE19" s="8"/>
      <c r="AAF19" s="8"/>
      <c r="AAG19" s="8"/>
      <c r="AAH19" s="8"/>
      <c r="AAI19" s="8"/>
      <c r="AAJ19" s="8"/>
      <c r="AAK19" s="8"/>
      <c r="AAL19" s="8"/>
      <c r="AAM19" s="8"/>
      <c r="AAN19" s="8"/>
      <c r="AAO19" s="8"/>
      <c r="AAP19" s="8"/>
      <c r="AAQ19" s="8"/>
      <c r="AAR19" s="8"/>
      <c r="AAS19" s="8"/>
      <c r="AAT19" s="8"/>
      <c r="AAU19" s="8"/>
      <c r="AAV19" s="8"/>
      <c r="AAW19" s="8"/>
      <c r="AAX19" s="8"/>
      <c r="AAY19" s="8"/>
      <c r="AAZ19" s="8"/>
      <c r="ABA19" s="8"/>
      <c r="ABB19" s="8"/>
      <c r="ABC19" s="8"/>
      <c r="ABD19" s="8"/>
      <c r="ABE19" s="8"/>
      <c r="ABF19" s="8"/>
      <c r="ABG19" s="8"/>
      <c r="ABH19" s="8"/>
      <c r="ABI19" s="8"/>
      <c r="ABJ19" s="8"/>
      <c r="ABK19" s="8"/>
      <c r="ABL19" s="8"/>
      <c r="ABM19" s="8"/>
      <c r="ABN19" s="8"/>
      <c r="ABO19" s="8"/>
      <c r="ABP19" s="8"/>
      <c r="ABQ19" s="8"/>
      <c r="ABR19" s="8"/>
      <c r="ABS19" s="8"/>
      <c r="ABT19" s="8"/>
      <c r="ABU19" s="8"/>
      <c r="ABV19" s="8"/>
      <c r="ABW19" s="8"/>
      <c r="ABX19" s="8"/>
      <c r="ABY19" s="8"/>
      <c r="ABZ19" s="8"/>
      <c r="ACA19" s="8"/>
      <c r="ACB19" s="8"/>
      <c r="ACC19" s="8"/>
      <c r="ACD19" s="8"/>
      <c r="ACE19" s="8"/>
      <c r="ACF19" s="8"/>
      <c r="ACG19" s="8"/>
      <c r="ACH19" s="8"/>
      <c r="ACI19" s="8"/>
      <c r="ACJ19" s="8"/>
      <c r="ACK19" s="8"/>
      <c r="ACL19" s="8"/>
      <c r="ACM19" s="8"/>
      <c r="ACN19" s="8"/>
      <c r="ACO19" s="8"/>
      <c r="ACP19" s="8"/>
      <c r="ACQ19" s="8"/>
      <c r="ACR19" s="8"/>
      <c r="ACS19" s="8"/>
      <c r="ACT19" s="8"/>
      <c r="ACU19" s="8"/>
      <c r="ACV19" s="8"/>
      <c r="ACW19" s="8"/>
      <c r="ACX19" s="8"/>
      <c r="ACY19" s="8"/>
      <c r="ACZ19" s="8"/>
      <c r="ADA19" s="8"/>
      <c r="ADB19" s="8"/>
      <c r="ADC19" s="8"/>
      <c r="ADD19" s="8"/>
      <c r="ADE19" s="8"/>
      <c r="ADF19" s="8"/>
      <c r="ADG19" s="8"/>
      <c r="ADH19" s="8"/>
      <c r="ADI19" s="8"/>
      <c r="ADJ19" s="8"/>
      <c r="ADK19" s="8"/>
      <c r="ADL19" s="8"/>
      <c r="ADM19" s="8"/>
      <c r="ADN19" s="8"/>
      <c r="ADO19" s="8"/>
      <c r="ADP19" s="8"/>
      <c r="ADQ19" s="8"/>
      <c r="ADR19" s="8"/>
      <c r="ADS19" s="8"/>
      <c r="ADT19" s="8"/>
      <c r="ADU19" s="8"/>
      <c r="ADV19" s="8"/>
      <c r="ADW19" s="8"/>
      <c r="ADX19" s="8"/>
      <c r="ADY19" s="8"/>
      <c r="ADZ19" s="8"/>
      <c r="AEA19" s="8"/>
      <c r="AEB19" s="8"/>
      <c r="AEC19" s="8"/>
      <c r="AED19" s="8"/>
      <c r="AEE19" s="8"/>
      <c r="AEF19" s="8"/>
      <c r="AEG19" s="8"/>
      <c r="AEH19" s="8"/>
      <c r="AEI19" s="8"/>
      <c r="AEJ19" s="8"/>
      <c r="AEK19" s="8"/>
      <c r="AEL19" s="8"/>
      <c r="AEM19" s="8"/>
      <c r="AEN19" s="8"/>
      <c r="AEO19" s="8"/>
      <c r="AEP19" s="8"/>
      <c r="AEQ19" s="8"/>
      <c r="AER19" s="8"/>
      <c r="AES19" s="8"/>
      <c r="AET19" s="8"/>
      <c r="AEU19" s="8"/>
      <c r="AEV19" s="8"/>
      <c r="AEW19" s="8"/>
      <c r="AEX19" s="8"/>
      <c r="AEY19" s="8"/>
      <c r="AEZ19" s="8"/>
      <c r="AFA19" s="8"/>
      <c r="AFB19" s="8"/>
      <c r="AFC19" s="8"/>
      <c r="AFD19" s="8"/>
      <c r="AFE19" s="8"/>
      <c r="AFF19" s="8"/>
      <c r="AFG19" s="8"/>
      <c r="AFH19" s="8"/>
      <c r="AFI19" s="8"/>
      <c r="AFJ19" s="8"/>
      <c r="AFK19" s="8"/>
      <c r="AFL19" s="8"/>
      <c r="AFM19" s="8"/>
      <c r="AFN19" s="8"/>
      <c r="AFO19" s="8"/>
      <c r="AFP19" s="8"/>
      <c r="AFQ19" s="8"/>
      <c r="AFR19" s="8"/>
      <c r="AFS19" s="8"/>
      <c r="AFT19" s="8"/>
      <c r="AFU19" s="8"/>
      <c r="AFV19" s="8"/>
      <c r="AFW19" s="8"/>
      <c r="AFX19" s="8"/>
      <c r="AFY19" s="8"/>
      <c r="AFZ19" s="8"/>
      <c r="AGA19" s="8"/>
      <c r="AGB19" s="8"/>
      <c r="AGC19" s="8"/>
      <c r="AGD19" s="8"/>
      <c r="AGE19" s="8"/>
      <c r="AGF19" s="8"/>
      <c r="AGG19" s="8"/>
      <c r="AGH19" s="8"/>
      <c r="AGI19" s="8"/>
      <c r="AGJ19" s="8"/>
      <c r="AGK19" s="8"/>
      <c r="AGL19" s="8"/>
      <c r="AGM19" s="8"/>
      <c r="AGN19" s="8"/>
      <c r="AGO19" s="8"/>
      <c r="AGP19" s="8"/>
      <c r="AGQ19" s="8"/>
      <c r="AGR19" s="8"/>
      <c r="AGS19" s="8"/>
      <c r="AGT19" s="8"/>
      <c r="AGU19" s="8"/>
      <c r="AGV19" s="8"/>
      <c r="AGW19" s="8"/>
      <c r="AGX19" s="8"/>
      <c r="AGY19" s="8"/>
      <c r="AGZ19" s="8"/>
      <c r="AHA19" s="8"/>
      <c r="AHB19" s="8"/>
      <c r="AHC19" s="8"/>
      <c r="AHD19" s="8"/>
      <c r="AHE19" s="8"/>
      <c r="AHF19" s="8"/>
      <c r="AHG19" s="8"/>
      <c r="AHH19" s="8"/>
      <c r="AHI19" s="8"/>
      <c r="AHJ19" s="8"/>
      <c r="AHK19" s="8"/>
      <c r="AHL19" s="8"/>
      <c r="AHM19" s="8"/>
      <c r="AHN19" s="8"/>
      <c r="AHO19" s="8"/>
      <c r="AHP19" s="8"/>
      <c r="AHQ19" s="8"/>
      <c r="AHR19" s="8"/>
      <c r="AHS19" s="8"/>
      <c r="AHT19" s="8"/>
      <c r="AHU19" s="8"/>
      <c r="AHV19" s="8"/>
      <c r="AHW19" s="8"/>
      <c r="AHX19" s="8"/>
      <c r="AHY19" s="8"/>
      <c r="AHZ19" s="8"/>
      <c r="AIA19" s="8"/>
      <c r="AIB19" s="8"/>
      <c r="AIC19" s="8"/>
      <c r="AID19" s="8"/>
      <c r="AIE19" s="8"/>
      <c r="AIF19" s="8"/>
      <c r="AIG19" s="8"/>
      <c r="AIH19" s="8"/>
      <c r="AII19" s="8"/>
      <c r="AIJ19" s="8"/>
      <c r="AIK19" s="8"/>
      <c r="AIL19" s="8"/>
      <c r="AIM19" s="8"/>
      <c r="AIN19" s="8"/>
      <c r="AIO19" s="8"/>
      <c r="AIP19" s="8"/>
      <c r="AIQ19" s="8"/>
      <c r="AIR19" s="8"/>
      <c r="AIS19" s="8"/>
      <c r="AIT19" s="8"/>
      <c r="AIU19" s="8"/>
      <c r="AIV19" s="8"/>
      <c r="AIW19" s="8"/>
      <c r="AIX19" s="8"/>
      <c r="AIY19" s="8"/>
      <c r="AIZ19" s="8"/>
      <c r="AJA19" s="8"/>
      <c r="AJB19" s="8"/>
      <c r="AJC19" s="8"/>
      <c r="AJD19" s="8"/>
      <c r="AJE19" s="8"/>
      <c r="AJF19" s="8"/>
      <c r="AJG19" s="8"/>
      <c r="AJH19" s="8"/>
      <c r="AJI19" s="8"/>
      <c r="AJJ19" s="8"/>
      <c r="AJK19" s="8"/>
      <c r="AJL19" s="8"/>
      <c r="AJM19" s="8"/>
      <c r="AJN19" s="8"/>
      <c r="AJO19" s="8"/>
      <c r="AJP19" s="8"/>
      <c r="AJQ19" s="8"/>
      <c r="AJR19" s="8"/>
      <c r="AJS19" s="8"/>
      <c r="AJT19" s="8"/>
      <c r="AJU19" s="8"/>
      <c r="AJV19" s="8"/>
      <c r="AJW19" s="8"/>
      <c r="AJX19" s="8"/>
      <c r="AJY19" s="8"/>
      <c r="AJZ19" s="8"/>
      <c r="AKA19" s="8"/>
      <c r="AKB19" s="8"/>
      <c r="AKC19" s="8"/>
      <c r="AKD19" s="8"/>
      <c r="AKE19" s="8"/>
      <c r="AKF19" s="8"/>
      <c r="AKG19" s="8"/>
      <c r="AKH19" s="8"/>
      <c r="AKI19" s="8"/>
      <c r="AKJ19" s="8"/>
      <c r="AKK19" s="8"/>
      <c r="AKL19" s="8"/>
      <c r="AKM19" s="8"/>
      <c r="AKN19" s="8"/>
      <c r="AKO19" s="8"/>
      <c r="AKP19" s="8"/>
      <c r="AKQ19" s="8"/>
      <c r="AKR19" s="8"/>
      <c r="AKS19" s="8"/>
      <c r="AKT19" s="8"/>
      <c r="AKU19" s="8"/>
      <c r="AKV19" s="8"/>
      <c r="AKW19" s="8"/>
      <c r="AKX19" s="8"/>
      <c r="AKY19" s="8"/>
      <c r="AKZ19" s="8"/>
      <c r="ALA19" s="8"/>
      <c r="ALB19" s="8"/>
      <c r="ALC19" s="8"/>
      <c r="ALD19" s="8"/>
      <c r="ALE19" s="8"/>
      <c r="ALF19" s="8"/>
      <c r="ALG19" s="8"/>
      <c r="ALH19" s="8"/>
      <c r="ALI19" s="8"/>
      <c r="ALJ19" s="8"/>
      <c r="ALK19" s="8"/>
      <c r="ALL19" s="8"/>
      <c r="ALM19" s="8"/>
      <c r="ALN19" s="8"/>
      <c r="ALO19" s="8"/>
      <c r="ALP19" s="8"/>
      <c r="ALQ19" s="8"/>
      <c r="ALR19" s="8"/>
      <c r="ALS19" s="8"/>
      <c r="ALT19" s="8"/>
      <c r="ALU19" s="8"/>
      <c r="ALV19" s="8"/>
      <c r="ALW19" s="8"/>
      <c r="ALX19" s="8"/>
      <c r="ALY19" s="8"/>
      <c r="ALZ19" s="8"/>
      <c r="AMA19" s="8"/>
      <c r="AMB19" s="8"/>
      <c r="AMC19" s="8"/>
      <c r="AMD19" s="8"/>
      <c r="AME19" s="8"/>
    </row>
    <row r="20" spans="2:1019" ht="63.75" customHeight="1">
      <c r="B20" s="246"/>
      <c r="C20" s="1134"/>
      <c r="D20" s="1136"/>
      <c r="E20" s="1139"/>
      <c r="F20" s="51" t="s">
        <v>629</v>
      </c>
      <c r="G20" s="249" t="s">
        <v>355</v>
      </c>
      <c r="H20" s="249" t="s">
        <v>642</v>
      </c>
      <c r="I20" s="1129"/>
      <c r="J20" s="245" t="s">
        <v>1257</v>
      </c>
      <c r="K20" s="1130"/>
      <c r="L20" s="1129"/>
      <c r="M20" s="1127"/>
      <c r="N20" s="1130"/>
      <c r="O20" s="1127"/>
      <c r="P20" s="1127"/>
      <c r="Q20" s="1144"/>
      <c r="R20" s="1124"/>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c r="VS20" s="8"/>
      <c r="VT20" s="8"/>
      <c r="VU20" s="8"/>
      <c r="VV20" s="8"/>
      <c r="VW20" s="8"/>
      <c r="VX20" s="8"/>
      <c r="VY20" s="8"/>
      <c r="VZ20" s="8"/>
      <c r="WA20" s="8"/>
      <c r="WB20" s="8"/>
      <c r="WC20" s="8"/>
      <c r="WD20" s="8"/>
      <c r="WE20" s="8"/>
      <c r="WF20" s="8"/>
      <c r="WG20" s="8"/>
      <c r="WH20" s="8"/>
      <c r="WI20" s="8"/>
      <c r="WJ20" s="8"/>
      <c r="WK20" s="8"/>
      <c r="WL20" s="8"/>
      <c r="WM20" s="8"/>
      <c r="WN20" s="8"/>
      <c r="WO20" s="8"/>
      <c r="WP20" s="8"/>
      <c r="WQ20" s="8"/>
      <c r="WR20" s="8"/>
      <c r="WS20" s="8"/>
      <c r="WT20" s="8"/>
      <c r="WU20" s="8"/>
      <c r="WV20" s="8"/>
      <c r="WW20" s="8"/>
      <c r="WX20" s="8"/>
      <c r="WY20" s="8"/>
      <c r="WZ20" s="8"/>
      <c r="XA20" s="8"/>
      <c r="XB20" s="8"/>
      <c r="XC20" s="8"/>
      <c r="XD20" s="8"/>
      <c r="XE20" s="8"/>
      <c r="XF20" s="8"/>
      <c r="XG20" s="8"/>
      <c r="XH20" s="8"/>
      <c r="XI20" s="8"/>
      <c r="XJ20" s="8"/>
      <c r="XK20" s="8"/>
      <c r="XL20" s="8"/>
      <c r="XM20" s="8"/>
      <c r="XN20" s="8"/>
      <c r="XO20" s="8"/>
      <c r="XP20" s="8"/>
      <c r="XQ20" s="8"/>
      <c r="XR20" s="8"/>
      <c r="XS20" s="8"/>
      <c r="XT20" s="8"/>
      <c r="XU20" s="8"/>
      <c r="XV20" s="8"/>
      <c r="XW20" s="8"/>
      <c r="XX20" s="8"/>
      <c r="XY20" s="8"/>
      <c r="XZ20" s="8"/>
      <c r="YA20" s="8"/>
      <c r="YB20" s="8"/>
      <c r="YC20" s="8"/>
      <c r="YD20" s="8"/>
      <c r="YE20" s="8"/>
      <c r="YF20" s="8"/>
      <c r="YG20" s="8"/>
      <c r="YH20" s="8"/>
      <c r="YI20" s="8"/>
      <c r="YJ20" s="8"/>
      <c r="YK20" s="8"/>
      <c r="YL20" s="8"/>
      <c r="YM20" s="8"/>
      <c r="YN20" s="8"/>
      <c r="YO20" s="8"/>
      <c r="YP20" s="8"/>
      <c r="YQ20" s="8"/>
      <c r="YR20" s="8"/>
      <c r="YS20" s="8"/>
      <c r="YT20" s="8"/>
      <c r="YU20" s="8"/>
      <c r="YV20" s="8"/>
      <c r="YW20" s="8"/>
      <c r="YX20" s="8"/>
      <c r="YY20" s="8"/>
      <c r="YZ20" s="8"/>
      <c r="ZA20" s="8"/>
      <c r="ZB20" s="8"/>
      <c r="ZC20" s="8"/>
      <c r="ZD20" s="8"/>
      <c r="ZE20" s="8"/>
      <c r="ZF20" s="8"/>
      <c r="ZG20" s="8"/>
      <c r="ZH20" s="8"/>
      <c r="ZI20" s="8"/>
      <c r="ZJ20" s="8"/>
      <c r="ZK20" s="8"/>
      <c r="ZL20" s="8"/>
      <c r="ZM20" s="8"/>
      <c r="ZN20" s="8"/>
      <c r="ZO20" s="8"/>
      <c r="ZP20" s="8"/>
      <c r="ZQ20" s="8"/>
      <c r="ZR20" s="8"/>
      <c r="ZS20" s="8"/>
      <c r="ZT20" s="8"/>
      <c r="ZU20" s="8"/>
      <c r="ZV20" s="8"/>
      <c r="ZW20" s="8"/>
      <c r="ZX20" s="8"/>
      <c r="ZY20" s="8"/>
      <c r="ZZ20" s="8"/>
      <c r="AAA20" s="8"/>
      <c r="AAB20" s="8"/>
      <c r="AAC20" s="8"/>
      <c r="AAD20" s="8"/>
      <c r="AAE20" s="8"/>
      <c r="AAF20" s="8"/>
      <c r="AAG20" s="8"/>
      <c r="AAH20" s="8"/>
      <c r="AAI20" s="8"/>
      <c r="AAJ20" s="8"/>
      <c r="AAK20" s="8"/>
      <c r="AAL20" s="8"/>
      <c r="AAM20" s="8"/>
      <c r="AAN20" s="8"/>
      <c r="AAO20" s="8"/>
      <c r="AAP20" s="8"/>
      <c r="AAQ20" s="8"/>
      <c r="AAR20" s="8"/>
      <c r="AAS20" s="8"/>
      <c r="AAT20" s="8"/>
      <c r="AAU20" s="8"/>
      <c r="AAV20" s="8"/>
      <c r="AAW20" s="8"/>
      <c r="AAX20" s="8"/>
      <c r="AAY20" s="8"/>
      <c r="AAZ20" s="8"/>
      <c r="ABA20" s="8"/>
      <c r="ABB20" s="8"/>
      <c r="ABC20" s="8"/>
      <c r="ABD20" s="8"/>
      <c r="ABE20" s="8"/>
      <c r="ABF20" s="8"/>
      <c r="ABG20" s="8"/>
      <c r="ABH20" s="8"/>
      <c r="ABI20" s="8"/>
      <c r="ABJ20" s="8"/>
      <c r="ABK20" s="8"/>
      <c r="ABL20" s="8"/>
      <c r="ABM20" s="8"/>
      <c r="ABN20" s="8"/>
      <c r="ABO20" s="8"/>
      <c r="ABP20" s="8"/>
      <c r="ABQ20" s="8"/>
      <c r="ABR20" s="8"/>
      <c r="ABS20" s="8"/>
      <c r="ABT20" s="8"/>
      <c r="ABU20" s="8"/>
      <c r="ABV20" s="8"/>
      <c r="ABW20" s="8"/>
      <c r="ABX20" s="8"/>
      <c r="ABY20" s="8"/>
      <c r="ABZ20" s="8"/>
      <c r="ACA20" s="8"/>
      <c r="ACB20" s="8"/>
      <c r="ACC20" s="8"/>
      <c r="ACD20" s="8"/>
      <c r="ACE20" s="8"/>
      <c r="ACF20" s="8"/>
      <c r="ACG20" s="8"/>
      <c r="ACH20" s="8"/>
      <c r="ACI20" s="8"/>
      <c r="ACJ20" s="8"/>
      <c r="ACK20" s="8"/>
      <c r="ACL20" s="8"/>
      <c r="ACM20" s="8"/>
      <c r="ACN20" s="8"/>
      <c r="ACO20" s="8"/>
      <c r="ACP20" s="8"/>
      <c r="ACQ20" s="8"/>
      <c r="ACR20" s="8"/>
      <c r="ACS20" s="8"/>
      <c r="ACT20" s="8"/>
      <c r="ACU20" s="8"/>
      <c r="ACV20" s="8"/>
      <c r="ACW20" s="8"/>
      <c r="ACX20" s="8"/>
      <c r="ACY20" s="8"/>
      <c r="ACZ20" s="8"/>
      <c r="ADA20" s="8"/>
      <c r="ADB20" s="8"/>
      <c r="ADC20" s="8"/>
      <c r="ADD20" s="8"/>
      <c r="ADE20" s="8"/>
      <c r="ADF20" s="8"/>
      <c r="ADG20" s="8"/>
      <c r="ADH20" s="8"/>
      <c r="ADI20" s="8"/>
      <c r="ADJ20" s="8"/>
      <c r="ADK20" s="8"/>
      <c r="ADL20" s="8"/>
      <c r="ADM20" s="8"/>
      <c r="ADN20" s="8"/>
      <c r="ADO20" s="8"/>
      <c r="ADP20" s="8"/>
      <c r="ADQ20" s="8"/>
      <c r="ADR20" s="8"/>
      <c r="ADS20" s="8"/>
      <c r="ADT20" s="8"/>
      <c r="ADU20" s="8"/>
      <c r="ADV20" s="8"/>
      <c r="ADW20" s="8"/>
      <c r="ADX20" s="8"/>
      <c r="ADY20" s="8"/>
      <c r="ADZ20" s="8"/>
      <c r="AEA20" s="8"/>
      <c r="AEB20" s="8"/>
      <c r="AEC20" s="8"/>
      <c r="AED20" s="8"/>
      <c r="AEE20" s="8"/>
      <c r="AEF20" s="8"/>
      <c r="AEG20" s="8"/>
      <c r="AEH20" s="8"/>
      <c r="AEI20" s="8"/>
      <c r="AEJ20" s="8"/>
      <c r="AEK20" s="8"/>
      <c r="AEL20" s="8"/>
      <c r="AEM20" s="8"/>
      <c r="AEN20" s="8"/>
      <c r="AEO20" s="8"/>
      <c r="AEP20" s="8"/>
      <c r="AEQ20" s="8"/>
      <c r="AER20" s="8"/>
      <c r="AES20" s="8"/>
      <c r="AET20" s="8"/>
      <c r="AEU20" s="8"/>
      <c r="AEV20" s="8"/>
      <c r="AEW20" s="8"/>
      <c r="AEX20" s="8"/>
      <c r="AEY20" s="8"/>
      <c r="AEZ20" s="8"/>
      <c r="AFA20" s="8"/>
      <c r="AFB20" s="8"/>
      <c r="AFC20" s="8"/>
      <c r="AFD20" s="8"/>
      <c r="AFE20" s="8"/>
      <c r="AFF20" s="8"/>
      <c r="AFG20" s="8"/>
      <c r="AFH20" s="8"/>
      <c r="AFI20" s="8"/>
      <c r="AFJ20" s="8"/>
      <c r="AFK20" s="8"/>
      <c r="AFL20" s="8"/>
      <c r="AFM20" s="8"/>
      <c r="AFN20" s="8"/>
      <c r="AFO20" s="8"/>
      <c r="AFP20" s="8"/>
      <c r="AFQ20" s="8"/>
      <c r="AFR20" s="8"/>
      <c r="AFS20" s="8"/>
      <c r="AFT20" s="8"/>
      <c r="AFU20" s="8"/>
      <c r="AFV20" s="8"/>
      <c r="AFW20" s="8"/>
      <c r="AFX20" s="8"/>
      <c r="AFY20" s="8"/>
      <c r="AFZ20" s="8"/>
      <c r="AGA20" s="8"/>
      <c r="AGB20" s="8"/>
      <c r="AGC20" s="8"/>
      <c r="AGD20" s="8"/>
      <c r="AGE20" s="8"/>
      <c r="AGF20" s="8"/>
      <c r="AGG20" s="8"/>
      <c r="AGH20" s="8"/>
      <c r="AGI20" s="8"/>
      <c r="AGJ20" s="8"/>
      <c r="AGK20" s="8"/>
      <c r="AGL20" s="8"/>
      <c r="AGM20" s="8"/>
      <c r="AGN20" s="8"/>
      <c r="AGO20" s="8"/>
      <c r="AGP20" s="8"/>
      <c r="AGQ20" s="8"/>
      <c r="AGR20" s="8"/>
      <c r="AGS20" s="8"/>
      <c r="AGT20" s="8"/>
      <c r="AGU20" s="8"/>
      <c r="AGV20" s="8"/>
      <c r="AGW20" s="8"/>
      <c r="AGX20" s="8"/>
      <c r="AGY20" s="8"/>
      <c r="AGZ20" s="8"/>
      <c r="AHA20" s="8"/>
      <c r="AHB20" s="8"/>
      <c r="AHC20" s="8"/>
      <c r="AHD20" s="8"/>
      <c r="AHE20" s="8"/>
      <c r="AHF20" s="8"/>
      <c r="AHG20" s="8"/>
      <c r="AHH20" s="8"/>
      <c r="AHI20" s="8"/>
      <c r="AHJ20" s="8"/>
      <c r="AHK20" s="8"/>
      <c r="AHL20" s="8"/>
      <c r="AHM20" s="8"/>
      <c r="AHN20" s="8"/>
      <c r="AHO20" s="8"/>
      <c r="AHP20" s="8"/>
      <c r="AHQ20" s="8"/>
      <c r="AHR20" s="8"/>
      <c r="AHS20" s="8"/>
      <c r="AHT20" s="8"/>
      <c r="AHU20" s="8"/>
      <c r="AHV20" s="8"/>
      <c r="AHW20" s="8"/>
      <c r="AHX20" s="8"/>
      <c r="AHY20" s="8"/>
      <c r="AHZ20" s="8"/>
      <c r="AIA20" s="8"/>
      <c r="AIB20" s="8"/>
      <c r="AIC20" s="8"/>
      <c r="AID20" s="8"/>
      <c r="AIE20" s="8"/>
      <c r="AIF20" s="8"/>
      <c r="AIG20" s="8"/>
      <c r="AIH20" s="8"/>
      <c r="AII20" s="8"/>
      <c r="AIJ20" s="8"/>
      <c r="AIK20" s="8"/>
      <c r="AIL20" s="8"/>
      <c r="AIM20" s="8"/>
      <c r="AIN20" s="8"/>
      <c r="AIO20" s="8"/>
      <c r="AIP20" s="8"/>
      <c r="AIQ20" s="8"/>
      <c r="AIR20" s="8"/>
      <c r="AIS20" s="8"/>
      <c r="AIT20" s="8"/>
      <c r="AIU20" s="8"/>
      <c r="AIV20" s="8"/>
      <c r="AIW20" s="8"/>
      <c r="AIX20" s="8"/>
      <c r="AIY20" s="8"/>
      <c r="AIZ20" s="8"/>
      <c r="AJA20" s="8"/>
      <c r="AJB20" s="8"/>
      <c r="AJC20" s="8"/>
      <c r="AJD20" s="8"/>
      <c r="AJE20" s="8"/>
      <c r="AJF20" s="8"/>
      <c r="AJG20" s="8"/>
      <c r="AJH20" s="8"/>
      <c r="AJI20" s="8"/>
      <c r="AJJ20" s="8"/>
      <c r="AJK20" s="8"/>
      <c r="AJL20" s="8"/>
      <c r="AJM20" s="8"/>
      <c r="AJN20" s="8"/>
      <c r="AJO20" s="8"/>
      <c r="AJP20" s="8"/>
      <c r="AJQ20" s="8"/>
      <c r="AJR20" s="8"/>
      <c r="AJS20" s="8"/>
      <c r="AJT20" s="8"/>
      <c r="AJU20" s="8"/>
      <c r="AJV20" s="8"/>
      <c r="AJW20" s="8"/>
      <c r="AJX20" s="8"/>
      <c r="AJY20" s="8"/>
      <c r="AJZ20" s="8"/>
      <c r="AKA20" s="8"/>
      <c r="AKB20" s="8"/>
      <c r="AKC20" s="8"/>
      <c r="AKD20" s="8"/>
      <c r="AKE20" s="8"/>
      <c r="AKF20" s="8"/>
      <c r="AKG20" s="8"/>
      <c r="AKH20" s="8"/>
      <c r="AKI20" s="8"/>
      <c r="AKJ20" s="8"/>
      <c r="AKK20" s="8"/>
      <c r="AKL20" s="8"/>
      <c r="AKM20" s="8"/>
      <c r="AKN20" s="8"/>
      <c r="AKO20" s="8"/>
      <c r="AKP20" s="8"/>
      <c r="AKQ20" s="8"/>
      <c r="AKR20" s="8"/>
      <c r="AKS20" s="8"/>
      <c r="AKT20" s="8"/>
      <c r="AKU20" s="8"/>
      <c r="AKV20" s="8"/>
      <c r="AKW20" s="8"/>
      <c r="AKX20" s="8"/>
      <c r="AKY20" s="8"/>
      <c r="AKZ20" s="8"/>
      <c r="ALA20" s="8"/>
      <c r="ALB20" s="8"/>
      <c r="ALC20" s="8"/>
      <c r="ALD20" s="8"/>
      <c r="ALE20" s="8"/>
      <c r="ALF20" s="8"/>
      <c r="ALG20" s="8"/>
      <c r="ALH20" s="8"/>
      <c r="ALI20" s="8"/>
      <c r="ALJ20" s="8"/>
      <c r="ALK20" s="8"/>
      <c r="ALL20" s="8"/>
      <c r="ALM20" s="8"/>
      <c r="ALN20" s="8"/>
      <c r="ALO20" s="8"/>
      <c r="ALP20" s="8"/>
      <c r="ALQ20" s="8"/>
      <c r="ALR20" s="8"/>
      <c r="ALS20" s="8"/>
      <c r="ALT20" s="8"/>
      <c r="ALU20" s="8"/>
      <c r="ALV20" s="8"/>
      <c r="ALW20" s="8"/>
      <c r="ALX20" s="8"/>
      <c r="ALY20" s="8"/>
      <c r="ALZ20" s="8"/>
      <c r="AMA20" s="8"/>
      <c r="AMB20" s="8"/>
      <c r="AMC20" s="8"/>
      <c r="AMD20" s="8"/>
      <c r="AME20" s="8"/>
    </row>
    <row r="21" spans="2:1019" ht="51">
      <c r="B21" s="246"/>
      <c r="C21" s="1134"/>
      <c r="D21" s="1136"/>
      <c r="E21" s="1139"/>
      <c r="F21" s="248" t="s">
        <v>631</v>
      </c>
      <c r="G21" s="245" t="s">
        <v>353</v>
      </c>
      <c r="H21" s="245" t="s">
        <v>492</v>
      </c>
      <c r="I21" s="1129"/>
      <c r="J21" s="244" t="s">
        <v>1261</v>
      </c>
      <c r="K21" s="244" t="s">
        <v>701</v>
      </c>
      <c r="L21" s="1129"/>
      <c r="M21" s="249" t="s">
        <v>675</v>
      </c>
      <c r="N21" s="1130"/>
      <c r="O21" s="1126" t="s">
        <v>141</v>
      </c>
      <c r="P21" s="1126"/>
      <c r="Q21" s="1126" t="s">
        <v>1248</v>
      </c>
      <c r="R21" s="1124"/>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c r="VS21" s="8"/>
      <c r="VT21" s="8"/>
      <c r="VU21" s="8"/>
      <c r="VV21" s="8"/>
      <c r="VW21" s="8"/>
      <c r="VX21" s="8"/>
      <c r="VY21" s="8"/>
      <c r="VZ21" s="8"/>
      <c r="WA21" s="8"/>
      <c r="WB21" s="8"/>
      <c r="WC21" s="8"/>
      <c r="WD21" s="8"/>
      <c r="WE21" s="8"/>
      <c r="WF21" s="8"/>
      <c r="WG21" s="8"/>
      <c r="WH21" s="8"/>
      <c r="WI21" s="8"/>
      <c r="WJ21" s="8"/>
      <c r="WK21" s="8"/>
      <c r="WL21" s="8"/>
      <c r="WM21" s="8"/>
      <c r="WN21" s="8"/>
      <c r="WO21" s="8"/>
      <c r="WP21" s="8"/>
      <c r="WQ21" s="8"/>
      <c r="WR21" s="8"/>
      <c r="WS21" s="8"/>
      <c r="WT21" s="8"/>
      <c r="WU21" s="8"/>
      <c r="WV21" s="8"/>
      <c r="WW21" s="8"/>
      <c r="WX21" s="8"/>
      <c r="WY21" s="8"/>
      <c r="WZ21" s="8"/>
      <c r="XA21" s="8"/>
      <c r="XB21" s="8"/>
      <c r="XC21" s="8"/>
      <c r="XD21" s="8"/>
      <c r="XE21" s="8"/>
      <c r="XF21" s="8"/>
      <c r="XG21" s="8"/>
      <c r="XH21" s="8"/>
      <c r="XI21" s="8"/>
      <c r="XJ21" s="8"/>
      <c r="XK21" s="8"/>
      <c r="XL21" s="8"/>
      <c r="XM21" s="8"/>
      <c r="XN21" s="8"/>
      <c r="XO21" s="8"/>
      <c r="XP21" s="8"/>
      <c r="XQ21" s="8"/>
      <c r="XR21" s="8"/>
      <c r="XS21" s="8"/>
      <c r="XT21" s="8"/>
      <c r="XU21" s="8"/>
      <c r="XV21" s="8"/>
      <c r="XW21" s="8"/>
      <c r="XX21" s="8"/>
      <c r="XY21" s="8"/>
      <c r="XZ21" s="8"/>
      <c r="YA21" s="8"/>
      <c r="YB21" s="8"/>
      <c r="YC21" s="8"/>
      <c r="YD21" s="8"/>
      <c r="YE21" s="8"/>
      <c r="YF21" s="8"/>
      <c r="YG21" s="8"/>
      <c r="YH21" s="8"/>
      <c r="YI21" s="8"/>
      <c r="YJ21" s="8"/>
      <c r="YK21" s="8"/>
      <c r="YL21" s="8"/>
      <c r="YM21" s="8"/>
      <c r="YN21" s="8"/>
      <c r="YO21" s="8"/>
      <c r="YP21" s="8"/>
      <c r="YQ21" s="8"/>
      <c r="YR21" s="8"/>
      <c r="YS21" s="8"/>
      <c r="YT21" s="8"/>
      <c r="YU21" s="8"/>
      <c r="YV21" s="8"/>
      <c r="YW21" s="8"/>
      <c r="YX21" s="8"/>
      <c r="YY21" s="8"/>
      <c r="YZ21" s="8"/>
      <c r="ZA21" s="8"/>
      <c r="ZB21" s="8"/>
      <c r="ZC21" s="8"/>
      <c r="ZD21" s="8"/>
      <c r="ZE21" s="8"/>
      <c r="ZF21" s="8"/>
      <c r="ZG21" s="8"/>
      <c r="ZH21" s="8"/>
      <c r="ZI21" s="8"/>
      <c r="ZJ21" s="8"/>
      <c r="ZK21" s="8"/>
      <c r="ZL21" s="8"/>
      <c r="ZM21" s="8"/>
      <c r="ZN21" s="8"/>
      <c r="ZO21" s="8"/>
      <c r="ZP21" s="8"/>
      <c r="ZQ21" s="8"/>
      <c r="ZR21" s="8"/>
      <c r="ZS21" s="8"/>
      <c r="ZT21" s="8"/>
      <c r="ZU21" s="8"/>
      <c r="ZV21" s="8"/>
      <c r="ZW21" s="8"/>
      <c r="ZX21" s="8"/>
      <c r="ZY21" s="8"/>
      <c r="ZZ21" s="8"/>
      <c r="AAA21" s="8"/>
      <c r="AAB21" s="8"/>
      <c r="AAC21" s="8"/>
      <c r="AAD21" s="8"/>
      <c r="AAE21" s="8"/>
      <c r="AAF21" s="8"/>
      <c r="AAG21" s="8"/>
      <c r="AAH21" s="8"/>
      <c r="AAI21" s="8"/>
      <c r="AAJ21" s="8"/>
      <c r="AAK21" s="8"/>
      <c r="AAL21" s="8"/>
      <c r="AAM21" s="8"/>
      <c r="AAN21" s="8"/>
      <c r="AAO21" s="8"/>
      <c r="AAP21" s="8"/>
      <c r="AAQ21" s="8"/>
      <c r="AAR21" s="8"/>
      <c r="AAS21" s="8"/>
      <c r="AAT21" s="8"/>
      <c r="AAU21" s="8"/>
      <c r="AAV21" s="8"/>
      <c r="AAW21" s="8"/>
      <c r="AAX21" s="8"/>
      <c r="AAY21" s="8"/>
      <c r="AAZ21" s="8"/>
      <c r="ABA21" s="8"/>
      <c r="ABB21" s="8"/>
      <c r="ABC21" s="8"/>
      <c r="ABD21" s="8"/>
      <c r="ABE21" s="8"/>
      <c r="ABF21" s="8"/>
      <c r="ABG21" s="8"/>
      <c r="ABH21" s="8"/>
      <c r="ABI21" s="8"/>
      <c r="ABJ21" s="8"/>
      <c r="ABK21" s="8"/>
      <c r="ABL21" s="8"/>
      <c r="ABM21" s="8"/>
      <c r="ABN21" s="8"/>
      <c r="ABO21" s="8"/>
      <c r="ABP21" s="8"/>
      <c r="ABQ21" s="8"/>
      <c r="ABR21" s="8"/>
      <c r="ABS21" s="8"/>
      <c r="ABT21" s="8"/>
      <c r="ABU21" s="8"/>
      <c r="ABV21" s="8"/>
      <c r="ABW21" s="8"/>
      <c r="ABX21" s="8"/>
      <c r="ABY21" s="8"/>
      <c r="ABZ21" s="8"/>
      <c r="ACA21" s="8"/>
      <c r="ACB21" s="8"/>
      <c r="ACC21" s="8"/>
      <c r="ACD21" s="8"/>
      <c r="ACE21" s="8"/>
      <c r="ACF21" s="8"/>
      <c r="ACG21" s="8"/>
      <c r="ACH21" s="8"/>
      <c r="ACI21" s="8"/>
      <c r="ACJ21" s="8"/>
      <c r="ACK21" s="8"/>
      <c r="ACL21" s="8"/>
      <c r="ACM21" s="8"/>
      <c r="ACN21" s="8"/>
      <c r="ACO21" s="8"/>
      <c r="ACP21" s="8"/>
      <c r="ACQ21" s="8"/>
      <c r="ACR21" s="8"/>
      <c r="ACS21" s="8"/>
      <c r="ACT21" s="8"/>
      <c r="ACU21" s="8"/>
      <c r="ACV21" s="8"/>
      <c r="ACW21" s="8"/>
      <c r="ACX21" s="8"/>
      <c r="ACY21" s="8"/>
      <c r="ACZ21" s="8"/>
      <c r="ADA21" s="8"/>
      <c r="ADB21" s="8"/>
      <c r="ADC21" s="8"/>
      <c r="ADD21" s="8"/>
      <c r="ADE21" s="8"/>
      <c r="ADF21" s="8"/>
      <c r="ADG21" s="8"/>
      <c r="ADH21" s="8"/>
      <c r="ADI21" s="8"/>
      <c r="ADJ21" s="8"/>
      <c r="ADK21" s="8"/>
      <c r="ADL21" s="8"/>
      <c r="ADM21" s="8"/>
      <c r="ADN21" s="8"/>
      <c r="ADO21" s="8"/>
      <c r="ADP21" s="8"/>
      <c r="ADQ21" s="8"/>
      <c r="ADR21" s="8"/>
      <c r="ADS21" s="8"/>
      <c r="ADT21" s="8"/>
      <c r="ADU21" s="8"/>
      <c r="ADV21" s="8"/>
      <c r="ADW21" s="8"/>
      <c r="ADX21" s="8"/>
      <c r="ADY21" s="8"/>
      <c r="ADZ21" s="8"/>
      <c r="AEA21" s="8"/>
      <c r="AEB21" s="8"/>
      <c r="AEC21" s="8"/>
      <c r="AED21" s="8"/>
      <c r="AEE21" s="8"/>
      <c r="AEF21" s="8"/>
      <c r="AEG21" s="8"/>
      <c r="AEH21" s="8"/>
      <c r="AEI21" s="8"/>
      <c r="AEJ21" s="8"/>
      <c r="AEK21" s="8"/>
      <c r="AEL21" s="8"/>
      <c r="AEM21" s="8"/>
      <c r="AEN21" s="8"/>
      <c r="AEO21" s="8"/>
      <c r="AEP21" s="8"/>
      <c r="AEQ21" s="8"/>
      <c r="AER21" s="8"/>
      <c r="AES21" s="8"/>
      <c r="AET21" s="8"/>
      <c r="AEU21" s="8"/>
      <c r="AEV21" s="8"/>
      <c r="AEW21" s="8"/>
      <c r="AEX21" s="8"/>
      <c r="AEY21" s="8"/>
      <c r="AEZ21" s="8"/>
      <c r="AFA21" s="8"/>
      <c r="AFB21" s="8"/>
      <c r="AFC21" s="8"/>
      <c r="AFD21" s="8"/>
      <c r="AFE21" s="8"/>
      <c r="AFF21" s="8"/>
      <c r="AFG21" s="8"/>
      <c r="AFH21" s="8"/>
      <c r="AFI21" s="8"/>
      <c r="AFJ21" s="8"/>
      <c r="AFK21" s="8"/>
      <c r="AFL21" s="8"/>
      <c r="AFM21" s="8"/>
      <c r="AFN21" s="8"/>
      <c r="AFO21" s="8"/>
      <c r="AFP21" s="8"/>
      <c r="AFQ21" s="8"/>
      <c r="AFR21" s="8"/>
      <c r="AFS21" s="8"/>
      <c r="AFT21" s="8"/>
      <c r="AFU21" s="8"/>
      <c r="AFV21" s="8"/>
      <c r="AFW21" s="8"/>
      <c r="AFX21" s="8"/>
      <c r="AFY21" s="8"/>
      <c r="AFZ21" s="8"/>
      <c r="AGA21" s="8"/>
      <c r="AGB21" s="8"/>
      <c r="AGC21" s="8"/>
      <c r="AGD21" s="8"/>
      <c r="AGE21" s="8"/>
      <c r="AGF21" s="8"/>
      <c r="AGG21" s="8"/>
      <c r="AGH21" s="8"/>
      <c r="AGI21" s="8"/>
      <c r="AGJ21" s="8"/>
      <c r="AGK21" s="8"/>
      <c r="AGL21" s="8"/>
      <c r="AGM21" s="8"/>
      <c r="AGN21" s="8"/>
      <c r="AGO21" s="8"/>
      <c r="AGP21" s="8"/>
      <c r="AGQ21" s="8"/>
      <c r="AGR21" s="8"/>
      <c r="AGS21" s="8"/>
      <c r="AGT21" s="8"/>
      <c r="AGU21" s="8"/>
      <c r="AGV21" s="8"/>
      <c r="AGW21" s="8"/>
      <c r="AGX21" s="8"/>
      <c r="AGY21" s="8"/>
      <c r="AGZ21" s="8"/>
      <c r="AHA21" s="8"/>
      <c r="AHB21" s="8"/>
      <c r="AHC21" s="8"/>
      <c r="AHD21" s="8"/>
      <c r="AHE21" s="8"/>
      <c r="AHF21" s="8"/>
      <c r="AHG21" s="8"/>
      <c r="AHH21" s="8"/>
      <c r="AHI21" s="8"/>
      <c r="AHJ21" s="8"/>
      <c r="AHK21" s="8"/>
      <c r="AHL21" s="8"/>
      <c r="AHM21" s="8"/>
      <c r="AHN21" s="8"/>
      <c r="AHO21" s="8"/>
      <c r="AHP21" s="8"/>
      <c r="AHQ21" s="8"/>
      <c r="AHR21" s="8"/>
      <c r="AHS21" s="8"/>
      <c r="AHT21" s="8"/>
      <c r="AHU21" s="8"/>
      <c r="AHV21" s="8"/>
      <c r="AHW21" s="8"/>
      <c r="AHX21" s="8"/>
      <c r="AHY21" s="8"/>
      <c r="AHZ21" s="8"/>
      <c r="AIA21" s="8"/>
      <c r="AIB21" s="8"/>
      <c r="AIC21" s="8"/>
      <c r="AID21" s="8"/>
      <c r="AIE21" s="8"/>
      <c r="AIF21" s="8"/>
      <c r="AIG21" s="8"/>
      <c r="AIH21" s="8"/>
      <c r="AII21" s="8"/>
      <c r="AIJ21" s="8"/>
      <c r="AIK21" s="8"/>
      <c r="AIL21" s="8"/>
      <c r="AIM21" s="8"/>
      <c r="AIN21" s="8"/>
      <c r="AIO21" s="8"/>
      <c r="AIP21" s="8"/>
      <c r="AIQ21" s="8"/>
      <c r="AIR21" s="8"/>
      <c r="AIS21" s="8"/>
      <c r="AIT21" s="8"/>
      <c r="AIU21" s="8"/>
      <c r="AIV21" s="8"/>
      <c r="AIW21" s="8"/>
      <c r="AIX21" s="8"/>
      <c r="AIY21" s="8"/>
      <c r="AIZ21" s="8"/>
      <c r="AJA21" s="8"/>
      <c r="AJB21" s="8"/>
      <c r="AJC21" s="8"/>
      <c r="AJD21" s="8"/>
      <c r="AJE21" s="8"/>
      <c r="AJF21" s="8"/>
      <c r="AJG21" s="8"/>
      <c r="AJH21" s="8"/>
      <c r="AJI21" s="8"/>
      <c r="AJJ21" s="8"/>
      <c r="AJK21" s="8"/>
      <c r="AJL21" s="8"/>
      <c r="AJM21" s="8"/>
      <c r="AJN21" s="8"/>
      <c r="AJO21" s="8"/>
      <c r="AJP21" s="8"/>
      <c r="AJQ21" s="8"/>
      <c r="AJR21" s="8"/>
      <c r="AJS21" s="8"/>
      <c r="AJT21" s="8"/>
      <c r="AJU21" s="8"/>
      <c r="AJV21" s="8"/>
      <c r="AJW21" s="8"/>
      <c r="AJX21" s="8"/>
      <c r="AJY21" s="8"/>
      <c r="AJZ21" s="8"/>
      <c r="AKA21" s="8"/>
      <c r="AKB21" s="8"/>
      <c r="AKC21" s="8"/>
      <c r="AKD21" s="8"/>
      <c r="AKE21" s="8"/>
      <c r="AKF21" s="8"/>
      <c r="AKG21" s="8"/>
      <c r="AKH21" s="8"/>
      <c r="AKI21" s="8"/>
      <c r="AKJ21" s="8"/>
      <c r="AKK21" s="8"/>
      <c r="AKL21" s="8"/>
      <c r="AKM21" s="8"/>
      <c r="AKN21" s="8"/>
      <c r="AKO21" s="8"/>
      <c r="AKP21" s="8"/>
      <c r="AKQ21" s="8"/>
      <c r="AKR21" s="8"/>
      <c r="AKS21" s="8"/>
      <c r="AKT21" s="8"/>
      <c r="AKU21" s="8"/>
      <c r="AKV21" s="8"/>
      <c r="AKW21" s="8"/>
      <c r="AKX21" s="8"/>
      <c r="AKY21" s="8"/>
      <c r="AKZ21" s="8"/>
      <c r="ALA21" s="8"/>
      <c r="ALB21" s="8"/>
      <c r="ALC21" s="8"/>
      <c r="ALD21" s="8"/>
      <c r="ALE21" s="8"/>
      <c r="ALF21" s="8"/>
      <c r="ALG21" s="8"/>
      <c r="ALH21" s="8"/>
      <c r="ALI21" s="8"/>
      <c r="ALJ21" s="8"/>
      <c r="ALK21" s="8"/>
      <c r="ALL21" s="8"/>
      <c r="ALM21" s="8"/>
      <c r="ALN21" s="8"/>
      <c r="ALO21" s="8"/>
      <c r="ALP21" s="8"/>
      <c r="ALQ21" s="8"/>
      <c r="ALR21" s="8"/>
      <c r="ALS21" s="8"/>
      <c r="ALT21" s="8"/>
      <c r="ALU21" s="8"/>
      <c r="ALV21" s="8"/>
      <c r="ALW21" s="8"/>
      <c r="ALX21" s="8"/>
      <c r="ALY21" s="8"/>
      <c r="ALZ21" s="8"/>
      <c r="AMA21" s="8"/>
      <c r="AMB21" s="8"/>
      <c r="AMC21" s="8"/>
      <c r="AMD21" s="8"/>
      <c r="AME21" s="8"/>
    </row>
    <row r="22" spans="2:1019" ht="78">
      <c r="B22" s="246"/>
      <c r="C22" s="1134"/>
      <c r="D22" s="1136"/>
      <c r="E22" s="1139"/>
      <c r="F22" s="248" t="s">
        <v>702</v>
      </c>
      <c r="G22" s="248" t="s">
        <v>703</v>
      </c>
      <c r="H22" s="248" t="s">
        <v>143</v>
      </c>
      <c r="I22" s="1129"/>
      <c r="J22" s="251" t="s">
        <v>773</v>
      </c>
      <c r="K22" s="251" t="s">
        <v>774</v>
      </c>
      <c r="L22" s="1149"/>
      <c r="M22" s="236" t="s">
        <v>704</v>
      </c>
      <c r="N22" s="1127"/>
      <c r="O22" s="1127"/>
      <c r="P22" s="1127"/>
      <c r="Q22" s="1127"/>
      <c r="R22" s="1125"/>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c r="UP22" s="8"/>
      <c r="UQ22" s="8"/>
      <c r="UR22" s="8"/>
      <c r="US22" s="8"/>
      <c r="UT22" s="8"/>
      <c r="UU22" s="8"/>
      <c r="UV22" s="8"/>
      <c r="UW22" s="8"/>
      <c r="UX22" s="8"/>
      <c r="UY22" s="8"/>
      <c r="UZ22" s="8"/>
      <c r="VA22" s="8"/>
      <c r="VB22" s="8"/>
      <c r="VC22" s="8"/>
      <c r="VD22" s="8"/>
      <c r="VE22" s="8"/>
      <c r="VF22" s="8"/>
      <c r="VG22" s="8"/>
      <c r="VH22" s="8"/>
      <c r="VI22" s="8"/>
      <c r="VJ22" s="8"/>
      <c r="VK22" s="8"/>
      <c r="VL22" s="8"/>
      <c r="VM22" s="8"/>
      <c r="VN22" s="8"/>
      <c r="VO22" s="8"/>
      <c r="VP22" s="8"/>
      <c r="VQ22" s="8"/>
      <c r="VR22" s="8"/>
      <c r="VS22" s="8"/>
      <c r="VT22" s="8"/>
      <c r="VU22" s="8"/>
      <c r="VV22" s="8"/>
      <c r="VW22" s="8"/>
      <c r="VX22" s="8"/>
      <c r="VY22" s="8"/>
      <c r="VZ22" s="8"/>
      <c r="WA22" s="8"/>
      <c r="WB22" s="8"/>
      <c r="WC22" s="8"/>
      <c r="WD22" s="8"/>
      <c r="WE22" s="8"/>
      <c r="WF22" s="8"/>
      <c r="WG22" s="8"/>
      <c r="WH22" s="8"/>
      <c r="WI22" s="8"/>
      <c r="WJ22" s="8"/>
      <c r="WK22" s="8"/>
      <c r="WL22" s="8"/>
      <c r="WM22" s="8"/>
      <c r="WN22" s="8"/>
      <c r="WO22" s="8"/>
      <c r="WP22" s="8"/>
      <c r="WQ22" s="8"/>
      <c r="WR22" s="8"/>
      <c r="WS22" s="8"/>
      <c r="WT22" s="8"/>
      <c r="WU22" s="8"/>
      <c r="WV22" s="8"/>
      <c r="WW22" s="8"/>
      <c r="WX22" s="8"/>
      <c r="WY22" s="8"/>
      <c r="WZ22" s="8"/>
      <c r="XA22" s="8"/>
      <c r="XB22" s="8"/>
      <c r="XC22" s="8"/>
      <c r="XD22" s="8"/>
      <c r="XE22" s="8"/>
      <c r="XF22" s="8"/>
      <c r="XG22" s="8"/>
      <c r="XH22" s="8"/>
      <c r="XI22" s="8"/>
      <c r="XJ22" s="8"/>
      <c r="XK22" s="8"/>
      <c r="XL22" s="8"/>
      <c r="XM22" s="8"/>
      <c r="XN22" s="8"/>
      <c r="XO22" s="8"/>
      <c r="XP22" s="8"/>
      <c r="XQ22" s="8"/>
      <c r="XR22" s="8"/>
      <c r="XS22" s="8"/>
      <c r="XT22" s="8"/>
      <c r="XU22" s="8"/>
      <c r="XV22" s="8"/>
      <c r="XW22" s="8"/>
      <c r="XX22" s="8"/>
      <c r="XY22" s="8"/>
      <c r="XZ22" s="8"/>
      <c r="YA22" s="8"/>
      <c r="YB22" s="8"/>
      <c r="YC22" s="8"/>
      <c r="YD22" s="8"/>
      <c r="YE22" s="8"/>
      <c r="YF22" s="8"/>
      <c r="YG22" s="8"/>
      <c r="YH22" s="8"/>
      <c r="YI22" s="8"/>
      <c r="YJ22" s="8"/>
      <c r="YK22" s="8"/>
      <c r="YL22" s="8"/>
      <c r="YM22" s="8"/>
      <c r="YN22" s="8"/>
      <c r="YO22" s="8"/>
      <c r="YP22" s="8"/>
      <c r="YQ22" s="8"/>
      <c r="YR22" s="8"/>
      <c r="YS22" s="8"/>
      <c r="YT22" s="8"/>
      <c r="YU22" s="8"/>
      <c r="YV22" s="8"/>
      <c r="YW22" s="8"/>
      <c r="YX22" s="8"/>
      <c r="YY22" s="8"/>
      <c r="YZ22" s="8"/>
      <c r="ZA22" s="8"/>
      <c r="ZB22" s="8"/>
      <c r="ZC22" s="8"/>
      <c r="ZD22" s="8"/>
      <c r="ZE22" s="8"/>
      <c r="ZF22" s="8"/>
      <c r="ZG22" s="8"/>
      <c r="ZH22" s="8"/>
      <c r="ZI22" s="8"/>
      <c r="ZJ22" s="8"/>
      <c r="ZK22" s="8"/>
      <c r="ZL22" s="8"/>
      <c r="ZM22" s="8"/>
      <c r="ZN22" s="8"/>
      <c r="ZO22" s="8"/>
      <c r="ZP22" s="8"/>
      <c r="ZQ22" s="8"/>
      <c r="ZR22" s="8"/>
      <c r="ZS22" s="8"/>
      <c r="ZT22" s="8"/>
      <c r="ZU22" s="8"/>
      <c r="ZV22" s="8"/>
      <c r="ZW22" s="8"/>
      <c r="ZX22" s="8"/>
      <c r="ZY22" s="8"/>
      <c r="ZZ22" s="8"/>
      <c r="AAA22" s="8"/>
      <c r="AAB22" s="8"/>
      <c r="AAC22" s="8"/>
      <c r="AAD22" s="8"/>
      <c r="AAE22" s="8"/>
      <c r="AAF22" s="8"/>
      <c r="AAG22" s="8"/>
      <c r="AAH22" s="8"/>
      <c r="AAI22" s="8"/>
      <c r="AAJ22" s="8"/>
      <c r="AAK22" s="8"/>
      <c r="AAL22" s="8"/>
      <c r="AAM22" s="8"/>
      <c r="AAN22" s="8"/>
      <c r="AAO22" s="8"/>
      <c r="AAP22" s="8"/>
      <c r="AAQ22" s="8"/>
      <c r="AAR22" s="8"/>
      <c r="AAS22" s="8"/>
      <c r="AAT22" s="8"/>
      <c r="AAU22" s="8"/>
      <c r="AAV22" s="8"/>
      <c r="AAW22" s="8"/>
      <c r="AAX22" s="8"/>
      <c r="AAY22" s="8"/>
      <c r="AAZ22" s="8"/>
      <c r="ABA22" s="8"/>
      <c r="ABB22" s="8"/>
      <c r="ABC22" s="8"/>
      <c r="ABD22" s="8"/>
      <c r="ABE22" s="8"/>
      <c r="ABF22" s="8"/>
      <c r="ABG22" s="8"/>
      <c r="ABH22" s="8"/>
      <c r="ABI22" s="8"/>
      <c r="ABJ22" s="8"/>
      <c r="ABK22" s="8"/>
      <c r="ABL22" s="8"/>
      <c r="ABM22" s="8"/>
      <c r="ABN22" s="8"/>
      <c r="ABO22" s="8"/>
      <c r="ABP22" s="8"/>
      <c r="ABQ22" s="8"/>
      <c r="ABR22" s="8"/>
      <c r="ABS22" s="8"/>
      <c r="ABT22" s="8"/>
      <c r="ABU22" s="8"/>
      <c r="ABV22" s="8"/>
      <c r="ABW22" s="8"/>
      <c r="ABX22" s="8"/>
      <c r="ABY22" s="8"/>
      <c r="ABZ22" s="8"/>
      <c r="ACA22" s="8"/>
      <c r="ACB22" s="8"/>
      <c r="ACC22" s="8"/>
      <c r="ACD22" s="8"/>
      <c r="ACE22" s="8"/>
      <c r="ACF22" s="8"/>
      <c r="ACG22" s="8"/>
      <c r="ACH22" s="8"/>
      <c r="ACI22" s="8"/>
      <c r="ACJ22" s="8"/>
      <c r="ACK22" s="8"/>
      <c r="ACL22" s="8"/>
      <c r="ACM22" s="8"/>
      <c r="ACN22" s="8"/>
      <c r="ACO22" s="8"/>
      <c r="ACP22" s="8"/>
      <c r="ACQ22" s="8"/>
      <c r="ACR22" s="8"/>
      <c r="ACS22" s="8"/>
      <c r="ACT22" s="8"/>
      <c r="ACU22" s="8"/>
      <c r="ACV22" s="8"/>
      <c r="ACW22" s="8"/>
      <c r="ACX22" s="8"/>
      <c r="ACY22" s="8"/>
      <c r="ACZ22" s="8"/>
      <c r="ADA22" s="8"/>
      <c r="ADB22" s="8"/>
      <c r="ADC22" s="8"/>
      <c r="ADD22" s="8"/>
      <c r="ADE22" s="8"/>
      <c r="ADF22" s="8"/>
      <c r="ADG22" s="8"/>
      <c r="ADH22" s="8"/>
      <c r="ADI22" s="8"/>
      <c r="ADJ22" s="8"/>
      <c r="ADK22" s="8"/>
      <c r="ADL22" s="8"/>
      <c r="ADM22" s="8"/>
      <c r="ADN22" s="8"/>
      <c r="ADO22" s="8"/>
      <c r="ADP22" s="8"/>
      <c r="ADQ22" s="8"/>
      <c r="ADR22" s="8"/>
      <c r="ADS22" s="8"/>
      <c r="ADT22" s="8"/>
      <c r="ADU22" s="8"/>
      <c r="ADV22" s="8"/>
      <c r="ADW22" s="8"/>
      <c r="ADX22" s="8"/>
      <c r="ADY22" s="8"/>
      <c r="ADZ22" s="8"/>
      <c r="AEA22" s="8"/>
      <c r="AEB22" s="8"/>
      <c r="AEC22" s="8"/>
      <c r="AED22" s="8"/>
      <c r="AEE22" s="8"/>
      <c r="AEF22" s="8"/>
      <c r="AEG22" s="8"/>
      <c r="AEH22" s="8"/>
      <c r="AEI22" s="8"/>
      <c r="AEJ22" s="8"/>
      <c r="AEK22" s="8"/>
      <c r="AEL22" s="8"/>
      <c r="AEM22" s="8"/>
      <c r="AEN22" s="8"/>
      <c r="AEO22" s="8"/>
      <c r="AEP22" s="8"/>
      <c r="AEQ22" s="8"/>
      <c r="AER22" s="8"/>
      <c r="AES22" s="8"/>
      <c r="AET22" s="8"/>
      <c r="AEU22" s="8"/>
      <c r="AEV22" s="8"/>
      <c r="AEW22" s="8"/>
      <c r="AEX22" s="8"/>
      <c r="AEY22" s="8"/>
      <c r="AEZ22" s="8"/>
      <c r="AFA22" s="8"/>
      <c r="AFB22" s="8"/>
      <c r="AFC22" s="8"/>
      <c r="AFD22" s="8"/>
      <c r="AFE22" s="8"/>
      <c r="AFF22" s="8"/>
      <c r="AFG22" s="8"/>
      <c r="AFH22" s="8"/>
      <c r="AFI22" s="8"/>
      <c r="AFJ22" s="8"/>
      <c r="AFK22" s="8"/>
      <c r="AFL22" s="8"/>
      <c r="AFM22" s="8"/>
      <c r="AFN22" s="8"/>
      <c r="AFO22" s="8"/>
      <c r="AFP22" s="8"/>
      <c r="AFQ22" s="8"/>
      <c r="AFR22" s="8"/>
      <c r="AFS22" s="8"/>
      <c r="AFT22" s="8"/>
      <c r="AFU22" s="8"/>
      <c r="AFV22" s="8"/>
      <c r="AFW22" s="8"/>
      <c r="AFX22" s="8"/>
      <c r="AFY22" s="8"/>
      <c r="AFZ22" s="8"/>
      <c r="AGA22" s="8"/>
      <c r="AGB22" s="8"/>
      <c r="AGC22" s="8"/>
      <c r="AGD22" s="8"/>
      <c r="AGE22" s="8"/>
      <c r="AGF22" s="8"/>
      <c r="AGG22" s="8"/>
      <c r="AGH22" s="8"/>
      <c r="AGI22" s="8"/>
      <c r="AGJ22" s="8"/>
      <c r="AGK22" s="8"/>
      <c r="AGL22" s="8"/>
      <c r="AGM22" s="8"/>
      <c r="AGN22" s="8"/>
      <c r="AGO22" s="8"/>
      <c r="AGP22" s="8"/>
      <c r="AGQ22" s="8"/>
      <c r="AGR22" s="8"/>
      <c r="AGS22" s="8"/>
      <c r="AGT22" s="8"/>
      <c r="AGU22" s="8"/>
      <c r="AGV22" s="8"/>
      <c r="AGW22" s="8"/>
      <c r="AGX22" s="8"/>
      <c r="AGY22" s="8"/>
      <c r="AGZ22" s="8"/>
      <c r="AHA22" s="8"/>
      <c r="AHB22" s="8"/>
      <c r="AHC22" s="8"/>
      <c r="AHD22" s="8"/>
      <c r="AHE22" s="8"/>
      <c r="AHF22" s="8"/>
      <c r="AHG22" s="8"/>
      <c r="AHH22" s="8"/>
      <c r="AHI22" s="8"/>
      <c r="AHJ22" s="8"/>
      <c r="AHK22" s="8"/>
      <c r="AHL22" s="8"/>
      <c r="AHM22" s="8"/>
      <c r="AHN22" s="8"/>
      <c r="AHO22" s="8"/>
      <c r="AHP22" s="8"/>
      <c r="AHQ22" s="8"/>
      <c r="AHR22" s="8"/>
      <c r="AHS22" s="8"/>
      <c r="AHT22" s="8"/>
      <c r="AHU22" s="8"/>
      <c r="AHV22" s="8"/>
      <c r="AHW22" s="8"/>
      <c r="AHX22" s="8"/>
      <c r="AHY22" s="8"/>
      <c r="AHZ22" s="8"/>
      <c r="AIA22" s="8"/>
      <c r="AIB22" s="8"/>
      <c r="AIC22" s="8"/>
      <c r="AID22" s="8"/>
      <c r="AIE22" s="8"/>
      <c r="AIF22" s="8"/>
      <c r="AIG22" s="8"/>
      <c r="AIH22" s="8"/>
      <c r="AII22" s="8"/>
      <c r="AIJ22" s="8"/>
      <c r="AIK22" s="8"/>
      <c r="AIL22" s="8"/>
      <c r="AIM22" s="8"/>
      <c r="AIN22" s="8"/>
      <c r="AIO22" s="8"/>
      <c r="AIP22" s="8"/>
      <c r="AIQ22" s="8"/>
      <c r="AIR22" s="8"/>
      <c r="AIS22" s="8"/>
      <c r="AIT22" s="8"/>
      <c r="AIU22" s="8"/>
      <c r="AIV22" s="8"/>
      <c r="AIW22" s="8"/>
      <c r="AIX22" s="8"/>
      <c r="AIY22" s="8"/>
      <c r="AIZ22" s="8"/>
      <c r="AJA22" s="8"/>
      <c r="AJB22" s="8"/>
      <c r="AJC22" s="8"/>
      <c r="AJD22" s="8"/>
      <c r="AJE22" s="8"/>
      <c r="AJF22" s="8"/>
      <c r="AJG22" s="8"/>
      <c r="AJH22" s="8"/>
      <c r="AJI22" s="8"/>
      <c r="AJJ22" s="8"/>
      <c r="AJK22" s="8"/>
      <c r="AJL22" s="8"/>
      <c r="AJM22" s="8"/>
      <c r="AJN22" s="8"/>
      <c r="AJO22" s="8"/>
      <c r="AJP22" s="8"/>
      <c r="AJQ22" s="8"/>
      <c r="AJR22" s="8"/>
      <c r="AJS22" s="8"/>
      <c r="AJT22" s="8"/>
      <c r="AJU22" s="8"/>
      <c r="AJV22" s="8"/>
      <c r="AJW22" s="8"/>
      <c r="AJX22" s="8"/>
      <c r="AJY22" s="8"/>
      <c r="AJZ22" s="8"/>
      <c r="AKA22" s="8"/>
      <c r="AKB22" s="8"/>
      <c r="AKC22" s="8"/>
      <c r="AKD22" s="8"/>
      <c r="AKE22" s="8"/>
      <c r="AKF22" s="8"/>
      <c r="AKG22" s="8"/>
      <c r="AKH22" s="8"/>
      <c r="AKI22" s="8"/>
      <c r="AKJ22" s="8"/>
      <c r="AKK22" s="8"/>
      <c r="AKL22" s="8"/>
      <c r="AKM22" s="8"/>
      <c r="AKN22" s="8"/>
      <c r="AKO22" s="8"/>
      <c r="AKP22" s="8"/>
      <c r="AKQ22" s="8"/>
      <c r="AKR22" s="8"/>
      <c r="AKS22" s="8"/>
      <c r="AKT22" s="8"/>
      <c r="AKU22" s="8"/>
      <c r="AKV22" s="8"/>
      <c r="AKW22" s="8"/>
      <c r="AKX22" s="8"/>
      <c r="AKY22" s="8"/>
      <c r="AKZ22" s="8"/>
      <c r="ALA22" s="8"/>
      <c r="ALB22" s="8"/>
      <c r="ALC22" s="8"/>
      <c r="ALD22" s="8"/>
      <c r="ALE22" s="8"/>
      <c r="ALF22" s="8"/>
      <c r="ALG22" s="8"/>
      <c r="ALH22" s="8"/>
      <c r="ALI22" s="8"/>
      <c r="ALJ22" s="8"/>
      <c r="ALK22" s="8"/>
      <c r="ALL22" s="8"/>
      <c r="ALM22" s="8"/>
      <c r="ALN22" s="8"/>
      <c r="ALO22" s="8"/>
      <c r="ALP22" s="8"/>
      <c r="ALQ22" s="8"/>
      <c r="ALR22" s="8"/>
      <c r="ALS22" s="8"/>
      <c r="ALT22" s="8"/>
      <c r="ALU22" s="8"/>
      <c r="ALV22" s="8"/>
      <c r="ALW22" s="8"/>
      <c r="ALX22" s="8"/>
      <c r="ALY22" s="8"/>
      <c r="ALZ22" s="8"/>
      <c r="AMA22" s="8"/>
      <c r="AMB22" s="8"/>
      <c r="AMC22" s="8"/>
      <c r="AMD22" s="8"/>
      <c r="AME22" s="8"/>
    </row>
    <row r="23" spans="2:1019" ht="64.5" customHeight="1">
      <c r="B23" s="205"/>
      <c r="C23" s="1134" t="s">
        <v>414</v>
      </c>
      <c r="D23" s="1135" t="s">
        <v>415</v>
      </c>
      <c r="E23" s="1138" t="s">
        <v>620</v>
      </c>
      <c r="F23" s="247" t="s">
        <v>639</v>
      </c>
      <c r="G23" s="243" t="s">
        <v>728</v>
      </c>
      <c r="H23" s="243" t="s">
        <v>641</v>
      </c>
      <c r="I23" s="1128">
        <v>1</v>
      </c>
      <c r="J23" s="244" t="s">
        <v>1260</v>
      </c>
      <c r="K23" s="238" t="s">
        <v>643</v>
      </c>
      <c r="L23" s="1128" t="s">
        <v>656</v>
      </c>
      <c r="M23" s="249" t="s">
        <v>1154</v>
      </c>
      <c r="N23" s="243" t="s">
        <v>651</v>
      </c>
      <c r="O23" s="1126" t="s">
        <v>655</v>
      </c>
      <c r="P23" s="1126"/>
      <c r="Q23" s="1126" t="s">
        <v>1246</v>
      </c>
      <c r="R23" s="1123" t="s">
        <v>1253</v>
      </c>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8"/>
      <c r="PC23" s="8"/>
      <c r="PD23" s="8"/>
      <c r="PE23" s="8"/>
      <c r="PF23" s="8"/>
      <c r="PG23" s="8"/>
      <c r="PH23" s="8"/>
      <c r="PI23" s="8"/>
      <c r="PJ23" s="8"/>
      <c r="PK23" s="8"/>
      <c r="PL23" s="8"/>
      <c r="PM23" s="8"/>
      <c r="PN23" s="8"/>
      <c r="PO23" s="8"/>
      <c r="PP23" s="8"/>
      <c r="PQ23" s="8"/>
      <c r="PR23" s="8"/>
      <c r="PS23" s="8"/>
      <c r="PT23" s="8"/>
      <c r="PU23" s="8"/>
      <c r="PV23" s="8"/>
      <c r="PW23" s="8"/>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c r="QZ23" s="8"/>
      <c r="RA23" s="8"/>
      <c r="RB23" s="8"/>
      <c r="RC23" s="8"/>
      <c r="RD23" s="8"/>
      <c r="RE23" s="8"/>
      <c r="RF23" s="8"/>
      <c r="RG23" s="8"/>
      <c r="RH23" s="8"/>
      <c r="RI23" s="8"/>
      <c r="RJ23" s="8"/>
      <c r="RK23" s="8"/>
      <c r="RL23" s="8"/>
      <c r="RM23" s="8"/>
      <c r="RN23" s="8"/>
      <c r="RO23" s="8"/>
      <c r="RP23" s="8"/>
      <c r="RQ23" s="8"/>
      <c r="RR23" s="8"/>
      <c r="RS23" s="8"/>
      <c r="RT23" s="8"/>
      <c r="RU23" s="8"/>
      <c r="RV23" s="8"/>
      <c r="RW23" s="8"/>
      <c r="RX23" s="8"/>
      <c r="RY23" s="8"/>
      <c r="RZ23" s="8"/>
      <c r="SA23" s="8"/>
      <c r="SB23" s="8"/>
      <c r="SC23" s="8"/>
      <c r="SD23" s="8"/>
      <c r="SE23" s="8"/>
      <c r="SF23" s="8"/>
      <c r="SG23" s="8"/>
      <c r="SH23" s="8"/>
      <c r="SI23" s="8"/>
      <c r="SJ23" s="8"/>
      <c r="SK23" s="8"/>
      <c r="SL23" s="8"/>
      <c r="SM23" s="8"/>
      <c r="SN23" s="8"/>
      <c r="SO23" s="8"/>
      <c r="SP23" s="8"/>
      <c r="SQ23" s="8"/>
      <c r="SR23" s="8"/>
      <c r="SS23" s="8"/>
      <c r="ST23" s="8"/>
      <c r="SU23" s="8"/>
      <c r="SV23" s="8"/>
      <c r="SW23" s="8"/>
      <c r="SX23" s="8"/>
      <c r="SY23" s="8"/>
      <c r="SZ23" s="8"/>
      <c r="TA23" s="8"/>
      <c r="TB23" s="8"/>
      <c r="TC23" s="8"/>
      <c r="TD23" s="8"/>
      <c r="TE23" s="8"/>
      <c r="TF23" s="8"/>
      <c r="TG23" s="8"/>
      <c r="TH23" s="8"/>
      <c r="TI23" s="8"/>
      <c r="TJ23" s="8"/>
      <c r="TK23" s="8"/>
      <c r="TL23" s="8"/>
      <c r="TM23" s="8"/>
      <c r="TN23" s="8"/>
      <c r="TO23" s="8"/>
      <c r="TP23" s="8"/>
      <c r="TQ23" s="8"/>
      <c r="TR23" s="8"/>
      <c r="TS23" s="8"/>
      <c r="TT23" s="8"/>
      <c r="TU23" s="8"/>
      <c r="TV23" s="8"/>
      <c r="TW23" s="8"/>
      <c r="TX23" s="8"/>
      <c r="TY23" s="8"/>
      <c r="TZ23" s="8"/>
      <c r="UA23" s="8"/>
      <c r="UB23" s="8"/>
      <c r="UC23" s="8"/>
      <c r="UD23" s="8"/>
      <c r="UE23" s="8"/>
      <c r="UF23" s="8"/>
      <c r="UG23" s="8"/>
      <c r="UH23" s="8"/>
      <c r="UI23" s="8"/>
      <c r="UJ23" s="8"/>
      <c r="UK23" s="8"/>
      <c r="UL23" s="8"/>
      <c r="UM23" s="8"/>
      <c r="UN23" s="8"/>
      <c r="UO23" s="8"/>
      <c r="UP23" s="8"/>
      <c r="UQ23" s="8"/>
      <c r="UR23" s="8"/>
      <c r="US23" s="8"/>
      <c r="UT23" s="8"/>
      <c r="UU23" s="8"/>
      <c r="UV23" s="8"/>
      <c r="UW23" s="8"/>
      <c r="UX23" s="8"/>
      <c r="UY23" s="8"/>
      <c r="UZ23" s="8"/>
      <c r="VA23" s="8"/>
      <c r="VB23" s="8"/>
      <c r="VC23" s="8"/>
      <c r="VD23" s="8"/>
      <c r="VE23" s="8"/>
      <c r="VF23" s="8"/>
      <c r="VG23" s="8"/>
      <c r="VH23" s="8"/>
      <c r="VI23" s="8"/>
      <c r="VJ23" s="8"/>
      <c r="VK23" s="8"/>
      <c r="VL23" s="8"/>
      <c r="VM23" s="8"/>
      <c r="VN23" s="8"/>
      <c r="VO23" s="8"/>
      <c r="VP23" s="8"/>
      <c r="VQ23" s="8"/>
      <c r="VR23" s="8"/>
      <c r="VS23" s="8"/>
      <c r="VT23" s="8"/>
      <c r="VU23" s="8"/>
      <c r="VV23" s="8"/>
      <c r="VW23" s="8"/>
      <c r="VX23" s="8"/>
      <c r="VY23" s="8"/>
      <c r="VZ23" s="8"/>
      <c r="WA23" s="8"/>
      <c r="WB23" s="8"/>
      <c r="WC23" s="8"/>
      <c r="WD23" s="8"/>
      <c r="WE23" s="8"/>
      <c r="WF23" s="8"/>
      <c r="WG23" s="8"/>
      <c r="WH23" s="8"/>
      <c r="WI23" s="8"/>
      <c r="WJ23" s="8"/>
      <c r="WK23" s="8"/>
      <c r="WL23" s="8"/>
      <c r="WM23" s="8"/>
      <c r="WN23" s="8"/>
      <c r="WO23" s="8"/>
      <c r="WP23" s="8"/>
      <c r="WQ23" s="8"/>
      <c r="WR23" s="8"/>
      <c r="WS23" s="8"/>
      <c r="WT23" s="8"/>
      <c r="WU23" s="8"/>
      <c r="WV23" s="8"/>
      <c r="WW23" s="8"/>
      <c r="WX23" s="8"/>
      <c r="WY23" s="8"/>
      <c r="WZ23" s="8"/>
      <c r="XA23" s="8"/>
      <c r="XB23" s="8"/>
      <c r="XC23" s="8"/>
      <c r="XD23" s="8"/>
      <c r="XE23" s="8"/>
      <c r="XF23" s="8"/>
      <c r="XG23" s="8"/>
      <c r="XH23" s="8"/>
      <c r="XI23" s="8"/>
      <c r="XJ23" s="8"/>
      <c r="XK23" s="8"/>
      <c r="XL23" s="8"/>
      <c r="XM23" s="8"/>
      <c r="XN23" s="8"/>
      <c r="XO23" s="8"/>
      <c r="XP23" s="8"/>
      <c r="XQ23" s="8"/>
      <c r="XR23" s="8"/>
      <c r="XS23" s="8"/>
      <c r="XT23" s="8"/>
      <c r="XU23" s="8"/>
      <c r="XV23" s="8"/>
      <c r="XW23" s="8"/>
      <c r="XX23" s="8"/>
      <c r="XY23" s="8"/>
      <c r="XZ23" s="8"/>
      <c r="YA23" s="8"/>
      <c r="YB23" s="8"/>
      <c r="YC23" s="8"/>
      <c r="YD23" s="8"/>
      <c r="YE23" s="8"/>
      <c r="YF23" s="8"/>
      <c r="YG23" s="8"/>
      <c r="YH23" s="8"/>
      <c r="YI23" s="8"/>
      <c r="YJ23" s="8"/>
      <c r="YK23" s="8"/>
      <c r="YL23" s="8"/>
      <c r="YM23" s="8"/>
      <c r="YN23" s="8"/>
      <c r="YO23" s="8"/>
      <c r="YP23" s="8"/>
      <c r="YQ23" s="8"/>
      <c r="YR23" s="8"/>
      <c r="YS23" s="8"/>
      <c r="YT23" s="8"/>
      <c r="YU23" s="8"/>
      <c r="YV23" s="8"/>
      <c r="YW23" s="8"/>
      <c r="YX23" s="8"/>
      <c r="YY23" s="8"/>
      <c r="YZ23" s="8"/>
      <c r="ZA23" s="8"/>
      <c r="ZB23" s="8"/>
      <c r="ZC23" s="8"/>
      <c r="ZD23" s="8"/>
      <c r="ZE23" s="8"/>
      <c r="ZF23" s="8"/>
      <c r="ZG23" s="8"/>
      <c r="ZH23" s="8"/>
      <c r="ZI23" s="8"/>
      <c r="ZJ23" s="8"/>
      <c r="ZK23" s="8"/>
      <c r="ZL23" s="8"/>
      <c r="ZM23" s="8"/>
      <c r="ZN23" s="8"/>
      <c r="ZO23" s="8"/>
      <c r="ZP23" s="8"/>
      <c r="ZQ23" s="8"/>
      <c r="ZR23" s="8"/>
      <c r="ZS23" s="8"/>
      <c r="ZT23" s="8"/>
      <c r="ZU23" s="8"/>
      <c r="ZV23" s="8"/>
      <c r="ZW23" s="8"/>
      <c r="ZX23" s="8"/>
      <c r="ZY23" s="8"/>
      <c r="ZZ23" s="8"/>
      <c r="AAA23" s="8"/>
      <c r="AAB23" s="8"/>
      <c r="AAC23" s="8"/>
      <c r="AAD23" s="8"/>
      <c r="AAE23" s="8"/>
      <c r="AAF23" s="8"/>
      <c r="AAG23" s="8"/>
      <c r="AAH23" s="8"/>
      <c r="AAI23" s="8"/>
      <c r="AAJ23" s="8"/>
      <c r="AAK23" s="8"/>
      <c r="AAL23" s="8"/>
      <c r="AAM23" s="8"/>
      <c r="AAN23" s="8"/>
      <c r="AAO23" s="8"/>
      <c r="AAP23" s="8"/>
      <c r="AAQ23" s="8"/>
      <c r="AAR23" s="8"/>
      <c r="AAS23" s="8"/>
      <c r="AAT23" s="8"/>
      <c r="AAU23" s="8"/>
      <c r="AAV23" s="8"/>
      <c r="AAW23" s="8"/>
      <c r="AAX23" s="8"/>
      <c r="AAY23" s="8"/>
      <c r="AAZ23" s="8"/>
      <c r="ABA23" s="8"/>
      <c r="ABB23" s="8"/>
      <c r="ABC23" s="8"/>
      <c r="ABD23" s="8"/>
      <c r="ABE23" s="8"/>
      <c r="ABF23" s="8"/>
      <c r="ABG23" s="8"/>
      <c r="ABH23" s="8"/>
      <c r="ABI23" s="8"/>
      <c r="ABJ23" s="8"/>
      <c r="ABK23" s="8"/>
      <c r="ABL23" s="8"/>
      <c r="ABM23" s="8"/>
      <c r="ABN23" s="8"/>
      <c r="ABO23" s="8"/>
      <c r="ABP23" s="8"/>
      <c r="ABQ23" s="8"/>
      <c r="ABR23" s="8"/>
      <c r="ABS23" s="8"/>
      <c r="ABT23" s="8"/>
      <c r="ABU23" s="8"/>
      <c r="ABV23" s="8"/>
      <c r="ABW23" s="8"/>
      <c r="ABX23" s="8"/>
      <c r="ABY23" s="8"/>
      <c r="ABZ23" s="8"/>
      <c r="ACA23" s="8"/>
      <c r="ACB23" s="8"/>
      <c r="ACC23" s="8"/>
      <c r="ACD23" s="8"/>
      <c r="ACE23" s="8"/>
      <c r="ACF23" s="8"/>
      <c r="ACG23" s="8"/>
      <c r="ACH23" s="8"/>
      <c r="ACI23" s="8"/>
      <c r="ACJ23" s="8"/>
      <c r="ACK23" s="8"/>
      <c r="ACL23" s="8"/>
      <c r="ACM23" s="8"/>
      <c r="ACN23" s="8"/>
      <c r="ACO23" s="8"/>
      <c r="ACP23" s="8"/>
      <c r="ACQ23" s="8"/>
      <c r="ACR23" s="8"/>
      <c r="ACS23" s="8"/>
      <c r="ACT23" s="8"/>
      <c r="ACU23" s="8"/>
      <c r="ACV23" s="8"/>
      <c r="ACW23" s="8"/>
      <c r="ACX23" s="8"/>
      <c r="ACY23" s="8"/>
      <c r="ACZ23" s="8"/>
      <c r="ADA23" s="8"/>
      <c r="ADB23" s="8"/>
      <c r="ADC23" s="8"/>
      <c r="ADD23" s="8"/>
      <c r="ADE23" s="8"/>
      <c r="ADF23" s="8"/>
      <c r="ADG23" s="8"/>
      <c r="ADH23" s="8"/>
      <c r="ADI23" s="8"/>
      <c r="ADJ23" s="8"/>
      <c r="ADK23" s="8"/>
      <c r="ADL23" s="8"/>
      <c r="ADM23" s="8"/>
      <c r="ADN23" s="8"/>
      <c r="ADO23" s="8"/>
      <c r="ADP23" s="8"/>
      <c r="ADQ23" s="8"/>
      <c r="ADR23" s="8"/>
      <c r="ADS23" s="8"/>
      <c r="ADT23" s="8"/>
      <c r="ADU23" s="8"/>
      <c r="ADV23" s="8"/>
      <c r="ADW23" s="8"/>
      <c r="ADX23" s="8"/>
      <c r="ADY23" s="8"/>
      <c r="ADZ23" s="8"/>
      <c r="AEA23" s="8"/>
      <c r="AEB23" s="8"/>
      <c r="AEC23" s="8"/>
      <c r="AED23" s="8"/>
      <c r="AEE23" s="8"/>
      <c r="AEF23" s="8"/>
      <c r="AEG23" s="8"/>
      <c r="AEH23" s="8"/>
      <c r="AEI23" s="8"/>
      <c r="AEJ23" s="8"/>
      <c r="AEK23" s="8"/>
      <c r="AEL23" s="8"/>
      <c r="AEM23" s="8"/>
      <c r="AEN23" s="8"/>
      <c r="AEO23" s="8"/>
      <c r="AEP23" s="8"/>
      <c r="AEQ23" s="8"/>
      <c r="AER23" s="8"/>
      <c r="AES23" s="8"/>
      <c r="AET23" s="8"/>
      <c r="AEU23" s="8"/>
      <c r="AEV23" s="8"/>
      <c r="AEW23" s="8"/>
      <c r="AEX23" s="8"/>
      <c r="AEY23" s="8"/>
      <c r="AEZ23" s="8"/>
      <c r="AFA23" s="8"/>
      <c r="AFB23" s="8"/>
      <c r="AFC23" s="8"/>
      <c r="AFD23" s="8"/>
      <c r="AFE23" s="8"/>
      <c r="AFF23" s="8"/>
      <c r="AFG23" s="8"/>
      <c r="AFH23" s="8"/>
      <c r="AFI23" s="8"/>
      <c r="AFJ23" s="8"/>
      <c r="AFK23" s="8"/>
      <c r="AFL23" s="8"/>
      <c r="AFM23" s="8"/>
      <c r="AFN23" s="8"/>
      <c r="AFO23" s="8"/>
      <c r="AFP23" s="8"/>
      <c r="AFQ23" s="8"/>
      <c r="AFR23" s="8"/>
      <c r="AFS23" s="8"/>
      <c r="AFT23" s="8"/>
      <c r="AFU23" s="8"/>
      <c r="AFV23" s="8"/>
      <c r="AFW23" s="8"/>
      <c r="AFX23" s="8"/>
      <c r="AFY23" s="8"/>
      <c r="AFZ23" s="8"/>
      <c r="AGA23" s="8"/>
      <c r="AGB23" s="8"/>
      <c r="AGC23" s="8"/>
      <c r="AGD23" s="8"/>
      <c r="AGE23" s="8"/>
      <c r="AGF23" s="8"/>
      <c r="AGG23" s="8"/>
      <c r="AGH23" s="8"/>
      <c r="AGI23" s="8"/>
      <c r="AGJ23" s="8"/>
      <c r="AGK23" s="8"/>
      <c r="AGL23" s="8"/>
      <c r="AGM23" s="8"/>
      <c r="AGN23" s="8"/>
      <c r="AGO23" s="8"/>
      <c r="AGP23" s="8"/>
      <c r="AGQ23" s="8"/>
      <c r="AGR23" s="8"/>
      <c r="AGS23" s="8"/>
      <c r="AGT23" s="8"/>
      <c r="AGU23" s="8"/>
      <c r="AGV23" s="8"/>
      <c r="AGW23" s="8"/>
      <c r="AGX23" s="8"/>
      <c r="AGY23" s="8"/>
      <c r="AGZ23" s="8"/>
      <c r="AHA23" s="8"/>
      <c r="AHB23" s="8"/>
      <c r="AHC23" s="8"/>
      <c r="AHD23" s="8"/>
      <c r="AHE23" s="8"/>
      <c r="AHF23" s="8"/>
      <c r="AHG23" s="8"/>
      <c r="AHH23" s="8"/>
      <c r="AHI23" s="8"/>
      <c r="AHJ23" s="8"/>
      <c r="AHK23" s="8"/>
      <c r="AHL23" s="8"/>
      <c r="AHM23" s="8"/>
      <c r="AHN23" s="8"/>
      <c r="AHO23" s="8"/>
      <c r="AHP23" s="8"/>
      <c r="AHQ23" s="8"/>
      <c r="AHR23" s="8"/>
      <c r="AHS23" s="8"/>
      <c r="AHT23" s="8"/>
      <c r="AHU23" s="8"/>
      <c r="AHV23" s="8"/>
      <c r="AHW23" s="8"/>
      <c r="AHX23" s="8"/>
      <c r="AHY23" s="8"/>
      <c r="AHZ23" s="8"/>
      <c r="AIA23" s="8"/>
      <c r="AIB23" s="8"/>
      <c r="AIC23" s="8"/>
      <c r="AID23" s="8"/>
      <c r="AIE23" s="8"/>
      <c r="AIF23" s="8"/>
      <c r="AIG23" s="8"/>
      <c r="AIH23" s="8"/>
      <c r="AII23" s="8"/>
      <c r="AIJ23" s="8"/>
      <c r="AIK23" s="8"/>
      <c r="AIL23" s="8"/>
      <c r="AIM23" s="8"/>
      <c r="AIN23" s="8"/>
      <c r="AIO23" s="8"/>
      <c r="AIP23" s="8"/>
      <c r="AIQ23" s="8"/>
      <c r="AIR23" s="8"/>
      <c r="AIS23" s="8"/>
      <c r="AIT23" s="8"/>
      <c r="AIU23" s="8"/>
      <c r="AIV23" s="8"/>
      <c r="AIW23" s="8"/>
      <c r="AIX23" s="8"/>
      <c r="AIY23" s="8"/>
      <c r="AIZ23" s="8"/>
      <c r="AJA23" s="8"/>
      <c r="AJB23" s="8"/>
      <c r="AJC23" s="8"/>
      <c r="AJD23" s="8"/>
      <c r="AJE23" s="8"/>
      <c r="AJF23" s="8"/>
      <c r="AJG23" s="8"/>
      <c r="AJH23" s="8"/>
      <c r="AJI23" s="8"/>
      <c r="AJJ23" s="8"/>
      <c r="AJK23" s="8"/>
      <c r="AJL23" s="8"/>
      <c r="AJM23" s="8"/>
      <c r="AJN23" s="8"/>
      <c r="AJO23" s="8"/>
      <c r="AJP23" s="8"/>
      <c r="AJQ23" s="8"/>
      <c r="AJR23" s="8"/>
      <c r="AJS23" s="8"/>
      <c r="AJT23" s="8"/>
      <c r="AJU23" s="8"/>
      <c r="AJV23" s="8"/>
      <c r="AJW23" s="8"/>
      <c r="AJX23" s="8"/>
      <c r="AJY23" s="8"/>
      <c r="AJZ23" s="8"/>
      <c r="AKA23" s="8"/>
      <c r="AKB23" s="8"/>
      <c r="AKC23" s="8"/>
      <c r="AKD23" s="8"/>
      <c r="AKE23" s="8"/>
      <c r="AKF23" s="8"/>
      <c r="AKG23" s="8"/>
      <c r="AKH23" s="8"/>
      <c r="AKI23" s="8"/>
      <c r="AKJ23" s="8"/>
      <c r="AKK23" s="8"/>
      <c r="AKL23" s="8"/>
      <c r="AKM23" s="8"/>
      <c r="AKN23" s="8"/>
      <c r="AKO23" s="8"/>
      <c r="AKP23" s="8"/>
      <c r="AKQ23" s="8"/>
      <c r="AKR23" s="8"/>
      <c r="AKS23" s="8"/>
      <c r="AKT23" s="8"/>
      <c r="AKU23" s="8"/>
      <c r="AKV23" s="8"/>
      <c r="AKW23" s="8"/>
      <c r="AKX23" s="8"/>
      <c r="AKY23" s="8"/>
      <c r="AKZ23" s="8"/>
      <c r="ALA23" s="8"/>
      <c r="ALB23" s="8"/>
      <c r="ALC23" s="8"/>
      <c r="ALD23" s="8"/>
      <c r="ALE23" s="8"/>
      <c r="ALF23" s="8"/>
      <c r="ALG23" s="8"/>
      <c r="ALH23" s="8"/>
      <c r="ALI23" s="8"/>
      <c r="ALJ23" s="8"/>
      <c r="ALK23" s="8"/>
      <c r="ALL23" s="8"/>
      <c r="ALM23" s="8"/>
      <c r="ALN23" s="8"/>
      <c r="ALO23" s="8"/>
      <c r="ALP23" s="8"/>
      <c r="ALQ23" s="8"/>
      <c r="ALR23" s="8"/>
      <c r="ALS23" s="8"/>
      <c r="ALT23" s="8"/>
      <c r="ALU23" s="8"/>
      <c r="ALV23" s="8"/>
      <c r="ALW23" s="8"/>
      <c r="ALX23" s="8"/>
      <c r="ALY23" s="8"/>
      <c r="ALZ23" s="8"/>
      <c r="AMA23" s="8"/>
      <c r="AMB23" s="8"/>
      <c r="AMC23" s="8"/>
      <c r="AMD23" s="8"/>
      <c r="AME23" s="8"/>
    </row>
    <row r="24" spans="2:1019" ht="183" customHeight="1">
      <c r="B24" s="205"/>
      <c r="C24" s="1134"/>
      <c r="D24" s="1136"/>
      <c r="E24" s="1139"/>
      <c r="F24" s="51" t="s">
        <v>678</v>
      </c>
      <c r="G24" s="51" t="s">
        <v>775</v>
      </c>
      <c r="H24" s="51" t="s">
        <v>640</v>
      </c>
      <c r="I24" s="1151"/>
      <c r="J24" s="51" t="s">
        <v>1260</v>
      </c>
      <c r="K24" s="212" t="s">
        <v>732</v>
      </c>
      <c r="L24" s="1149"/>
      <c r="M24" s="248" t="s">
        <v>1170</v>
      </c>
      <c r="N24" s="244"/>
      <c r="O24" s="1130"/>
      <c r="P24" s="1130"/>
      <c r="Q24" s="1130"/>
      <c r="R24" s="1124"/>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c r="VU24" s="8"/>
      <c r="VV24" s="8"/>
      <c r="VW24" s="8"/>
      <c r="VX24" s="8"/>
      <c r="VY24" s="8"/>
      <c r="VZ24" s="8"/>
      <c r="WA24" s="8"/>
      <c r="WB24" s="8"/>
      <c r="WC24" s="8"/>
      <c r="WD24" s="8"/>
      <c r="WE24" s="8"/>
      <c r="WF24" s="8"/>
      <c r="WG24" s="8"/>
      <c r="WH24" s="8"/>
      <c r="WI24" s="8"/>
      <c r="WJ24" s="8"/>
      <c r="WK24" s="8"/>
      <c r="WL24" s="8"/>
      <c r="WM24" s="8"/>
      <c r="WN24" s="8"/>
      <c r="WO24" s="8"/>
      <c r="WP24" s="8"/>
      <c r="WQ24" s="8"/>
      <c r="WR24" s="8"/>
      <c r="WS24" s="8"/>
      <c r="WT24" s="8"/>
      <c r="WU24" s="8"/>
      <c r="WV24" s="8"/>
      <c r="WW24" s="8"/>
      <c r="WX24" s="8"/>
      <c r="WY24" s="8"/>
      <c r="WZ24" s="8"/>
      <c r="XA24" s="8"/>
      <c r="XB24" s="8"/>
      <c r="XC24" s="8"/>
      <c r="XD24" s="8"/>
      <c r="XE24" s="8"/>
      <c r="XF24" s="8"/>
      <c r="XG24" s="8"/>
      <c r="XH24" s="8"/>
      <c r="XI24" s="8"/>
      <c r="XJ24" s="8"/>
      <c r="XK24" s="8"/>
      <c r="XL24" s="8"/>
      <c r="XM24" s="8"/>
      <c r="XN24" s="8"/>
      <c r="XO24" s="8"/>
      <c r="XP24" s="8"/>
      <c r="XQ24" s="8"/>
      <c r="XR24" s="8"/>
      <c r="XS24" s="8"/>
      <c r="XT24" s="8"/>
      <c r="XU24" s="8"/>
      <c r="XV24" s="8"/>
      <c r="XW24" s="8"/>
      <c r="XX24" s="8"/>
      <c r="XY24" s="8"/>
      <c r="XZ24" s="8"/>
      <c r="YA24" s="8"/>
      <c r="YB24" s="8"/>
      <c r="YC24" s="8"/>
      <c r="YD24" s="8"/>
      <c r="YE24" s="8"/>
      <c r="YF24" s="8"/>
      <c r="YG24" s="8"/>
      <c r="YH24" s="8"/>
      <c r="YI24" s="8"/>
      <c r="YJ24" s="8"/>
      <c r="YK24" s="8"/>
      <c r="YL24" s="8"/>
      <c r="YM24" s="8"/>
      <c r="YN24" s="8"/>
      <c r="YO24" s="8"/>
      <c r="YP24" s="8"/>
      <c r="YQ24" s="8"/>
      <c r="YR24" s="8"/>
      <c r="YS24" s="8"/>
      <c r="YT24" s="8"/>
      <c r="YU24" s="8"/>
      <c r="YV24" s="8"/>
      <c r="YW24" s="8"/>
      <c r="YX24" s="8"/>
      <c r="YY24" s="8"/>
      <c r="YZ24" s="8"/>
      <c r="ZA24" s="8"/>
      <c r="ZB24" s="8"/>
      <c r="ZC24" s="8"/>
      <c r="ZD24" s="8"/>
      <c r="ZE24" s="8"/>
      <c r="ZF24" s="8"/>
      <c r="ZG24" s="8"/>
      <c r="ZH24" s="8"/>
      <c r="ZI24" s="8"/>
      <c r="ZJ24" s="8"/>
      <c r="ZK24" s="8"/>
      <c r="ZL24" s="8"/>
      <c r="ZM24" s="8"/>
      <c r="ZN24" s="8"/>
      <c r="ZO24" s="8"/>
      <c r="ZP24" s="8"/>
      <c r="ZQ24" s="8"/>
      <c r="ZR24" s="8"/>
      <c r="ZS24" s="8"/>
      <c r="ZT24" s="8"/>
      <c r="ZU24" s="8"/>
      <c r="ZV24" s="8"/>
      <c r="ZW24" s="8"/>
      <c r="ZX24" s="8"/>
      <c r="ZY24" s="8"/>
      <c r="ZZ24" s="8"/>
      <c r="AAA24" s="8"/>
      <c r="AAB24" s="8"/>
      <c r="AAC24" s="8"/>
      <c r="AAD24" s="8"/>
      <c r="AAE24" s="8"/>
      <c r="AAF24" s="8"/>
      <c r="AAG24" s="8"/>
      <c r="AAH24" s="8"/>
      <c r="AAI24" s="8"/>
      <c r="AAJ24" s="8"/>
      <c r="AAK24" s="8"/>
      <c r="AAL24" s="8"/>
      <c r="AAM24" s="8"/>
      <c r="AAN24" s="8"/>
      <c r="AAO24" s="8"/>
      <c r="AAP24" s="8"/>
      <c r="AAQ24" s="8"/>
      <c r="AAR24" s="8"/>
      <c r="AAS24" s="8"/>
      <c r="AAT24" s="8"/>
      <c r="AAU24" s="8"/>
      <c r="AAV24" s="8"/>
      <c r="AAW24" s="8"/>
      <c r="AAX24" s="8"/>
      <c r="AAY24" s="8"/>
      <c r="AAZ24" s="8"/>
      <c r="ABA24" s="8"/>
      <c r="ABB24" s="8"/>
      <c r="ABC24" s="8"/>
      <c r="ABD24" s="8"/>
      <c r="ABE24" s="8"/>
      <c r="ABF24" s="8"/>
      <c r="ABG24" s="8"/>
      <c r="ABH24" s="8"/>
      <c r="ABI24" s="8"/>
      <c r="ABJ24" s="8"/>
      <c r="ABK24" s="8"/>
      <c r="ABL24" s="8"/>
      <c r="ABM24" s="8"/>
      <c r="ABN24" s="8"/>
      <c r="ABO24" s="8"/>
      <c r="ABP24" s="8"/>
      <c r="ABQ24" s="8"/>
      <c r="ABR24" s="8"/>
      <c r="ABS24" s="8"/>
      <c r="ABT24" s="8"/>
      <c r="ABU24" s="8"/>
      <c r="ABV24" s="8"/>
      <c r="ABW24" s="8"/>
      <c r="ABX24" s="8"/>
      <c r="ABY24" s="8"/>
      <c r="ABZ24" s="8"/>
      <c r="ACA24" s="8"/>
      <c r="ACB24" s="8"/>
      <c r="ACC24" s="8"/>
      <c r="ACD24" s="8"/>
      <c r="ACE24" s="8"/>
      <c r="ACF24" s="8"/>
      <c r="ACG24" s="8"/>
      <c r="ACH24" s="8"/>
      <c r="ACI24" s="8"/>
      <c r="ACJ24" s="8"/>
      <c r="ACK24" s="8"/>
      <c r="ACL24" s="8"/>
      <c r="ACM24" s="8"/>
      <c r="ACN24" s="8"/>
      <c r="ACO24" s="8"/>
      <c r="ACP24" s="8"/>
      <c r="ACQ24" s="8"/>
      <c r="ACR24" s="8"/>
      <c r="ACS24" s="8"/>
      <c r="ACT24" s="8"/>
      <c r="ACU24" s="8"/>
      <c r="ACV24" s="8"/>
      <c r="ACW24" s="8"/>
      <c r="ACX24" s="8"/>
      <c r="ACY24" s="8"/>
      <c r="ACZ24" s="8"/>
      <c r="ADA24" s="8"/>
      <c r="ADB24" s="8"/>
      <c r="ADC24" s="8"/>
      <c r="ADD24" s="8"/>
      <c r="ADE24" s="8"/>
      <c r="ADF24" s="8"/>
      <c r="ADG24" s="8"/>
      <c r="ADH24" s="8"/>
      <c r="ADI24" s="8"/>
      <c r="ADJ24" s="8"/>
      <c r="ADK24" s="8"/>
      <c r="ADL24" s="8"/>
      <c r="ADM24" s="8"/>
      <c r="ADN24" s="8"/>
      <c r="ADO24" s="8"/>
      <c r="ADP24" s="8"/>
      <c r="ADQ24" s="8"/>
      <c r="ADR24" s="8"/>
      <c r="ADS24" s="8"/>
      <c r="ADT24" s="8"/>
      <c r="ADU24" s="8"/>
      <c r="ADV24" s="8"/>
      <c r="ADW24" s="8"/>
      <c r="ADX24" s="8"/>
      <c r="ADY24" s="8"/>
      <c r="ADZ24" s="8"/>
      <c r="AEA24" s="8"/>
      <c r="AEB24" s="8"/>
      <c r="AEC24" s="8"/>
      <c r="AED24" s="8"/>
      <c r="AEE24" s="8"/>
      <c r="AEF24" s="8"/>
      <c r="AEG24" s="8"/>
      <c r="AEH24" s="8"/>
      <c r="AEI24" s="8"/>
      <c r="AEJ24" s="8"/>
      <c r="AEK24" s="8"/>
      <c r="AEL24" s="8"/>
      <c r="AEM24" s="8"/>
      <c r="AEN24" s="8"/>
      <c r="AEO24" s="8"/>
      <c r="AEP24" s="8"/>
      <c r="AEQ24" s="8"/>
      <c r="AER24" s="8"/>
      <c r="AES24" s="8"/>
      <c r="AET24" s="8"/>
      <c r="AEU24" s="8"/>
      <c r="AEV24" s="8"/>
      <c r="AEW24" s="8"/>
      <c r="AEX24" s="8"/>
      <c r="AEY24" s="8"/>
      <c r="AEZ24" s="8"/>
      <c r="AFA24" s="8"/>
      <c r="AFB24" s="8"/>
      <c r="AFC24" s="8"/>
      <c r="AFD24" s="8"/>
      <c r="AFE24" s="8"/>
      <c r="AFF24" s="8"/>
      <c r="AFG24" s="8"/>
      <c r="AFH24" s="8"/>
      <c r="AFI24" s="8"/>
      <c r="AFJ24" s="8"/>
      <c r="AFK24" s="8"/>
      <c r="AFL24" s="8"/>
      <c r="AFM24" s="8"/>
      <c r="AFN24" s="8"/>
      <c r="AFO24" s="8"/>
      <c r="AFP24" s="8"/>
      <c r="AFQ24" s="8"/>
      <c r="AFR24" s="8"/>
      <c r="AFS24" s="8"/>
      <c r="AFT24" s="8"/>
      <c r="AFU24" s="8"/>
      <c r="AFV24" s="8"/>
      <c r="AFW24" s="8"/>
      <c r="AFX24" s="8"/>
      <c r="AFY24" s="8"/>
      <c r="AFZ24" s="8"/>
      <c r="AGA24" s="8"/>
      <c r="AGB24" s="8"/>
      <c r="AGC24" s="8"/>
      <c r="AGD24" s="8"/>
      <c r="AGE24" s="8"/>
      <c r="AGF24" s="8"/>
      <c r="AGG24" s="8"/>
      <c r="AGH24" s="8"/>
      <c r="AGI24" s="8"/>
      <c r="AGJ24" s="8"/>
      <c r="AGK24" s="8"/>
      <c r="AGL24" s="8"/>
      <c r="AGM24" s="8"/>
      <c r="AGN24" s="8"/>
      <c r="AGO24" s="8"/>
      <c r="AGP24" s="8"/>
      <c r="AGQ24" s="8"/>
      <c r="AGR24" s="8"/>
      <c r="AGS24" s="8"/>
      <c r="AGT24" s="8"/>
      <c r="AGU24" s="8"/>
      <c r="AGV24" s="8"/>
      <c r="AGW24" s="8"/>
      <c r="AGX24" s="8"/>
      <c r="AGY24" s="8"/>
      <c r="AGZ24" s="8"/>
      <c r="AHA24" s="8"/>
      <c r="AHB24" s="8"/>
      <c r="AHC24" s="8"/>
      <c r="AHD24" s="8"/>
      <c r="AHE24" s="8"/>
      <c r="AHF24" s="8"/>
      <c r="AHG24" s="8"/>
      <c r="AHH24" s="8"/>
      <c r="AHI24" s="8"/>
      <c r="AHJ24" s="8"/>
      <c r="AHK24" s="8"/>
      <c r="AHL24" s="8"/>
      <c r="AHM24" s="8"/>
      <c r="AHN24" s="8"/>
      <c r="AHO24" s="8"/>
      <c r="AHP24" s="8"/>
      <c r="AHQ24" s="8"/>
      <c r="AHR24" s="8"/>
      <c r="AHS24" s="8"/>
      <c r="AHT24" s="8"/>
      <c r="AHU24" s="8"/>
      <c r="AHV24" s="8"/>
      <c r="AHW24" s="8"/>
      <c r="AHX24" s="8"/>
      <c r="AHY24" s="8"/>
      <c r="AHZ24" s="8"/>
      <c r="AIA24" s="8"/>
      <c r="AIB24" s="8"/>
      <c r="AIC24" s="8"/>
      <c r="AID24" s="8"/>
      <c r="AIE24" s="8"/>
      <c r="AIF24" s="8"/>
      <c r="AIG24" s="8"/>
      <c r="AIH24" s="8"/>
      <c r="AII24" s="8"/>
      <c r="AIJ24" s="8"/>
      <c r="AIK24" s="8"/>
      <c r="AIL24" s="8"/>
      <c r="AIM24" s="8"/>
      <c r="AIN24" s="8"/>
      <c r="AIO24" s="8"/>
      <c r="AIP24" s="8"/>
      <c r="AIQ24" s="8"/>
      <c r="AIR24" s="8"/>
      <c r="AIS24" s="8"/>
      <c r="AIT24" s="8"/>
      <c r="AIU24" s="8"/>
      <c r="AIV24" s="8"/>
      <c r="AIW24" s="8"/>
      <c r="AIX24" s="8"/>
      <c r="AIY24" s="8"/>
      <c r="AIZ24" s="8"/>
      <c r="AJA24" s="8"/>
      <c r="AJB24" s="8"/>
      <c r="AJC24" s="8"/>
      <c r="AJD24" s="8"/>
      <c r="AJE24" s="8"/>
      <c r="AJF24" s="8"/>
      <c r="AJG24" s="8"/>
      <c r="AJH24" s="8"/>
      <c r="AJI24" s="8"/>
      <c r="AJJ24" s="8"/>
      <c r="AJK24" s="8"/>
      <c r="AJL24" s="8"/>
      <c r="AJM24" s="8"/>
      <c r="AJN24" s="8"/>
      <c r="AJO24" s="8"/>
      <c r="AJP24" s="8"/>
      <c r="AJQ24" s="8"/>
      <c r="AJR24" s="8"/>
      <c r="AJS24" s="8"/>
      <c r="AJT24" s="8"/>
      <c r="AJU24" s="8"/>
      <c r="AJV24" s="8"/>
      <c r="AJW24" s="8"/>
      <c r="AJX24" s="8"/>
      <c r="AJY24" s="8"/>
      <c r="AJZ24" s="8"/>
      <c r="AKA24" s="8"/>
      <c r="AKB24" s="8"/>
      <c r="AKC24" s="8"/>
      <c r="AKD24" s="8"/>
      <c r="AKE24" s="8"/>
      <c r="AKF24" s="8"/>
      <c r="AKG24" s="8"/>
      <c r="AKH24" s="8"/>
      <c r="AKI24" s="8"/>
      <c r="AKJ24" s="8"/>
      <c r="AKK24" s="8"/>
      <c r="AKL24" s="8"/>
      <c r="AKM24" s="8"/>
      <c r="AKN24" s="8"/>
      <c r="AKO24" s="8"/>
      <c r="AKP24" s="8"/>
      <c r="AKQ24" s="8"/>
      <c r="AKR24" s="8"/>
      <c r="AKS24" s="8"/>
      <c r="AKT24" s="8"/>
      <c r="AKU24" s="8"/>
      <c r="AKV24" s="8"/>
      <c r="AKW24" s="8"/>
      <c r="AKX24" s="8"/>
      <c r="AKY24" s="8"/>
      <c r="AKZ24" s="8"/>
      <c r="ALA24" s="8"/>
      <c r="ALB24" s="8"/>
      <c r="ALC24" s="8"/>
      <c r="ALD24" s="8"/>
      <c r="ALE24" s="8"/>
      <c r="ALF24" s="8"/>
      <c r="ALG24" s="8"/>
      <c r="ALH24" s="8"/>
      <c r="ALI24" s="8"/>
      <c r="ALJ24" s="8"/>
      <c r="ALK24" s="8"/>
      <c r="ALL24" s="8"/>
      <c r="ALM24" s="8"/>
      <c r="ALN24" s="8"/>
      <c r="ALO24" s="8"/>
      <c r="ALP24" s="8"/>
      <c r="ALQ24" s="8"/>
      <c r="ALR24" s="8"/>
      <c r="ALS24" s="8"/>
      <c r="ALT24" s="8"/>
      <c r="ALU24" s="8"/>
      <c r="ALV24" s="8"/>
      <c r="ALW24" s="8"/>
      <c r="ALX24" s="8"/>
      <c r="ALY24" s="8"/>
      <c r="ALZ24" s="8"/>
      <c r="AMA24" s="8"/>
      <c r="AMB24" s="8"/>
      <c r="AMC24" s="8"/>
      <c r="AMD24" s="8"/>
      <c r="AME24" s="8"/>
    </row>
    <row r="25" spans="2:1019" ht="186.75" customHeight="1">
      <c r="B25" s="205"/>
      <c r="C25" s="1145"/>
      <c r="D25" s="1137"/>
      <c r="E25" s="1140"/>
      <c r="F25" s="248" t="s">
        <v>638</v>
      </c>
      <c r="G25" s="245" t="s">
        <v>653</v>
      </c>
      <c r="H25" s="245" t="s">
        <v>641</v>
      </c>
      <c r="I25" s="1146"/>
      <c r="J25" s="239" t="s">
        <v>776</v>
      </c>
      <c r="K25" s="240" t="s">
        <v>643</v>
      </c>
      <c r="L25" s="1146"/>
      <c r="M25" s="245" t="s">
        <v>1166</v>
      </c>
      <c r="N25" s="245"/>
      <c r="O25" s="1127"/>
      <c r="P25" s="1127"/>
      <c r="Q25" s="1127"/>
      <c r="R25" s="1125"/>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c r="VS25" s="8"/>
      <c r="VT25" s="8"/>
      <c r="VU25" s="8"/>
      <c r="VV25" s="8"/>
      <c r="VW25" s="8"/>
      <c r="VX25" s="8"/>
      <c r="VY25" s="8"/>
      <c r="VZ25" s="8"/>
      <c r="WA25" s="8"/>
      <c r="WB25" s="8"/>
      <c r="WC25" s="8"/>
      <c r="WD25" s="8"/>
      <c r="WE25" s="8"/>
      <c r="WF25" s="8"/>
      <c r="WG25" s="8"/>
      <c r="WH25" s="8"/>
      <c r="WI25" s="8"/>
      <c r="WJ25" s="8"/>
      <c r="WK25" s="8"/>
      <c r="WL25" s="8"/>
      <c r="WM25" s="8"/>
      <c r="WN25" s="8"/>
      <c r="WO25" s="8"/>
      <c r="WP25" s="8"/>
      <c r="WQ25" s="8"/>
      <c r="WR25" s="8"/>
      <c r="WS25" s="8"/>
      <c r="WT25" s="8"/>
      <c r="WU25" s="8"/>
      <c r="WV25" s="8"/>
      <c r="WW25" s="8"/>
      <c r="WX25" s="8"/>
      <c r="WY25" s="8"/>
      <c r="WZ25" s="8"/>
      <c r="XA25" s="8"/>
      <c r="XB25" s="8"/>
      <c r="XC25" s="8"/>
      <c r="XD25" s="8"/>
      <c r="XE25" s="8"/>
      <c r="XF25" s="8"/>
      <c r="XG25" s="8"/>
      <c r="XH25" s="8"/>
      <c r="XI25" s="8"/>
      <c r="XJ25" s="8"/>
      <c r="XK25" s="8"/>
      <c r="XL25" s="8"/>
      <c r="XM25" s="8"/>
      <c r="XN25" s="8"/>
      <c r="XO25" s="8"/>
      <c r="XP25" s="8"/>
      <c r="XQ25" s="8"/>
      <c r="XR25" s="8"/>
      <c r="XS25" s="8"/>
      <c r="XT25" s="8"/>
      <c r="XU25" s="8"/>
      <c r="XV25" s="8"/>
      <c r="XW25" s="8"/>
      <c r="XX25" s="8"/>
      <c r="XY25" s="8"/>
      <c r="XZ25" s="8"/>
      <c r="YA25" s="8"/>
      <c r="YB25" s="8"/>
      <c r="YC25" s="8"/>
      <c r="YD25" s="8"/>
      <c r="YE25" s="8"/>
      <c r="YF25" s="8"/>
      <c r="YG25" s="8"/>
      <c r="YH25" s="8"/>
      <c r="YI25" s="8"/>
      <c r="YJ25" s="8"/>
      <c r="YK25" s="8"/>
      <c r="YL25" s="8"/>
      <c r="YM25" s="8"/>
      <c r="YN25" s="8"/>
      <c r="YO25" s="8"/>
      <c r="YP25" s="8"/>
      <c r="YQ25" s="8"/>
      <c r="YR25" s="8"/>
      <c r="YS25" s="8"/>
      <c r="YT25" s="8"/>
      <c r="YU25" s="8"/>
      <c r="YV25" s="8"/>
      <c r="YW25" s="8"/>
      <c r="YX25" s="8"/>
      <c r="YY25" s="8"/>
      <c r="YZ25" s="8"/>
      <c r="ZA25" s="8"/>
      <c r="ZB25" s="8"/>
      <c r="ZC25" s="8"/>
      <c r="ZD25" s="8"/>
      <c r="ZE25" s="8"/>
      <c r="ZF25" s="8"/>
      <c r="ZG25" s="8"/>
      <c r="ZH25" s="8"/>
      <c r="ZI25" s="8"/>
      <c r="ZJ25" s="8"/>
      <c r="ZK25" s="8"/>
      <c r="ZL25" s="8"/>
      <c r="ZM25" s="8"/>
      <c r="ZN25" s="8"/>
      <c r="ZO25" s="8"/>
      <c r="ZP25" s="8"/>
      <c r="ZQ25" s="8"/>
      <c r="ZR25" s="8"/>
      <c r="ZS25" s="8"/>
      <c r="ZT25" s="8"/>
      <c r="ZU25" s="8"/>
      <c r="ZV25" s="8"/>
      <c r="ZW25" s="8"/>
      <c r="ZX25" s="8"/>
      <c r="ZY25" s="8"/>
      <c r="ZZ25" s="8"/>
      <c r="AAA25" s="8"/>
      <c r="AAB25" s="8"/>
      <c r="AAC25" s="8"/>
      <c r="AAD25" s="8"/>
      <c r="AAE25" s="8"/>
      <c r="AAF25" s="8"/>
      <c r="AAG25" s="8"/>
      <c r="AAH25" s="8"/>
      <c r="AAI25" s="8"/>
      <c r="AAJ25" s="8"/>
      <c r="AAK25" s="8"/>
      <c r="AAL25" s="8"/>
      <c r="AAM25" s="8"/>
      <c r="AAN25" s="8"/>
      <c r="AAO25" s="8"/>
      <c r="AAP25" s="8"/>
      <c r="AAQ25" s="8"/>
      <c r="AAR25" s="8"/>
      <c r="AAS25" s="8"/>
      <c r="AAT25" s="8"/>
      <c r="AAU25" s="8"/>
      <c r="AAV25" s="8"/>
      <c r="AAW25" s="8"/>
      <c r="AAX25" s="8"/>
      <c r="AAY25" s="8"/>
      <c r="AAZ25" s="8"/>
      <c r="ABA25" s="8"/>
      <c r="ABB25" s="8"/>
      <c r="ABC25" s="8"/>
      <c r="ABD25" s="8"/>
      <c r="ABE25" s="8"/>
      <c r="ABF25" s="8"/>
      <c r="ABG25" s="8"/>
      <c r="ABH25" s="8"/>
      <c r="ABI25" s="8"/>
      <c r="ABJ25" s="8"/>
      <c r="ABK25" s="8"/>
      <c r="ABL25" s="8"/>
      <c r="ABM25" s="8"/>
      <c r="ABN25" s="8"/>
      <c r="ABO25" s="8"/>
      <c r="ABP25" s="8"/>
      <c r="ABQ25" s="8"/>
      <c r="ABR25" s="8"/>
      <c r="ABS25" s="8"/>
      <c r="ABT25" s="8"/>
      <c r="ABU25" s="8"/>
      <c r="ABV25" s="8"/>
      <c r="ABW25" s="8"/>
      <c r="ABX25" s="8"/>
      <c r="ABY25" s="8"/>
      <c r="ABZ25" s="8"/>
      <c r="ACA25" s="8"/>
      <c r="ACB25" s="8"/>
      <c r="ACC25" s="8"/>
      <c r="ACD25" s="8"/>
      <c r="ACE25" s="8"/>
      <c r="ACF25" s="8"/>
      <c r="ACG25" s="8"/>
      <c r="ACH25" s="8"/>
      <c r="ACI25" s="8"/>
      <c r="ACJ25" s="8"/>
      <c r="ACK25" s="8"/>
      <c r="ACL25" s="8"/>
      <c r="ACM25" s="8"/>
      <c r="ACN25" s="8"/>
      <c r="ACO25" s="8"/>
      <c r="ACP25" s="8"/>
      <c r="ACQ25" s="8"/>
      <c r="ACR25" s="8"/>
      <c r="ACS25" s="8"/>
      <c r="ACT25" s="8"/>
      <c r="ACU25" s="8"/>
      <c r="ACV25" s="8"/>
      <c r="ACW25" s="8"/>
      <c r="ACX25" s="8"/>
      <c r="ACY25" s="8"/>
      <c r="ACZ25" s="8"/>
      <c r="ADA25" s="8"/>
      <c r="ADB25" s="8"/>
      <c r="ADC25" s="8"/>
      <c r="ADD25" s="8"/>
      <c r="ADE25" s="8"/>
      <c r="ADF25" s="8"/>
      <c r="ADG25" s="8"/>
      <c r="ADH25" s="8"/>
      <c r="ADI25" s="8"/>
      <c r="ADJ25" s="8"/>
      <c r="ADK25" s="8"/>
      <c r="ADL25" s="8"/>
      <c r="ADM25" s="8"/>
      <c r="ADN25" s="8"/>
      <c r="ADO25" s="8"/>
      <c r="ADP25" s="8"/>
      <c r="ADQ25" s="8"/>
      <c r="ADR25" s="8"/>
      <c r="ADS25" s="8"/>
      <c r="ADT25" s="8"/>
      <c r="ADU25" s="8"/>
      <c r="ADV25" s="8"/>
      <c r="ADW25" s="8"/>
      <c r="ADX25" s="8"/>
      <c r="ADY25" s="8"/>
      <c r="ADZ25" s="8"/>
      <c r="AEA25" s="8"/>
      <c r="AEB25" s="8"/>
      <c r="AEC25" s="8"/>
      <c r="AED25" s="8"/>
      <c r="AEE25" s="8"/>
      <c r="AEF25" s="8"/>
      <c r="AEG25" s="8"/>
      <c r="AEH25" s="8"/>
      <c r="AEI25" s="8"/>
      <c r="AEJ25" s="8"/>
      <c r="AEK25" s="8"/>
      <c r="AEL25" s="8"/>
      <c r="AEM25" s="8"/>
      <c r="AEN25" s="8"/>
      <c r="AEO25" s="8"/>
      <c r="AEP25" s="8"/>
      <c r="AEQ25" s="8"/>
      <c r="AER25" s="8"/>
      <c r="AES25" s="8"/>
      <c r="AET25" s="8"/>
      <c r="AEU25" s="8"/>
      <c r="AEV25" s="8"/>
      <c r="AEW25" s="8"/>
      <c r="AEX25" s="8"/>
      <c r="AEY25" s="8"/>
      <c r="AEZ25" s="8"/>
      <c r="AFA25" s="8"/>
      <c r="AFB25" s="8"/>
      <c r="AFC25" s="8"/>
      <c r="AFD25" s="8"/>
      <c r="AFE25" s="8"/>
      <c r="AFF25" s="8"/>
      <c r="AFG25" s="8"/>
      <c r="AFH25" s="8"/>
      <c r="AFI25" s="8"/>
      <c r="AFJ25" s="8"/>
      <c r="AFK25" s="8"/>
      <c r="AFL25" s="8"/>
      <c r="AFM25" s="8"/>
      <c r="AFN25" s="8"/>
      <c r="AFO25" s="8"/>
      <c r="AFP25" s="8"/>
      <c r="AFQ25" s="8"/>
      <c r="AFR25" s="8"/>
      <c r="AFS25" s="8"/>
      <c r="AFT25" s="8"/>
      <c r="AFU25" s="8"/>
      <c r="AFV25" s="8"/>
      <c r="AFW25" s="8"/>
      <c r="AFX25" s="8"/>
      <c r="AFY25" s="8"/>
      <c r="AFZ25" s="8"/>
      <c r="AGA25" s="8"/>
      <c r="AGB25" s="8"/>
      <c r="AGC25" s="8"/>
      <c r="AGD25" s="8"/>
      <c r="AGE25" s="8"/>
      <c r="AGF25" s="8"/>
      <c r="AGG25" s="8"/>
      <c r="AGH25" s="8"/>
      <c r="AGI25" s="8"/>
      <c r="AGJ25" s="8"/>
      <c r="AGK25" s="8"/>
      <c r="AGL25" s="8"/>
      <c r="AGM25" s="8"/>
      <c r="AGN25" s="8"/>
      <c r="AGO25" s="8"/>
      <c r="AGP25" s="8"/>
      <c r="AGQ25" s="8"/>
      <c r="AGR25" s="8"/>
      <c r="AGS25" s="8"/>
      <c r="AGT25" s="8"/>
      <c r="AGU25" s="8"/>
      <c r="AGV25" s="8"/>
      <c r="AGW25" s="8"/>
      <c r="AGX25" s="8"/>
      <c r="AGY25" s="8"/>
      <c r="AGZ25" s="8"/>
      <c r="AHA25" s="8"/>
      <c r="AHB25" s="8"/>
      <c r="AHC25" s="8"/>
      <c r="AHD25" s="8"/>
      <c r="AHE25" s="8"/>
      <c r="AHF25" s="8"/>
      <c r="AHG25" s="8"/>
      <c r="AHH25" s="8"/>
      <c r="AHI25" s="8"/>
      <c r="AHJ25" s="8"/>
      <c r="AHK25" s="8"/>
      <c r="AHL25" s="8"/>
      <c r="AHM25" s="8"/>
      <c r="AHN25" s="8"/>
      <c r="AHO25" s="8"/>
      <c r="AHP25" s="8"/>
      <c r="AHQ25" s="8"/>
      <c r="AHR25" s="8"/>
      <c r="AHS25" s="8"/>
      <c r="AHT25" s="8"/>
      <c r="AHU25" s="8"/>
      <c r="AHV25" s="8"/>
      <c r="AHW25" s="8"/>
      <c r="AHX25" s="8"/>
      <c r="AHY25" s="8"/>
      <c r="AHZ25" s="8"/>
      <c r="AIA25" s="8"/>
      <c r="AIB25" s="8"/>
      <c r="AIC25" s="8"/>
      <c r="AID25" s="8"/>
      <c r="AIE25" s="8"/>
      <c r="AIF25" s="8"/>
      <c r="AIG25" s="8"/>
      <c r="AIH25" s="8"/>
      <c r="AII25" s="8"/>
      <c r="AIJ25" s="8"/>
      <c r="AIK25" s="8"/>
      <c r="AIL25" s="8"/>
      <c r="AIM25" s="8"/>
      <c r="AIN25" s="8"/>
      <c r="AIO25" s="8"/>
      <c r="AIP25" s="8"/>
      <c r="AIQ25" s="8"/>
      <c r="AIR25" s="8"/>
      <c r="AIS25" s="8"/>
      <c r="AIT25" s="8"/>
      <c r="AIU25" s="8"/>
      <c r="AIV25" s="8"/>
      <c r="AIW25" s="8"/>
      <c r="AIX25" s="8"/>
      <c r="AIY25" s="8"/>
      <c r="AIZ25" s="8"/>
      <c r="AJA25" s="8"/>
      <c r="AJB25" s="8"/>
      <c r="AJC25" s="8"/>
      <c r="AJD25" s="8"/>
      <c r="AJE25" s="8"/>
      <c r="AJF25" s="8"/>
      <c r="AJG25" s="8"/>
      <c r="AJH25" s="8"/>
      <c r="AJI25" s="8"/>
      <c r="AJJ25" s="8"/>
      <c r="AJK25" s="8"/>
      <c r="AJL25" s="8"/>
      <c r="AJM25" s="8"/>
      <c r="AJN25" s="8"/>
      <c r="AJO25" s="8"/>
      <c r="AJP25" s="8"/>
      <c r="AJQ25" s="8"/>
      <c r="AJR25" s="8"/>
      <c r="AJS25" s="8"/>
      <c r="AJT25" s="8"/>
      <c r="AJU25" s="8"/>
      <c r="AJV25" s="8"/>
      <c r="AJW25" s="8"/>
      <c r="AJX25" s="8"/>
      <c r="AJY25" s="8"/>
      <c r="AJZ25" s="8"/>
      <c r="AKA25" s="8"/>
      <c r="AKB25" s="8"/>
      <c r="AKC25" s="8"/>
      <c r="AKD25" s="8"/>
      <c r="AKE25" s="8"/>
      <c r="AKF25" s="8"/>
      <c r="AKG25" s="8"/>
      <c r="AKH25" s="8"/>
      <c r="AKI25" s="8"/>
      <c r="AKJ25" s="8"/>
      <c r="AKK25" s="8"/>
      <c r="AKL25" s="8"/>
      <c r="AKM25" s="8"/>
      <c r="AKN25" s="8"/>
      <c r="AKO25" s="8"/>
      <c r="AKP25" s="8"/>
      <c r="AKQ25" s="8"/>
      <c r="AKR25" s="8"/>
      <c r="AKS25" s="8"/>
      <c r="AKT25" s="8"/>
      <c r="AKU25" s="8"/>
      <c r="AKV25" s="8"/>
      <c r="AKW25" s="8"/>
      <c r="AKX25" s="8"/>
      <c r="AKY25" s="8"/>
      <c r="AKZ25" s="8"/>
      <c r="ALA25" s="8"/>
      <c r="ALB25" s="8"/>
      <c r="ALC25" s="8"/>
      <c r="ALD25" s="8"/>
      <c r="ALE25" s="8"/>
      <c r="ALF25" s="8"/>
      <c r="ALG25" s="8"/>
      <c r="ALH25" s="8"/>
      <c r="ALI25" s="8"/>
      <c r="ALJ25" s="8"/>
      <c r="ALK25" s="8"/>
      <c r="ALL25" s="8"/>
      <c r="ALM25" s="8"/>
      <c r="ALN25" s="8"/>
      <c r="ALO25" s="8"/>
      <c r="ALP25" s="8"/>
      <c r="ALQ25" s="8"/>
      <c r="ALR25" s="8"/>
      <c r="ALS25" s="8"/>
      <c r="ALT25" s="8"/>
      <c r="ALU25" s="8"/>
      <c r="ALV25" s="8"/>
      <c r="ALW25" s="8"/>
      <c r="ALX25" s="8"/>
      <c r="ALY25" s="8"/>
      <c r="ALZ25" s="8"/>
      <c r="AMA25" s="8"/>
      <c r="AMB25" s="8"/>
      <c r="AMC25" s="8"/>
      <c r="AMD25" s="8"/>
      <c r="AME25" s="8"/>
    </row>
    <row r="26" spans="2:1019" ht="27">
      <c r="B26" s="1131"/>
      <c r="C26" s="1133" t="s">
        <v>419</v>
      </c>
      <c r="D26" s="1135" t="s">
        <v>420</v>
      </c>
      <c r="E26" s="1138" t="s">
        <v>621</v>
      </c>
      <c r="F26" s="51" t="s">
        <v>658</v>
      </c>
      <c r="G26" s="249" t="s">
        <v>378</v>
      </c>
      <c r="H26" s="249" t="s">
        <v>378</v>
      </c>
      <c r="I26" s="1128">
        <v>1</v>
      </c>
      <c r="J26" s="245" t="s">
        <v>378</v>
      </c>
      <c r="K26" s="1126" t="s">
        <v>660</v>
      </c>
      <c r="L26" s="1128" t="s">
        <v>650</v>
      </c>
      <c r="M26" s="1126" t="s">
        <v>690</v>
      </c>
      <c r="N26" s="1126" t="s">
        <v>664</v>
      </c>
      <c r="O26" s="1126" t="s">
        <v>659</v>
      </c>
      <c r="P26" s="1126"/>
      <c r="Q26" s="1126" t="s">
        <v>1246</v>
      </c>
      <c r="R26" s="1123" t="s">
        <v>1254</v>
      </c>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8"/>
      <c r="PC26" s="8"/>
      <c r="PD26" s="8"/>
      <c r="PE26" s="8"/>
      <c r="PF26" s="8"/>
      <c r="PG26" s="8"/>
      <c r="PH26" s="8"/>
      <c r="PI26" s="8"/>
      <c r="PJ26" s="8"/>
      <c r="PK26" s="8"/>
      <c r="PL26" s="8"/>
      <c r="PM26" s="8"/>
      <c r="PN26" s="8"/>
      <c r="PO26" s="8"/>
      <c r="PP26" s="8"/>
      <c r="PQ26" s="8"/>
      <c r="PR26" s="8"/>
      <c r="PS26" s="8"/>
      <c r="PT26" s="8"/>
      <c r="PU26" s="8"/>
      <c r="PV26" s="8"/>
      <c r="PW26" s="8"/>
      <c r="PX26" s="8"/>
      <c r="PY26" s="8"/>
      <c r="PZ26" s="8"/>
      <c r="QA26" s="8"/>
      <c r="QB26" s="8"/>
      <c r="QC26" s="8"/>
      <c r="QD26" s="8"/>
      <c r="QE26" s="8"/>
      <c r="QF26" s="8"/>
      <c r="QG26" s="8"/>
      <c r="QH26" s="8"/>
      <c r="QI26" s="8"/>
      <c r="QJ26" s="8"/>
      <c r="QK26" s="8"/>
      <c r="QL26" s="8"/>
      <c r="QM26" s="8"/>
      <c r="QN26" s="8"/>
      <c r="QO26" s="8"/>
      <c r="QP26" s="8"/>
      <c r="QQ26" s="8"/>
      <c r="QR26" s="8"/>
      <c r="QS26" s="8"/>
      <c r="QT26" s="8"/>
      <c r="QU26" s="8"/>
      <c r="QV26" s="8"/>
      <c r="QW26" s="8"/>
      <c r="QX26" s="8"/>
      <c r="QY26" s="8"/>
      <c r="QZ26" s="8"/>
      <c r="RA26" s="8"/>
      <c r="RB26" s="8"/>
      <c r="RC26" s="8"/>
      <c r="RD26" s="8"/>
      <c r="RE26" s="8"/>
      <c r="RF26" s="8"/>
      <c r="RG26" s="8"/>
      <c r="RH26" s="8"/>
      <c r="RI26" s="8"/>
      <c r="RJ26" s="8"/>
      <c r="RK26" s="8"/>
      <c r="RL26" s="8"/>
      <c r="RM26" s="8"/>
      <c r="RN26" s="8"/>
      <c r="RO26" s="8"/>
      <c r="RP26" s="8"/>
      <c r="RQ26" s="8"/>
      <c r="RR26" s="8"/>
      <c r="RS26" s="8"/>
      <c r="RT26" s="8"/>
      <c r="RU26" s="8"/>
      <c r="RV26" s="8"/>
      <c r="RW26" s="8"/>
      <c r="RX26" s="8"/>
      <c r="RY26" s="8"/>
      <c r="RZ26" s="8"/>
      <c r="SA26" s="8"/>
      <c r="SB26" s="8"/>
      <c r="SC26" s="8"/>
      <c r="SD26" s="8"/>
      <c r="SE26" s="8"/>
      <c r="SF26" s="8"/>
      <c r="SG26" s="8"/>
      <c r="SH26" s="8"/>
      <c r="SI26" s="8"/>
      <c r="SJ26" s="8"/>
      <c r="SK26" s="8"/>
      <c r="SL26" s="8"/>
      <c r="SM26" s="8"/>
      <c r="SN26" s="8"/>
      <c r="SO26" s="8"/>
      <c r="SP26" s="8"/>
      <c r="SQ26" s="8"/>
      <c r="SR26" s="8"/>
      <c r="SS26" s="8"/>
      <c r="ST26" s="8"/>
      <c r="SU26" s="8"/>
      <c r="SV26" s="8"/>
      <c r="SW26" s="8"/>
      <c r="SX26" s="8"/>
      <c r="SY26" s="8"/>
      <c r="SZ26" s="8"/>
      <c r="TA26" s="8"/>
      <c r="TB26" s="8"/>
      <c r="TC26" s="8"/>
      <c r="TD26" s="8"/>
      <c r="TE26" s="8"/>
      <c r="TF26" s="8"/>
      <c r="TG26" s="8"/>
      <c r="TH26" s="8"/>
      <c r="TI26" s="8"/>
      <c r="TJ26" s="8"/>
      <c r="TK26" s="8"/>
      <c r="TL26" s="8"/>
      <c r="TM26" s="8"/>
      <c r="TN26" s="8"/>
      <c r="TO26" s="8"/>
      <c r="TP26" s="8"/>
      <c r="TQ26" s="8"/>
      <c r="TR26" s="8"/>
      <c r="TS26" s="8"/>
      <c r="TT26" s="8"/>
      <c r="TU26" s="8"/>
      <c r="TV26" s="8"/>
      <c r="TW26" s="8"/>
      <c r="TX26" s="8"/>
      <c r="TY26" s="8"/>
      <c r="TZ26" s="8"/>
      <c r="UA26" s="8"/>
      <c r="UB26" s="8"/>
      <c r="UC26" s="8"/>
      <c r="UD26" s="8"/>
      <c r="UE26" s="8"/>
      <c r="UF26" s="8"/>
      <c r="UG26" s="8"/>
      <c r="UH26" s="8"/>
      <c r="UI26" s="8"/>
      <c r="UJ26" s="8"/>
      <c r="UK26" s="8"/>
      <c r="UL26" s="8"/>
      <c r="UM26" s="8"/>
      <c r="UN26" s="8"/>
      <c r="UO26" s="8"/>
      <c r="UP26" s="8"/>
      <c r="UQ26" s="8"/>
      <c r="UR26" s="8"/>
      <c r="US26" s="8"/>
      <c r="UT26" s="8"/>
      <c r="UU26" s="8"/>
      <c r="UV26" s="8"/>
      <c r="UW26" s="8"/>
      <c r="UX26" s="8"/>
      <c r="UY26" s="8"/>
      <c r="UZ26" s="8"/>
      <c r="VA26" s="8"/>
      <c r="VB26" s="8"/>
      <c r="VC26" s="8"/>
      <c r="VD26" s="8"/>
      <c r="VE26" s="8"/>
      <c r="VF26" s="8"/>
      <c r="VG26" s="8"/>
      <c r="VH26" s="8"/>
      <c r="VI26" s="8"/>
      <c r="VJ26" s="8"/>
      <c r="VK26" s="8"/>
      <c r="VL26" s="8"/>
      <c r="VM26" s="8"/>
      <c r="VN26" s="8"/>
      <c r="VO26" s="8"/>
      <c r="VP26" s="8"/>
      <c r="VQ26" s="8"/>
      <c r="VR26" s="8"/>
      <c r="VS26" s="8"/>
      <c r="VT26" s="8"/>
      <c r="VU26" s="8"/>
      <c r="VV26" s="8"/>
      <c r="VW26" s="8"/>
      <c r="VX26" s="8"/>
      <c r="VY26" s="8"/>
      <c r="VZ26" s="8"/>
      <c r="WA26" s="8"/>
      <c r="WB26" s="8"/>
      <c r="WC26" s="8"/>
      <c r="WD26" s="8"/>
      <c r="WE26" s="8"/>
      <c r="WF26" s="8"/>
      <c r="WG26" s="8"/>
      <c r="WH26" s="8"/>
      <c r="WI26" s="8"/>
      <c r="WJ26" s="8"/>
      <c r="WK26" s="8"/>
      <c r="WL26" s="8"/>
      <c r="WM26" s="8"/>
      <c r="WN26" s="8"/>
      <c r="WO26" s="8"/>
      <c r="WP26" s="8"/>
      <c r="WQ26" s="8"/>
      <c r="WR26" s="8"/>
      <c r="WS26" s="8"/>
      <c r="WT26" s="8"/>
      <c r="WU26" s="8"/>
      <c r="WV26" s="8"/>
      <c r="WW26" s="8"/>
      <c r="WX26" s="8"/>
      <c r="WY26" s="8"/>
      <c r="WZ26" s="8"/>
      <c r="XA26" s="8"/>
      <c r="XB26" s="8"/>
      <c r="XC26" s="8"/>
      <c r="XD26" s="8"/>
      <c r="XE26" s="8"/>
      <c r="XF26" s="8"/>
      <c r="XG26" s="8"/>
      <c r="XH26" s="8"/>
      <c r="XI26" s="8"/>
      <c r="XJ26" s="8"/>
      <c r="XK26" s="8"/>
      <c r="XL26" s="8"/>
      <c r="XM26" s="8"/>
      <c r="XN26" s="8"/>
      <c r="XO26" s="8"/>
      <c r="XP26" s="8"/>
      <c r="XQ26" s="8"/>
      <c r="XR26" s="8"/>
      <c r="XS26" s="8"/>
      <c r="XT26" s="8"/>
      <c r="XU26" s="8"/>
      <c r="XV26" s="8"/>
      <c r="XW26" s="8"/>
      <c r="XX26" s="8"/>
      <c r="XY26" s="8"/>
      <c r="XZ26" s="8"/>
      <c r="YA26" s="8"/>
      <c r="YB26" s="8"/>
      <c r="YC26" s="8"/>
      <c r="YD26" s="8"/>
      <c r="YE26" s="8"/>
      <c r="YF26" s="8"/>
      <c r="YG26" s="8"/>
      <c r="YH26" s="8"/>
      <c r="YI26" s="8"/>
      <c r="YJ26" s="8"/>
      <c r="YK26" s="8"/>
      <c r="YL26" s="8"/>
      <c r="YM26" s="8"/>
      <c r="YN26" s="8"/>
      <c r="YO26" s="8"/>
      <c r="YP26" s="8"/>
      <c r="YQ26" s="8"/>
      <c r="YR26" s="8"/>
      <c r="YS26" s="8"/>
      <c r="YT26" s="8"/>
      <c r="YU26" s="8"/>
      <c r="YV26" s="8"/>
      <c r="YW26" s="8"/>
      <c r="YX26" s="8"/>
      <c r="YY26" s="8"/>
      <c r="YZ26" s="8"/>
      <c r="ZA26" s="8"/>
      <c r="ZB26" s="8"/>
      <c r="ZC26" s="8"/>
      <c r="ZD26" s="8"/>
      <c r="ZE26" s="8"/>
      <c r="ZF26" s="8"/>
      <c r="ZG26" s="8"/>
      <c r="ZH26" s="8"/>
      <c r="ZI26" s="8"/>
      <c r="ZJ26" s="8"/>
      <c r="ZK26" s="8"/>
      <c r="ZL26" s="8"/>
      <c r="ZM26" s="8"/>
      <c r="ZN26" s="8"/>
      <c r="ZO26" s="8"/>
      <c r="ZP26" s="8"/>
      <c r="ZQ26" s="8"/>
      <c r="ZR26" s="8"/>
      <c r="ZS26" s="8"/>
      <c r="ZT26" s="8"/>
      <c r="ZU26" s="8"/>
      <c r="ZV26" s="8"/>
      <c r="ZW26" s="8"/>
      <c r="ZX26" s="8"/>
      <c r="ZY26" s="8"/>
      <c r="ZZ26" s="8"/>
      <c r="AAA26" s="8"/>
      <c r="AAB26" s="8"/>
      <c r="AAC26" s="8"/>
      <c r="AAD26" s="8"/>
      <c r="AAE26" s="8"/>
      <c r="AAF26" s="8"/>
      <c r="AAG26" s="8"/>
      <c r="AAH26" s="8"/>
      <c r="AAI26" s="8"/>
      <c r="AAJ26" s="8"/>
      <c r="AAK26" s="8"/>
      <c r="AAL26" s="8"/>
      <c r="AAM26" s="8"/>
      <c r="AAN26" s="8"/>
      <c r="AAO26" s="8"/>
      <c r="AAP26" s="8"/>
      <c r="AAQ26" s="8"/>
      <c r="AAR26" s="8"/>
      <c r="AAS26" s="8"/>
      <c r="AAT26" s="8"/>
      <c r="AAU26" s="8"/>
      <c r="AAV26" s="8"/>
      <c r="AAW26" s="8"/>
      <c r="AAX26" s="8"/>
      <c r="AAY26" s="8"/>
      <c r="AAZ26" s="8"/>
      <c r="ABA26" s="8"/>
      <c r="ABB26" s="8"/>
      <c r="ABC26" s="8"/>
      <c r="ABD26" s="8"/>
      <c r="ABE26" s="8"/>
      <c r="ABF26" s="8"/>
      <c r="ABG26" s="8"/>
      <c r="ABH26" s="8"/>
      <c r="ABI26" s="8"/>
      <c r="ABJ26" s="8"/>
      <c r="ABK26" s="8"/>
      <c r="ABL26" s="8"/>
      <c r="ABM26" s="8"/>
      <c r="ABN26" s="8"/>
      <c r="ABO26" s="8"/>
      <c r="ABP26" s="8"/>
      <c r="ABQ26" s="8"/>
      <c r="ABR26" s="8"/>
      <c r="ABS26" s="8"/>
      <c r="ABT26" s="8"/>
      <c r="ABU26" s="8"/>
      <c r="ABV26" s="8"/>
      <c r="ABW26" s="8"/>
      <c r="ABX26" s="8"/>
      <c r="ABY26" s="8"/>
      <c r="ABZ26" s="8"/>
      <c r="ACA26" s="8"/>
      <c r="ACB26" s="8"/>
      <c r="ACC26" s="8"/>
      <c r="ACD26" s="8"/>
      <c r="ACE26" s="8"/>
      <c r="ACF26" s="8"/>
      <c r="ACG26" s="8"/>
      <c r="ACH26" s="8"/>
      <c r="ACI26" s="8"/>
      <c r="ACJ26" s="8"/>
      <c r="ACK26" s="8"/>
      <c r="ACL26" s="8"/>
      <c r="ACM26" s="8"/>
      <c r="ACN26" s="8"/>
      <c r="ACO26" s="8"/>
      <c r="ACP26" s="8"/>
      <c r="ACQ26" s="8"/>
      <c r="ACR26" s="8"/>
      <c r="ACS26" s="8"/>
      <c r="ACT26" s="8"/>
      <c r="ACU26" s="8"/>
      <c r="ACV26" s="8"/>
      <c r="ACW26" s="8"/>
      <c r="ACX26" s="8"/>
      <c r="ACY26" s="8"/>
      <c r="ACZ26" s="8"/>
      <c r="ADA26" s="8"/>
      <c r="ADB26" s="8"/>
      <c r="ADC26" s="8"/>
      <c r="ADD26" s="8"/>
      <c r="ADE26" s="8"/>
      <c r="ADF26" s="8"/>
      <c r="ADG26" s="8"/>
      <c r="ADH26" s="8"/>
      <c r="ADI26" s="8"/>
      <c r="ADJ26" s="8"/>
      <c r="ADK26" s="8"/>
      <c r="ADL26" s="8"/>
      <c r="ADM26" s="8"/>
      <c r="ADN26" s="8"/>
      <c r="ADO26" s="8"/>
      <c r="ADP26" s="8"/>
      <c r="ADQ26" s="8"/>
      <c r="ADR26" s="8"/>
      <c r="ADS26" s="8"/>
      <c r="ADT26" s="8"/>
      <c r="ADU26" s="8"/>
      <c r="ADV26" s="8"/>
      <c r="ADW26" s="8"/>
      <c r="ADX26" s="8"/>
      <c r="ADY26" s="8"/>
      <c r="ADZ26" s="8"/>
      <c r="AEA26" s="8"/>
      <c r="AEB26" s="8"/>
      <c r="AEC26" s="8"/>
      <c r="AED26" s="8"/>
      <c r="AEE26" s="8"/>
      <c r="AEF26" s="8"/>
      <c r="AEG26" s="8"/>
      <c r="AEH26" s="8"/>
      <c r="AEI26" s="8"/>
      <c r="AEJ26" s="8"/>
      <c r="AEK26" s="8"/>
      <c r="AEL26" s="8"/>
      <c r="AEM26" s="8"/>
      <c r="AEN26" s="8"/>
      <c r="AEO26" s="8"/>
      <c r="AEP26" s="8"/>
      <c r="AEQ26" s="8"/>
      <c r="AER26" s="8"/>
      <c r="AES26" s="8"/>
      <c r="AET26" s="8"/>
      <c r="AEU26" s="8"/>
      <c r="AEV26" s="8"/>
      <c r="AEW26" s="8"/>
      <c r="AEX26" s="8"/>
      <c r="AEY26" s="8"/>
      <c r="AEZ26" s="8"/>
      <c r="AFA26" s="8"/>
      <c r="AFB26" s="8"/>
      <c r="AFC26" s="8"/>
      <c r="AFD26" s="8"/>
      <c r="AFE26" s="8"/>
      <c r="AFF26" s="8"/>
      <c r="AFG26" s="8"/>
      <c r="AFH26" s="8"/>
      <c r="AFI26" s="8"/>
      <c r="AFJ26" s="8"/>
      <c r="AFK26" s="8"/>
      <c r="AFL26" s="8"/>
      <c r="AFM26" s="8"/>
      <c r="AFN26" s="8"/>
      <c r="AFO26" s="8"/>
      <c r="AFP26" s="8"/>
      <c r="AFQ26" s="8"/>
      <c r="AFR26" s="8"/>
      <c r="AFS26" s="8"/>
      <c r="AFT26" s="8"/>
      <c r="AFU26" s="8"/>
      <c r="AFV26" s="8"/>
      <c r="AFW26" s="8"/>
      <c r="AFX26" s="8"/>
      <c r="AFY26" s="8"/>
      <c r="AFZ26" s="8"/>
      <c r="AGA26" s="8"/>
      <c r="AGB26" s="8"/>
      <c r="AGC26" s="8"/>
      <c r="AGD26" s="8"/>
      <c r="AGE26" s="8"/>
      <c r="AGF26" s="8"/>
      <c r="AGG26" s="8"/>
      <c r="AGH26" s="8"/>
      <c r="AGI26" s="8"/>
      <c r="AGJ26" s="8"/>
      <c r="AGK26" s="8"/>
      <c r="AGL26" s="8"/>
      <c r="AGM26" s="8"/>
      <c r="AGN26" s="8"/>
      <c r="AGO26" s="8"/>
      <c r="AGP26" s="8"/>
      <c r="AGQ26" s="8"/>
      <c r="AGR26" s="8"/>
      <c r="AGS26" s="8"/>
      <c r="AGT26" s="8"/>
      <c r="AGU26" s="8"/>
      <c r="AGV26" s="8"/>
      <c r="AGW26" s="8"/>
      <c r="AGX26" s="8"/>
      <c r="AGY26" s="8"/>
      <c r="AGZ26" s="8"/>
      <c r="AHA26" s="8"/>
      <c r="AHB26" s="8"/>
      <c r="AHC26" s="8"/>
      <c r="AHD26" s="8"/>
      <c r="AHE26" s="8"/>
      <c r="AHF26" s="8"/>
      <c r="AHG26" s="8"/>
      <c r="AHH26" s="8"/>
      <c r="AHI26" s="8"/>
      <c r="AHJ26" s="8"/>
      <c r="AHK26" s="8"/>
      <c r="AHL26" s="8"/>
      <c r="AHM26" s="8"/>
      <c r="AHN26" s="8"/>
      <c r="AHO26" s="8"/>
      <c r="AHP26" s="8"/>
      <c r="AHQ26" s="8"/>
      <c r="AHR26" s="8"/>
      <c r="AHS26" s="8"/>
      <c r="AHT26" s="8"/>
      <c r="AHU26" s="8"/>
      <c r="AHV26" s="8"/>
      <c r="AHW26" s="8"/>
      <c r="AHX26" s="8"/>
      <c r="AHY26" s="8"/>
      <c r="AHZ26" s="8"/>
      <c r="AIA26" s="8"/>
      <c r="AIB26" s="8"/>
      <c r="AIC26" s="8"/>
      <c r="AID26" s="8"/>
      <c r="AIE26" s="8"/>
      <c r="AIF26" s="8"/>
      <c r="AIG26" s="8"/>
      <c r="AIH26" s="8"/>
      <c r="AII26" s="8"/>
      <c r="AIJ26" s="8"/>
      <c r="AIK26" s="8"/>
      <c r="AIL26" s="8"/>
      <c r="AIM26" s="8"/>
      <c r="AIN26" s="8"/>
      <c r="AIO26" s="8"/>
      <c r="AIP26" s="8"/>
      <c r="AIQ26" s="8"/>
      <c r="AIR26" s="8"/>
      <c r="AIS26" s="8"/>
      <c r="AIT26" s="8"/>
      <c r="AIU26" s="8"/>
      <c r="AIV26" s="8"/>
      <c r="AIW26" s="8"/>
      <c r="AIX26" s="8"/>
      <c r="AIY26" s="8"/>
      <c r="AIZ26" s="8"/>
      <c r="AJA26" s="8"/>
      <c r="AJB26" s="8"/>
      <c r="AJC26" s="8"/>
      <c r="AJD26" s="8"/>
      <c r="AJE26" s="8"/>
      <c r="AJF26" s="8"/>
      <c r="AJG26" s="8"/>
      <c r="AJH26" s="8"/>
      <c r="AJI26" s="8"/>
      <c r="AJJ26" s="8"/>
      <c r="AJK26" s="8"/>
      <c r="AJL26" s="8"/>
      <c r="AJM26" s="8"/>
      <c r="AJN26" s="8"/>
      <c r="AJO26" s="8"/>
      <c r="AJP26" s="8"/>
      <c r="AJQ26" s="8"/>
      <c r="AJR26" s="8"/>
      <c r="AJS26" s="8"/>
      <c r="AJT26" s="8"/>
      <c r="AJU26" s="8"/>
      <c r="AJV26" s="8"/>
      <c r="AJW26" s="8"/>
      <c r="AJX26" s="8"/>
      <c r="AJY26" s="8"/>
      <c r="AJZ26" s="8"/>
      <c r="AKA26" s="8"/>
      <c r="AKB26" s="8"/>
      <c r="AKC26" s="8"/>
      <c r="AKD26" s="8"/>
      <c r="AKE26" s="8"/>
      <c r="AKF26" s="8"/>
      <c r="AKG26" s="8"/>
      <c r="AKH26" s="8"/>
      <c r="AKI26" s="8"/>
      <c r="AKJ26" s="8"/>
      <c r="AKK26" s="8"/>
      <c r="AKL26" s="8"/>
      <c r="AKM26" s="8"/>
      <c r="AKN26" s="8"/>
      <c r="AKO26" s="8"/>
      <c r="AKP26" s="8"/>
      <c r="AKQ26" s="8"/>
      <c r="AKR26" s="8"/>
      <c r="AKS26" s="8"/>
      <c r="AKT26" s="8"/>
      <c r="AKU26" s="8"/>
      <c r="AKV26" s="8"/>
      <c r="AKW26" s="8"/>
      <c r="AKX26" s="8"/>
      <c r="AKY26" s="8"/>
      <c r="AKZ26" s="8"/>
      <c r="ALA26" s="8"/>
      <c r="ALB26" s="8"/>
      <c r="ALC26" s="8"/>
      <c r="ALD26" s="8"/>
      <c r="ALE26" s="8"/>
      <c r="ALF26" s="8"/>
      <c r="ALG26" s="8"/>
      <c r="ALH26" s="8"/>
      <c r="ALI26" s="8"/>
      <c r="ALJ26" s="8"/>
      <c r="ALK26" s="8"/>
      <c r="ALL26" s="8"/>
      <c r="ALM26" s="8"/>
      <c r="ALN26" s="8"/>
      <c r="ALO26" s="8"/>
      <c r="ALP26" s="8"/>
      <c r="ALQ26" s="8"/>
      <c r="ALR26" s="8"/>
      <c r="ALS26" s="8"/>
      <c r="ALT26" s="8"/>
      <c r="ALU26" s="8"/>
      <c r="ALV26" s="8"/>
      <c r="ALW26" s="8"/>
      <c r="ALX26" s="8"/>
      <c r="ALY26" s="8"/>
      <c r="ALZ26" s="8"/>
      <c r="AMA26" s="8"/>
      <c r="AMB26" s="8"/>
      <c r="AMC26" s="8"/>
      <c r="AMD26" s="8"/>
      <c r="AME26" s="8"/>
    </row>
    <row r="27" spans="1:1019" ht="27">
      <c r="A27" s="8"/>
      <c r="B27" s="1132"/>
      <c r="C27" s="1145"/>
      <c r="D27" s="1137"/>
      <c r="E27" s="1140"/>
      <c r="F27" s="51" t="s">
        <v>657</v>
      </c>
      <c r="G27" s="249" t="s">
        <v>378</v>
      </c>
      <c r="H27" s="249" t="s">
        <v>378</v>
      </c>
      <c r="I27" s="1146"/>
      <c r="J27" s="249" t="s">
        <v>378</v>
      </c>
      <c r="K27" s="1127"/>
      <c r="L27" s="1146"/>
      <c r="M27" s="1127"/>
      <c r="N27" s="1127"/>
      <c r="O27" s="1127"/>
      <c r="P27" s="1127"/>
      <c r="Q27" s="1127"/>
      <c r="R27" s="1125"/>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8"/>
      <c r="PC27" s="8"/>
      <c r="PD27" s="8"/>
      <c r="PE27" s="8"/>
      <c r="PF27" s="8"/>
      <c r="PG27" s="8"/>
      <c r="PH27" s="8"/>
      <c r="PI27" s="8"/>
      <c r="PJ27" s="8"/>
      <c r="PK27" s="8"/>
      <c r="PL27" s="8"/>
      <c r="PM27" s="8"/>
      <c r="PN27" s="8"/>
      <c r="PO27" s="8"/>
      <c r="PP27" s="8"/>
      <c r="PQ27" s="8"/>
      <c r="PR27" s="8"/>
      <c r="PS27" s="8"/>
      <c r="PT27" s="8"/>
      <c r="PU27" s="8"/>
      <c r="PV27" s="8"/>
      <c r="PW27" s="8"/>
      <c r="PX27" s="8"/>
      <c r="PY27" s="8"/>
      <c r="PZ27" s="8"/>
      <c r="QA27" s="8"/>
      <c r="QB27" s="8"/>
      <c r="QC27" s="8"/>
      <c r="QD27" s="8"/>
      <c r="QE27" s="8"/>
      <c r="QF27" s="8"/>
      <c r="QG27" s="8"/>
      <c r="QH27" s="8"/>
      <c r="QI27" s="8"/>
      <c r="QJ27" s="8"/>
      <c r="QK27" s="8"/>
      <c r="QL27" s="8"/>
      <c r="QM27" s="8"/>
      <c r="QN27" s="8"/>
      <c r="QO27" s="8"/>
      <c r="QP27" s="8"/>
      <c r="QQ27" s="8"/>
      <c r="QR27" s="8"/>
      <c r="QS27" s="8"/>
      <c r="QT27" s="8"/>
      <c r="QU27" s="8"/>
      <c r="QV27" s="8"/>
      <c r="QW27" s="8"/>
      <c r="QX27" s="8"/>
      <c r="QY27" s="8"/>
      <c r="QZ27" s="8"/>
      <c r="RA27" s="8"/>
      <c r="RB27" s="8"/>
      <c r="RC27" s="8"/>
      <c r="RD27" s="8"/>
      <c r="RE27" s="8"/>
      <c r="RF27" s="8"/>
      <c r="RG27" s="8"/>
      <c r="RH27" s="8"/>
      <c r="RI27" s="8"/>
      <c r="RJ27" s="8"/>
      <c r="RK27" s="8"/>
      <c r="RL27" s="8"/>
      <c r="RM27" s="8"/>
      <c r="RN27" s="8"/>
      <c r="RO27" s="8"/>
      <c r="RP27" s="8"/>
      <c r="RQ27" s="8"/>
      <c r="RR27" s="8"/>
      <c r="RS27" s="8"/>
      <c r="RT27" s="8"/>
      <c r="RU27" s="8"/>
      <c r="RV27" s="8"/>
      <c r="RW27" s="8"/>
      <c r="RX27" s="8"/>
      <c r="RY27" s="8"/>
      <c r="RZ27" s="8"/>
      <c r="SA27" s="8"/>
      <c r="SB27" s="8"/>
      <c r="SC27" s="8"/>
      <c r="SD27" s="8"/>
      <c r="SE27" s="8"/>
      <c r="SF27" s="8"/>
      <c r="SG27" s="8"/>
      <c r="SH27" s="8"/>
      <c r="SI27" s="8"/>
      <c r="SJ27" s="8"/>
      <c r="SK27" s="8"/>
      <c r="SL27" s="8"/>
      <c r="SM27" s="8"/>
      <c r="SN27" s="8"/>
      <c r="SO27" s="8"/>
      <c r="SP27" s="8"/>
      <c r="SQ27" s="8"/>
      <c r="SR27" s="8"/>
      <c r="SS27" s="8"/>
      <c r="ST27" s="8"/>
      <c r="SU27" s="8"/>
      <c r="SV27" s="8"/>
      <c r="SW27" s="8"/>
      <c r="SX27" s="8"/>
      <c r="SY27" s="8"/>
      <c r="SZ27" s="8"/>
      <c r="TA27" s="8"/>
      <c r="TB27" s="8"/>
      <c r="TC27" s="8"/>
      <c r="TD27" s="8"/>
      <c r="TE27" s="8"/>
      <c r="TF27" s="8"/>
      <c r="TG27" s="8"/>
      <c r="TH27" s="8"/>
      <c r="TI27" s="8"/>
      <c r="TJ27" s="8"/>
      <c r="TK27" s="8"/>
      <c r="TL27" s="8"/>
      <c r="TM27" s="8"/>
      <c r="TN27" s="8"/>
      <c r="TO27" s="8"/>
      <c r="TP27" s="8"/>
      <c r="TQ27" s="8"/>
      <c r="TR27" s="8"/>
      <c r="TS27" s="8"/>
      <c r="TT27" s="8"/>
      <c r="TU27" s="8"/>
      <c r="TV27" s="8"/>
      <c r="TW27" s="8"/>
      <c r="TX27" s="8"/>
      <c r="TY27" s="8"/>
      <c r="TZ27" s="8"/>
      <c r="UA27" s="8"/>
      <c r="UB27" s="8"/>
      <c r="UC27" s="8"/>
      <c r="UD27" s="8"/>
      <c r="UE27" s="8"/>
      <c r="UF27" s="8"/>
      <c r="UG27" s="8"/>
      <c r="UH27" s="8"/>
      <c r="UI27" s="8"/>
      <c r="UJ27" s="8"/>
      <c r="UK27" s="8"/>
      <c r="UL27" s="8"/>
      <c r="UM27" s="8"/>
      <c r="UN27" s="8"/>
      <c r="UO27" s="8"/>
      <c r="UP27" s="8"/>
      <c r="UQ27" s="8"/>
      <c r="UR27" s="8"/>
      <c r="US27" s="8"/>
      <c r="UT27" s="8"/>
      <c r="UU27" s="8"/>
      <c r="UV27" s="8"/>
      <c r="UW27" s="8"/>
      <c r="UX27" s="8"/>
      <c r="UY27" s="8"/>
      <c r="UZ27" s="8"/>
      <c r="VA27" s="8"/>
      <c r="VB27" s="8"/>
      <c r="VC27" s="8"/>
      <c r="VD27" s="8"/>
      <c r="VE27" s="8"/>
      <c r="VF27" s="8"/>
      <c r="VG27" s="8"/>
      <c r="VH27" s="8"/>
      <c r="VI27" s="8"/>
      <c r="VJ27" s="8"/>
      <c r="VK27" s="8"/>
      <c r="VL27" s="8"/>
      <c r="VM27" s="8"/>
      <c r="VN27" s="8"/>
      <c r="VO27" s="8"/>
      <c r="VP27" s="8"/>
      <c r="VQ27" s="8"/>
      <c r="VR27" s="8"/>
      <c r="VS27" s="8"/>
      <c r="VT27" s="8"/>
      <c r="VU27" s="8"/>
      <c r="VV27" s="8"/>
      <c r="VW27" s="8"/>
      <c r="VX27" s="8"/>
      <c r="VY27" s="8"/>
      <c r="VZ27" s="8"/>
      <c r="WA27" s="8"/>
      <c r="WB27" s="8"/>
      <c r="WC27" s="8"/>
      <c r="WD27" s="8"/>
      <c r="WE27" s="8"/>
      <c r="WF27" s="8"/>
      <c r="WG27" s="8"/>
      <c r="WH27" s="8"/>
      <c r="WI27" s="8"/>
      <c r="WJ27" s="8"/>
      <c r="WK27" s="8"/>
      <c r="WL27" s="8"/>
      <c r="WM27" s="8"/>
      <c r="WN27" s="8"/>
      <c r="WO27" s="8"/>
      <c r="WP27" s="8"/>
      <c r="WQ27" s="8"/>
      <c r="WR27" s="8"/>
      <c r="WS27" s="8"/>
      <c r="WT27" s="8"/>
      <c r="WU27" s="8"/>
      <c r="WV27" s="8"/>
      <c r="WW27" s="8"/>
      <c r="WX27" s="8"/>
      <c r="WY27" s="8"/>
      <c r="WZ27" s="8"/>
      <c r="XA27" s="8"/>
      <c r="XB27" s="8"/>
      <c r="XC27" s="8"/>
      <c r="XD27" s="8"/>
      <c r="XE27" s="8"/>
      <c r="XF27" s="8"/>
      <c r="XG27" s="8"/>
      <c r="XH27" s="8"/>
      <c r="XI27" s="8"/>
      <c r="XJ27" s="8"/>
      <c r="XK27" s="8"/>
      <c r="XL27" s="8"/>
      <c r="XM27" s="8"/>
      <c r="XN27" s="8"/>
      <c r="XO27" s="8"/>
      <c r="XP27" s="8"/>
      <c r="XQ27" s="8"/>
      <c r="XR27" s="8"/>
      <c r="XS27" s="8"/>
      <c r="XT27" s="8"/>
      <c r="XU27" s="8"/>
      <c r="XV27" s="8"/>
      <c r="XW27" s="8"/>
      <c r="XX27" s="8"/>
      <c r="XY27" s="8"/>
      <c r="XZ27" s="8"/>
      <c r="YA27" s="8"/>
      <c r="YB27" s="8"/>
      <c r="YC27" s="8"/>
      <c r="YD27" s="8"/>
      <c r="YE27" s="8"/>
      <c r="YF27" s="8"/>
      <c r="YG27" s="8"/>
      <c r="YH27" s="8"/>
      <c r="YI27" s="8"/>
      <c r="YJ27" s="8"/>
      <c r="YK27" s="8"/>
      <c r="YL27" s="8"/>
      <c r="YM27" s="8"/>
      <c r="YN27" s="8"/>
      <c r="YO27" s="8"/>
      <c r="YP27" s="8"/>
      <c r="YQ27" s="8"/>
      <c r="YR27" s="8"/>
      <c r="YS27" s="8"/>
      <c r="YT27" s="8"/>
      <c r="YU27" s="8"/>
      <c r="YV27" s="8"/>
      <c r="YW27" s="8"/>
      <c r="YX27" s="8"/>
      <c r="YY27" s="8"/>
      <c r="YZ27" s="8"/>
      <c r="ZA27" s="8"/>
      <c r="ZB27" s="8"/>
      <c r="ZC27" s="8"/>
      <c r="ZD27" s="8"/>
      <c r="ZE27" s="8"/>
      <c r="ZF27" s="8"/>
      <c r="ZG27" s="8"/>
      <c r="ZH27" s="8"/>
      <c r="ZI27" s="8"/>
      <c r="ZJ27" s="8"/>
      <c r="ZK27" s="8"/>
      <c r="ZL27" s="8"/>
      <c r="ZM27" s="8"/>
      <c r="ZN27" s="8"/>
      <c r="ZO27" s="8"/>
      <c r="ZP27" s="8"/>
      <c r="ZQ27" s="8"/>
      <c r="ZR27" s="8"/>
      <c r="ZS27" s="8"/>
      <c r="ZT27" s="8"/>
      <c r="ZU27" s="8"/>
      <c r="ZV27" s="8"/>
      <c r="ZW27" s="8"/>
      <c r="ZX27" s="8"/>
      <c r="ZY27" s="8"/>
      <c r="ZZ27" s="8"/>
      <c r="AAA27" s="8"/>
      <c r="AAB27" s="8"/>
      <c r="AAC27" s="8"/>
      <c r="AAD27" s="8"/>
      <c r="AAE27" s="8"/>
      <c r="AAF27" s="8"/>
      <c r="AAG27" s="8"/>
      <c r="AAH27" s="8"/>
      <c r="AAI27" s="8"/>
      <c r="AAJ27" s="8"/>
      <c r="AAK27" s="8"/>
      <c r="AAL27" s="8"/>
      <c r="AAM27" s="8"/>
      <c r="AAN27" s="8"/>
      <c r="AAO27" s="8"/>
      <c r="AAP27" s="8"/>
      <c r="AAQ27" s="8"/>
      <c r="AAR27" s="8"/>
      <c r="AAS27" s="8"/>
      <c r="AAT27" s="8"/>
      <c r="AAU27" s="8"/>
      <c r="AAV27" s="8"/>
      <c r="AAW27" s="8"/>
      <c r="AAX27" s="8"/>
      <c r="AAY27" s="8"/>
      <c r="AAZ27" s="8"/>
      <c r="ABA27" s="8"/>
      <c r="ABB27" s="8"/>
      <c r="ABC27" s="8"/>
      <c r="ABD27" s="8"/>
      <c r="ABE27" s="8"/>
      <c r="ABF27" s="8"/>
      <c r="ABG27" s="8"/>
      <c r="ABH27" s="8"/>
      <c r="ABI27" s="8"/>
      <c r="ABJ27" s="8"/>
      <c r="ABK27" s="8"/>
      <c r="ABL27" s="8"/>
      <c r="ABM27" s="8"/>
      <c r="ABN27" s="8"/>
      <c r="ABO27" s="8"/>
      <c r="ABP27" s="8"/>
      <c r="ABQ27" s="8"/>
      <c r="ABR27" s="8"/>
      <c r="ABS27" s="8"/>
      <c r="ABT27" s="8"/>
      <c r="ABU27" s="8"/>
      <c r="ABV27" s="8"/>
      <c r="ABW27" s="8"/>
      <c r="ABX27" s="8"/>
      <c r="ABY27" s="8"/>
      <c r="ABZ27" s="8"/>
      <c r="ACA27" s="8"/>
      <c r="ACB27" s="8"/>
      <c r="ACC27" s="8"/>
      <c r="ACD27" s="8"/>
      <c r="ACE27" s="8"/>
      <c r="ACF27" s="8"/>
      <c r="ACG27" s="8"/>
      <c r="ACH27" s="8"/>
      <c r="ACI27" s="8"/>
      <c r="ACJ27" s="8"/>
      <c r="ACK27" s="8"/>
      <c r="ACL27" s="8"/>
      <c r="ACM27" s="8"/>
      <c r="ACN27" s="8"/>
      <c r="ACO27" s="8"/>
      <c r="ACP27" s="8"/>
      <c r="ACQ27" s="8"/>
      <c r="ACR27" s="8"/>
      <c r="ACS27" s="8"/>
      <c r="ACT27" s="8"/>
      <c r="ACU27" s="8"/>
      <c r="ACV27" s="8"/>
      <c r="ACW27" s="8"/>
      <c r="ACX27" s="8"/>
      <c r="ACY27" s="8"/>
      <c r="ACZ27" s="8"/>
      <c r="ADA27" s="8"/>
      <c r="ADB27" s="8"/>
      <c r="ADC27" s="8"/>
      <c r="ADD27" s="8"/>
      <c r="ADE27" s="8"/>
      <c r="ADF27" s="8"/>
      <c r="ADG27" s="8"/>
      <c r="ADH27" s="8"/>
      <c r="ADI27" s="8"/>
      <c r="ADJ27" s="8"/>
      <c r="ADK27" s="8"/>
      <c r="ADL27" s="8"/>
      <c r="ADM27" s="8"/>
      <c r="ADN27" s="8"/>
      <c r="ADO27" s="8"/>
      <c r="ADP27" s="8"/>
      <c r="ADQ27" s="8"/>
      <c r="ADR27" s="8"/>
      <c r="ADS27" s="8"/>
      <c r="ADT27" s="8"/>
      <c r="ADU27" s="8"/>
      <c r="ADV27" s="8"/>
      <c r="ADW27" s="8"/>
      <c r="ADX27" s="8"/>
      <c r="ADY27" s="8"/>
      <c r="ADZ27" s="8"/>
      <c r="AEA27" s="8"/>
      <c r="AEB27" s="8"/>
      <c r="AEC27" s="8"/>
      <c r="AED27" s="8"/>
      <c r="AEE27" s="8"/>
      <c r="AEF27" s="8"/>
      <c r="AEG27" s="8"/>
      <c r="AEH27" s="8"/>
      <c r="AEI27" s="8"/>
      <c r="AEJ27" s="8"/>
      <c r="AEK27" s="8"/>
      <c r="AEL27" s="8"/>
      <c r="AEM27" s="8"/>
      <c r="AEN27" s="8"/>
      <c r="AEO27" s="8"/>
      <c r="AEP27" s="8"/>
      <c r="AEQ27" s="8"/>
      <c r="AER27" s="8"/>
      <c r="AES27" s="8"/>
      <c r="AET27" s="8"/>
      <c r="AEU27" s="8"/>
      <c r="AEV27" s="8"/>
      <c r="AEW27" s="8"/>
      <c r="AEX27" s="8"/>
      <c r="AEY27" s="8"/>
      <c r="AEZ27" s="8"/>
      <c r="AFA27" s="8"/>
      <c r="AFB27" s="8"/>
      <c r="AFC27" s="8"/>
      <c r="AFD27" s="8"/>
      <c r="AFE27" s="8"/>
      <c r="AFF27" s="8"/>
      <c r="AFG27" s="8"/>
      <c r="AFH27" s="8"/>
      <c r="AFI27" s="8"/>
      <c r="AFJ27" s="8"/>
      <c r="AFK27" s="8"/>
      <c r="AFL27" s="8"/>
      <c r="AFM27" s="8"/>
      <c r="AFN27" s="8"/>
      <c r="AFO27" s="8"/>
      <c r="AFP27" s="8"/>
      <c r="AFQ27" s="8"/>
      <c r="AFR27" s="8"/>
      <c r="AFS27" s="8"/>
      <c r="AFT27" s="8"/>
      <c r="AFU27" s="8"/>
      <c r="AFV27" s="8"/>
      <c r="AFW27" s="8"/>
      <c r="AFX27" s="8"/>
      <c r="AFY27" s="8"/>
      <c r="AFZ27" s="8"/>
      <c r="AGA27" s="8"/>
      <c r="AGB27" s="8"/>
      <c r="AGC27" s="8"/>
      <c r="AGD27" s="8"/>
      <c r="AGE27" s="8"/>
      <c r="AGF27" s="8"/>
      <c r="AGG27" s="8"/>
      <c r="AGH27" s="8"/>
      <c r="AGI27" s="8"/>
      <c r="AGJ27" s="8"/>
      <c r="AGK27" s="8"/>
      <c r="AGL27" s="8"/>
      <c r="AGM27" s="8"/>
      <c r="AGN27" s="8"/>
      <c r="AGO27" s="8"/>
      <c r="AGP27" s="8"/>
      <c r="AGQ27" s="8"/>
      <c r="AGR27" s="8"/>
      <c r="AGS27" s="8"/>
      <c r="AGT27" s="8"/>
      <c r="AGU27" s="8"/>
      <c r="AGV27" s="8"/>
      <c r="AGW27" s="8"/>
      <c r="AGX27" s="8"/>
      <c r="AGY27" s="8"/>
      <c r="AGZ27" s="8"/>
      <c r="AHA27" s="8"/>
      <c r="AHB27" s="8"/>
      <c r="AHC27" s="8"/>
      <c r="AHD27" s="8"/>
      <c r="AHE27" s="8"/>
      <c r="AHF27" s="8"/>
      <c r="AHG27" s="8"/>
      <c r="AHH27" s="8"/>
      <c r="AHI27" s="8"/>
      <c r="AHJ27" s="8"/>
      <c r="AHK27" s="8"/>
      <c r="AHL27" s="8"/>
      <c r="AHM27" s="8"/>
      <c r="AHN27" s="8"/>
      <c r="AHO27" s="8"/>
      <c r="AHP27" s="8"/>
      <c r="AHQ27" s="8"/>
      <c r="AHR27" s="8"/>
      <c r="AHS27" s="8"/>
      <c r="AHT27" s="8"/>
      <c r="AHU27" s="8"/>
      <c r="AHV27" s="8"/>
      <c r="AHW27" s="8"/>
      <c r="AHX27" s="8"/>
      <c r="AHY27" s="8"/>
      <c r="AHZ27" s="8"/>
      <c r="AIA27" s="8"/>
      <c r="AIB27" s="8"/>
      <c r="AIC27" s="8"/>
      <c r="AID27" s="8"/>
      <c r="AIE27" s="8"/>
      <c r="AIF27" s="8"/>
      <c r="AIG27" s="8"/>
      <c r="AIH27" s="8"/>
      <c r="AII27" s="8"/>
      <c r="AIJ27" s="8"/>
      <c r="AIK27" s="8"/>
      <c r="AIL27" s="8"/>
      <c r="AIM27" s="8"/>
      <c r="AIN27" s="8"/>
      <c r="AIO27" s="8"/>
      <c r="AIP27" s="8"/>
      <c r="AIQ27" s="8"/>
      <c r="AIR27" s="8"/>
      <c r="AIS27" s="8"/>
      <c r="AIT27" s="8"/>
      <c r="AIU27" s="8"/>
      <c r="AIV27" s="8"/>
      <c r="AIW27" s="8"/>
      <c r="AIX27" s="8"/>
      <c r="AIY27" s="8"/>
      <c r="AIZ27" s="8"/>
      <c r="AJA27" s="8"/>
      <c r="AJB27" s="8"/>
      <c r="AJC27" s="8"/>
      <c r="AJD27" s="8"/>
      <c r="AJE27" s="8"/>
      <c r="AJF27" s="8"/>
      <c r="AJG27" s="8"/>
      <c r="AJH27" s="8"/>
      <c r="AJI27" s="8"/>
      <c r="AJJ27" s="8"/>
      <c r="AJK27" s="8"/>
      <c r="AJL27" s="8"/>
      <c r="AJM27" s="8"/>
      <c r="AJN27" s="8"/>
      <c r="AJO27" s="8"/>
      <c r="AJP27" s="8"/>
      <c r="AJQ27" s="8"/>
      <c r="AJR27" s="8"/>
      <c r="AJS27" s="8"/>
      <c r="AJT27" s="8"/>
      <c r="AJU27" s="8"/>
      <c r="AJV27" s="8"/>
      <c r="AJW27" s="8"/>
      <c r="AJX27" s="8"/>
      <c r="AJY27" s="8"/>
      <c r="AJZ27" s="8"/>
      <c r="AKA27" s="8"/>
      <c r="AKB27" s="8"/>
      <c r="AKC27" s="8"/>
      <c r="AKD27" s="8"/>
      <c r="AKE27" s="8"/>
      <c r="AKF27" s="8"/>
      <c r="AKG27" s="8"/>
      <c r="AKH27" s="8"/>
      <c r="AKI27" s="8"/>
      <c r="AKJ27" s="8"/>
      <c r="AKK27" s="8"/>
      <c r="AKL27" s="8"/>
      <c r="AKM27" s="8"/>
      <c r="AKN27" s="8"/>
      <c r="AKO27" s="8"/>
      <c r="AKP27" s="8"/>
      <c r="AKQ27" s="8"/>
      <c r="AKR27" s="8"/>
      <c r="AKS27" s="8"/>
      <c r="AKT27" s="8"/>
      <c r="AKU27" s="8"/>
      <c r="AKV27" s="8"/>
      <c r="AKW27" s="8"/>
      <c r="AKX27" s="8"/>
      <c r="AKY27" s="8"/>
      <c r="AKZ27" s="8"/>
      <c r="ALA27" s="8"/>
      <c r="ALB27" s="8"/>
      <c r="ALC27" s="8"/>
      <c r="ALD27" s="8"/>
      <c r="ALE27" s="8"/>
      <c r="ALF27" s="8"/>
      <c r="ALG27" s="8"/>
      <c r="ALH27" s="8"/>
      <c r="ALI27" s="8"/>
      <c r="ALJ27" s="8"/>
      <c r="ALK27" s="8"/>
      <c r="ALL27" s="8"/>
      <c r="ALM27" s="8"/>
      <c r="ALN27" s="8"/>
      <c r="ALO27" s="8"/>
      <c r="ALP27" s="8"/>
      <c r="ALQ27" s="8"/>
      <c r="ALR27" s="8"/>
      <c r="ALS27" s="8"/>
      <c r="ALT27" s="8"/>
      <c r="ALU27" s="8"/>
      <c r="ALV27" s="8"/>
      <c r="ALW27" s="8"/>
      <c r="ALX27" s="8"/>
      <c r="ALY27" s="8"/>
      <c r="ALZ27" s="8"/>
      <c r="AMA27" s="8"/>
      <c r="AMB27" s="8"/>
      <c r="AMC27" s="8"/>
      <c r="AMD27" s="8"/>
      <c r="AME27" s="8"/>
    </row>
    <row r="28" spans="1:1019" ht="38.25">
      <c r="A28" s="8"/>
      <c r="B28" s="205"/>
      <c r="C28" s="206" t="s">
        <v>421</v>
      </c>
      <c r="D28" s="194" t="s">
        <v>422</v>
      </c>
      <c r="E28" s="51" t="s">
        <v>622</v>
      </c>
      <c r="F28" s="51" t="s">
        <v>662</v>
      </c>
      <c r="G28" s="249" t="s">
        <v>661</v>
      </c>
      <c r="H28" s="249" t="s">
        <v>640</v>
      </c>
      <c r="I28" s="956">
        <v>1</v>
      </c>
      <c r="J28" s="249" t="s">
        <v>357</v>
      </c>
      <c r="K28" s="249" t="s">
        <v>663</v>
      </c>
      <c r="L28" s="956" t="s">
        <v>650</v>
      </c>
      <c r="M28" s="249" t="s">
        <v>682</v>
      </c>
      <c r="N28" s="249" t="s">
        <v>665</v>
      </c>
      <c r="O28" s="249" t="s">
        <v>666</v>
      </c>
      <c r="P28" s="249"/>
      <c r="Q28" s="249" t="s">
        <v>1247</v>
      </c>
      <c r="R28" s="999" t="s">
        <v>1255</v>
      </c>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8"/>
      <c r="PC28" s="8"/>
      <c r="PD28" s="8"/>
      <c r="PE28" s="8"/>
      <c r="PF28" s="8"/>
      <c r="PG28" s="8"/>
      <c r="PH28" s="8"/>
      <c r="PI28" s="8"/>
      <c r="PJ28" s="8"/>
      <c r="PK28" s="8"/>
      <c r="PL28" s="8"/>
      <c r="PM28" s="8"/>
      <c r="PN28" s="8"/>
      <c r="PO28" s="8"/>
      <c r="PP28" s="8"/>
      <c r="PQ28" s="8"/>
      <c r="PR28" s="8"/>
      <c r="PS28" s="8"/>
      <c r="PT28" s="8"/>
      <c r="PU28" s="8"/>
      <c r="PV28" s="8"/>
      <c r="PW28" s="8"/>
      <c r="PX28" s="8"/>
      <c r="PY28" s="8"/>
      <c r="PZ28" s="8"/>
      <c r="QA28" s="8"/>
      <c r="QB28" s="8"/>
      <c r="QC28" s="8"/>
      <c r="QD28" s="8"/>
      <c r="QE28" s="8"/>
      <c r="QF28" s="8"/>
      <c r="QG28" s="8"/>
      <c r="QH28" s="8"/>
      <c r="QI28" s="8"/>
      <c r="QJ28" s="8"/>
      <c r="QK28" s="8"/>
      <c r="QL28" s="8"/>
      <c r="QM28" s="8"/>
      <c r="QN28" s="8"/>
      <c r="QO28" s="8"/>
      <c r="QP28" s="8"/>
      <c r="QQ28" s="8"/>
      <c r="QR28" s="8"/>
      <c r="QS28" s="8"/>
      <c r="QT28" s="8"/>
      <c r="QU28" s="8"/>
      <c r="QV28" s="8"/>
      <c r="QW28" s="8"/>
      <c r="QX28" s="8"/>
      <c r="QY28" s="8"/>
      <c r="QZ28" s="8"/>
      <c r="RA28" s="8"/>
      <c r="RB28" s="8"/>
      <c r="RC28" s="8"/>
      <c r="RD28" s="8"/>
      <c r="RE28" s="8"/>
      <c r="RF28" s="8"/>
      <c r="RG28" s="8"/>
      <c r="RH28" s="8"/>
      <c r="RI28" s="8"/>
      <c r="RJ28" s="8"/>
      <c r="RK28" s="8"/>
      <c r="RL28" s="8"/>
      <c r="RM28" s="8"/>
      <c r="RN28" s="8"/>
      <c r="RO28" s="8"/>
      <c r="RP28" s="8"/>
      <c r="RQ28" s="8"/>
      <c r="RR28" s="8"/>
      <c r="RS28" s="8"/>
      <c r="RT28" s="8"/>
      <c r="RU28" s="8"/>
      <c r="RV28" s="8"/>
      <c r="RW28" s="8"/>
      <c r="RX28" s="8"/>
      <c r="RY28" s="8"/>
      <c r="RZ28" s="8"/>
      <c r="SA28" s="8"/>
      <c r="SB28" s="8"/>
      <c r="SC28" s="8"/>
      <c r="SD28" s="8"/>
      <c r="SE28" s="8"/>
      <c r="SF28" s="8"/>
      <c r="SG28" s="8"/>
      <c r="SH28" s="8"/>
      <c r="SI28" s="8"/>
      <c r="SJ28" s="8"/>
      <c r="SK28" s="8"/>
      <c r="SL28" s="8"/>
      <c r="SM28" s="8"/>
      <c r="SN28" s="8"/>
      <c r="SO28" s="8"/>
      <c r="SP28" s="8"/>
      <c r="SQ28" s="8"/>
      <c r="SR28" s="8"/>
      <c r="SS28" s="8"/>
      <c r="ST28" s="8"/>
      <c r="SU28" s="8"/>
      <c r="SV28" s="8"/>
      <c r="SW28" s="8"/>
      <c r="SX28" s="8"/>
      <c r="SY28" s="8"/>
      <c r="SZ28" s="8"/>
      <c r="TA28" s="8"/>
      <c r="TB28" s="8"/>
      <c r="TC28" s="8"/>
      <c r="TD28" s="8"/>
      <c r="TE28" s="8"/>
      <c r="TF28" s="8"/>
      <c r="TG28" s="8"/>
      <c r="TH28" s="8"/>
      <c r="TI28" s="8"/>
      <c r="TJ28" s="8"/>
      <c r="TK28" s="8"/>
      <c r="TL28" s="8"/>
      <c r="TM28" s="8"/>
      <c r="TN28" s="8"/>
      <c r="TO28" s="8"/>
      <c r="TP28" s="8"/>
      <c r="TQ28" s="8"/>
      <c r="TR28" s="8"/>
      <c r="TS28" s="8"/>
      <c r="TT28" s="8"/>
      <c r="TU28" s="8"/>
      <c r="TV28" s="8"/>
      <c r="TW28" s="8"/>
      <c r="TX28" s="8"/>
      <c r="TY28" s="8"/>
      <c r="TZ28" s="8"/>
      <c r="UA28" s="8"/>
      <c r="UB28" s="8"/>
      <c r="UC28" s="8"/>
      <c r="UD28" s="8"/>
      <c r="UE28" s="8"/>
      <c r="UF28" s="8"/>
      <c r="UG28" s="8"/>
      <c r="UH28" s="8"/>
      <c r="UI28" s="8"/>
      <c r="UJ28" s="8"/>
      <c r="UK28" s="8"/>
      <c r="UL28" s="8"/>
      <c r="UM28" s="8"/>
      <c r="UN28" s="8"/>
      <c r="UO28" s="8"/>
      <c r="UP28" s="8"/>
      <c r="UQ28" s="8"/>
      <c r="UR28" s="8"/>
      <c r="US28" s="8"/>
      <c r="UT28" s="8"/>
      <c r="UU28" s="8"/>
      <c r="UV28" s="8"/>
      <c r="UW28" s="8"/>
      <c r="UX28" s="8"/>
      <c r="UY28" s="8"/>
      <c r="UZ28" s="8"/>
      <c r="VA28" s="8"/>
      <c r="VB28" s="8"/>
      <c r="VC28" s="8"/>
      <c r="VD28" s="8"/>
      <c r="VE28" s="8"/>
      <c r="VF28" s="8"/>
      <c r="VG28" s="8"/>
      <c r="VH28" s="8"/>
      <c r="VI28" s="8"/>
      <c r="VJ28" s="8"/>
      <c r="VK28" s="8"/>
      <c r="VL28" s="8"/>
      <c r="VM28" s="8"/>
      <c r="VN28" s="8"/>
      <c r="VO28" s="8"/>
      <c r="VP28" s="8"/>
      <c r="VQ28" s="8"/>
      <c r="VR28" s="8"/>
      <c r="VS28" s="8"/>
      <c r="VT28" s="8"/>
      <c r="VU28" s="8"/>
      <c r="VV28" s="8"/>
      <c r="VW28" s="8"/>
      <c r="VX28" s="8"/>
      <c r="VY28" s="8"/>
      <c r="VZ28" s="8"/>
      <c r="WA28" s="8"/>
      <c r="WB28" s="8"/>
      <c r="WC28" s="8"/>
      <c r="WD28" s="8"/>
      <c r="WE28" s="8"/>
      <c r="WF28" s="8"/>
      <c r="WG28" s="8"/>
      <c r="WH28" s="8"/>
      <c r="WI28" s="8"/>
      <c r="WJ28" s="8"/>
      <c r="WK28" s="8"/>
      <c r="WL28" s="8"/>
      <c r="WM28" s="8"/>
      <c r="WN28" s="8"/>
      <c r="WO28" s="8"/>
      <c r="WP28" s="8"/>
      <c r="WQ28" s="8"/>
      <c r="WR28" s="8"/>
      <c r="WS28" s="8"/>
      <c r="WT28" s="8"/>
      <c r="WU28" s="8"/>
      <c r="WV28" s="8"/>
      <c r="WW28" s="8"/>
      <c r="WX28" s="8"/>
      <c r="WY28" s="8"/>
      <c r="WZ28" s="8"/>
      <c r="XA28" s="8"/>
      <c r="XB28" s="8"/>
      <c r="XC28" s="8"/>
      <c r="XD28" s="8"/>
      <c r="XE28" s="8"/>
      <c r="XF28" s="8"/>
      <c r="XG28" s="8"/>
      <c r="XH28" s="8"/>
      <c r="XI28" s="8"/>
      <c r="XJ28" s="8"/>
      <c r="XK28" s="8"/>
      <c r="XL28" s="8"/>
      <c r="XM28" s="8"/>
      <c r="XN28" s="8"/>
      <c r="XO28" s="8"/>
      <c r="XP28" s="8"/>
      <c r="XQ28" s="8"/>
      <c r="XR28" s="8"/>
      <c r="XS28" s="8"/>
      <c r="XT28" s="8"/>
      <c r="XU28" s="8"/>
      <c r="XV28" s="8"/>
      <c r="XW28" s="8"/>
      <c r="XX28" s="8"/>
      <c r="XY28" s="8"/>
      <c r="XZ28" s="8"/>
      <c r="YA28" s="8"/>
      <c r="YB28" s="8"/>
      <c r="YC28" s="8"/>
      <c r="YD28" s="8"/>
      <c r="YE28" s="8"/>
      <c r="YF28" s="8"/>
      <c r="YG28" s="8"/>
      <c r="YH28" s="8"/>
      <c r="YI28" s="8"/>
      <c r="YJ28" s="8"/>
      <c r="YK28" s="8"/>
      <c r="YL28" s="8"/>
      <c r="YM28" s="8"/>
      <c r="YN28" s="8"/>
      <c r="YO28" s="8"/>
      <c r="YP28" s="8"/>
      <c r="YQ28" s="8"/>
      <c r="YR28" s="8"/>
      <c r="YS28" s="8"/>
      <c r="YT28" s="8"/>
      <c r="YU28" s="8"/>
      <c r="YV28" s="8"/>
      <c r="YW28" s="8"/>
      <c r="YX28" s="8"/>
      <c r="YY28" s="8"/>
      <c r="YZ28" s="8"/>
      <c r="ZA28" s="8"/>
      <c r="ZB28" s="8"/>
      <c r="ZC28" s="8"/>
      <c r="ZD28" s="8"/>
      <c r="ZE28" s="8"/>
      <c r="ZF28" s="8"/>
      <c r="ZG28" s="8"/>
      <c r="ZH28" s="8"/>
      <c r="ZI28" s="8"/>
      <c r="ZJ28" s="8"/>
      <c r="ZK28" s="8"/>
      <c r="ZL28" s="8"/>
      <c r="ZM28" s="8"/>
      <c r="ZN28" s="8"/>
      <c r="ZO28" s="8"/>
      <c r="ZP28" s="8"/>
      <c r="ZQ28" s="8"/>
      <c r="ZR28" s="8"/>
      <c r="ZS28" s="8"/>
      <c r="ZT28" s="8"/>
      <c r="ZU28" s="8"/>
      <c r="ZV28" s="8"/>
      <c r="ZW28" s="8"/>
      <c r="ZX28" s="8"/>
      <c r="ZY28" s="8"/>
      <c r="ZZ28" s="8"/>
      <c r="AAA28" s="8"/>
      <c r="AAB28" s="8"/>
      <c r="AAC28" s="8"/>
      <c r="AAD28" s="8"/>
      <c r="AAE28" s="8"/>
      <c r="AAF28" s="8"/>
      <c r="AAG28" s="8"/>
      <c r="AAH28" s="8"/>
      <c r="AAI28" s="8"/>
      <c r="AAJ28" s="8"/>
      <c r="AAK28" s="8"/>
      <c r="AAL28" s="8"/>
      <c r="AAM28" s="8"/>
      <c r="AAN28" s="8"/>
      <c r="AAO28" s="8"/>
      <c r="AAP28" s="8"/>
      <c r="AAQ28" s="8"/>
      <c r="AAR28" s="8"/>
      <c r="AAS28" s="8"/>
      <c r="AAT28" s="8"/>
      <c r="AAU28" s="8"/>
      <c r="AAV28" s="8"/>
      <c r="AAW28" s="8"/>
      <c r="AAX28" s="8"/>
      <c r="AAY28" s="8"/>
      <c r="AAZ28" s="8"/>
      <c r="ABA28" s="8"/>
      <c r="ABB28" s="8"/>
      <c r="ABC28" s="8"/>
      <c r="ABD28" s="8"/>
      <c r="ABE28" s="8"/>
      <c r="ABF28" s="8"/>
      <c r="ABG28" s="8"/>
      <c r="ABH28" s="8"/>
      <c r="ABI28" s="8"/>
      <c r="ABJ28" s="8"/>
      <c r="ABK28" s="8"/>
      <c r="ABL28" s="8"/>
      <c r="ABM28" s="8"/>
      <c r="ABN28" s="8"/>
      <c r="ABO28" s="8"/>
      <c r="ABP28" s="8"/>
      <c r="ABQ28" s="8"/>
      <c r="ABR28" s="8"/>
      <c r="ABS28" s="8"/>
      <c r="ABT28" s="8"/>
      <c r="ABU28" s="8"/>
      <c r="ABV28" s="8"/>
      <c r="ABW28" s="8"/>
      <c r="ABX28" s="8"/>
      <c r="ABY28" s="8"/>
      <c r="ABZ28" s="8"/>
      <c r="ACA28" s="8"/>
      <c r="ACB28" s="8"/>
      <c r="ACC28" s="8"/>
      <c r="ACD28" s="8"/>
      <c r="ACE28" s="8"/>
      <c r="ACF28" s="8"/>
      <c r="ACG28" s="8"/>
      <c r="ACH28" s="8"/>
      <c r="ACI28" s="8"/>
      <c r="ACJ28" s="8"/>
      <c r="ACK28" s="8"/>
      <c r="ACL28" s="8"/>
      <c r="ACM28" s="8"/>
      <c r="ACN28" s="8"/>
      <c r="ACO28" s="8"/>
      <c r="ACP28" s="8"/>
      <c r="ACQ28" s="8"/>
      <c r="ACR28" s="8"/>
      <c r="ACS28" s="8"/>
      <c r="ACT28" s="8"/>
      <c r="ACU28" s="8"/>
      <c r="ACV28" s="8"/>
      <c r="ACW28" s="8"/>
      <c r="ACX28" s="8"/>
      <c r="ACY28" s="8"/>
      <c r="ACZ28" s="8"/>
      <c r="ADA28" s="8"/>
      <c r="ADB28" s="8"/>
      <c r="ADC28" s="8"/>
      <c r="ADD28" s="8"/>
      <c r="ADE28" s="8"/>
      <c r="ADF28" s="8"/>
      <c r="ADG28" s="8"/>
      <c r="ADH28" s="8"/>
      <c r="ADI28" s="8"/>
      <c r="ADJ28" s="8"/>
      <c r="ADK28" s="8"/>
      <c r="ADL28" s="8"/>
      <c r="ADM28" s="8"/>
      <c r="ADN28" s="8"/>
      <c r="ADO28" s="8"/>
      <c r="ADP28" s="8"/>
      <c r="ADQ28" s="8"/>
      <c r="ADR28" s="8"/>
      <c r="ADS28" s="8"/>
      <c r="ADT28" s="8"/>
      <c r="ADU28" s="8"/>
      <c r="ADV28" s="8"/>
      <c r="ADW28" s="8"/>
      <c r="ADX28" s="8"/>
      <c r="ADY28" s="8"/>
      <c r="ADZ28" s="8"/>
      <c r="AEA28" s="8"/>
      <c r="AEB28" s="8"/>
      <c r="AEC28" s="8"/>
      <c r="AED28" s="8"/>
      <c r="AEE28" s="8"/>
      <c r="AEF28" s="8"/>
      <c r="AEG28" s="8"/>
      <c r="AEH28" s="8"/>
      <c r="AEI28" s="8"/>
      <c r="AEJ28" s="8"/>
      <c r="AEK28" s="8"/>
      <c r="AEL28" s="8"/>
      <c r="AEM28" s="8"/>
      <c r="AEN28" s="8"/>
      <c r="AEO28" s="8"/>
      <c r="AEP28" s="8"/>
      <c r="AEQ28" s="8"/>
      <c r="AER28" s="8"/>
      <c r="AES28" s="8"/>
      <c r="AET28" s="8"/>
      <c r="AEU28" s="8"/>
      <c r="AEV28" s="8"/>
      <c r="AEW28" s="8"/>
      <c r="AEX28" s="8"/>
      <c r="AEY28" s="8"/>
      <c r="AEZ28" s="8"/>
      <c r="AFA28" s="8"/>
      <c r="AFB28" s="8"/>
      <c r="AFC28" s="8"/>
      <c r="AFD28" s="8"/>
      <c r="AFE28" s="8"/>
      <c r="AFF28" s="8"/>
      <c r="AFG28" s="8"/>
      <c r="AFH28" s="8"/>
      <c r="AFI28" s="8"/>
      <c r="AFJ28" s="8"/>
      <c r="AFK28" s="8"/>
      <c r="AFL28" s="8"/>
      <c r="AFM28" s="8"/>
      <c r="AFN28" s="8"/>
      <c r="AFO28" s="8"/>
      <c r="AFP28" s="8"/>
      <c r="AFQ28" s="8"/>
      <c r="AFR28" s="8"/>
      <c r="AFS28" s="8"/>
      <c r="AFT28" s="8"/>
      <c r="AFU28" s="8"/>
      <c r="AFV28" s="8"/>
      <c r="AFW28" s="8"/>
      <c r="AFX28" s="8"/>
      <c r="AFY28" s="8"/>
      <c r="AFZ28" s="8"/>
      <c r="AGA28" s="8"/>
      <c r="AGB28" s="8"/>
      <c r="AGC28" s="8"/>
      <c r="AGD28" s="8"/>
      <c r="AGE28" s="8"/>
      <c r="AGF28" s="8"/>
      <c r="AGG28" s="8"/>
      <c r="AGH28" s="8"/>
      <c r="AGI28" s="8"/>
      <c r="AGJ28" s="8"/>
      <c r="AGK28" s="8"/>
      <c r="AGL28" s="8"/>
      <c r="AGM28" s="8"/>
      <c r="AGN28" s="8"/>
      <c r="AGO28" s="8"/>
      <c r="AGP28" s="8"/>
      <c r="AGQ28" s="8"/>
      <c r="AGR28" s="8"/>
      <c r="AGS28" s="8"/>
      <c r="AGT28" s="8"/>
      <c r="AGU28" s="8"/>
      <c r="AGV28" s="8"/>
      <c r="AGW28" s="8"/>
      <c r="AGX28" s="8"/>
      <c r="AGY28" s="8"/>
      <c r="AGZ28" s="8"/>
      <c r="AHA28" s="8"/>
      <c r="AHB28" s="8"/>
      <c r="AHC28" s="8"/>
      <c r="AHD28" s="8"/>
      <c r="AHE28" s="8"/>
      <c r="AHF28" s="8"/>
      <c r="AHG28" s="8"/>
      <c r="AHH28" s="8"/>
      <c r="AHI28" s="8"/>
      <c r="AHJ28" s="8"/>
      <c r="AHK28" s="8"/>
      <c r="AHL28" s="8"/>
      <c r="AHM28" s="8"/>
      <c r="AHN28" s="8"/>
      <c r="AHO28" s="8"/>
      <c r="AHP28" s="8"/>
      <c r="AHQ28" s="8"/>
      <c r="AHR28" s="8"/>
      <c r="AHS28" s="8"/>
      <c r="AHT28" s="8"/>
      <c r="AHU28" s="8"/>
      <c r="AHV28" s="8"/>
      <c r="AHW28" s="8"/>
      <c r="AHX28" s="8"/>
      <c r="AHY28" s="8"/>
      <c r="AHZ28" s="8"/>
      <c r="AIA28" s="8"/>
      <c r="AIB28" s="8"/>
      <c r="AIC28" s="8"/>
      <c r="AID28" s="8"/>
      <c r="AIE28" s="8"/>
      <c r="AIF28" s="8"/>
      <c r="AIG28" s="8"/>
      <c r="AIH28" s="8"/>
      <c r="AII28" s="8"/>
      <c r="AIJ28" s="8"/>
      <c r="AIK28" s="8"/>
      <c r="AIL28" s="8"/>
      <c r="AIM28" s="8"/>
      <c r="AIN28" s="8"/>
      <c r="AIO28" s="8"/>
      <c r="AIP28" s="8"/>
      <c r="AIQ28" s="8"/>
      <c r="AIR28" s="8"/>
      <c r="AIS28" s="8"/>
      <c r="AIT28" s="8"/>
      <c r="AIU28" s="8"/>
      <c r="AIV28" s="8"/>
      <c r="AIW28" s="8"/>
      <c r="AIX28" s="8"/>
      <c r="AIY28" s="8"/>
      <c r="AIZ28" s="8"/>
      <c r="AJA28" s="8"/>
      <c r="AJB28" s="8"/>
      <c r="AJC28" s="8"/>
      <c r="AJD28" s="8"/>
      <c r="AJE28" s="8"/>
      <c r="AJF28" s="8"/>
      <c r="AJG28" s="8"/>
      <c r="AJH28" s="8"/>
      <c r="AJI28" s="8"/>
      <c r="AJJ28" s="8"/>
      <c r="AJK28" s="8"/>
      <c r="AJL28" s="8"/>
      <c r="AJM28" s="8"/>
      <c r="AJN28" s="8"/>
      <c r="AJO28" s="8"/>
      <c r="AJP28" s="8"/>
      <c r="AJQ28" s="8"/>
      <c r="AJR28" s="8"/>
      <c r="AJS28" s="8"/>
      <c r="AJT28" s="8"/>
      <c r="AJU28" s="8"/>
      <c r="AJV28" s="8"/>
      <c r="AJW28" s="8"/>
      <c r="AJX28" s="8"/>
      <c r="AJY28" s="8"/>
      <c r="AJZ28" s="8"/>
      <c r="AKA28" s="8"/>
      <c r="AKB28" s="8"/>
      <c r="AKC28" s="8"/>
      <c r="AKD28" s="8"/>
      <c r="AKE28" s="8"/>
      <c r="AKF28" s="8"/>
      <c r="AKG28" s="8"/>
      <c r="AKH28" s="8"/>
      <c r="AKI28" s="8"/>
      <c r="AKJ28" s="8"/>
      <c r="AKK28" s="8"/>
      <c r="AKL28" s="8"/>
      <c r="AKM28" s="8"/>
      <c r="AKN28" s="8"/>
      <c r="AKO28" s="8"/>
      <c r="AKP28" s="8"/>
      <c r="AKQ28" s="8"/>
      <c r="AKR28" s="8"/>
      <c r="AKS28" s="8"/>
      <c r="AKT28" s="8"/>
      <c r="AKU28" s="8"/>
      <c r="AKV28" s="8"/>
      <c r="AKW28" s="8"/>
      <c r="AKX28" s="8"/>
      <c r="AKY28" s="8"/>
      <c r="AKZ28" s="8"/>
      <c r="ALA28" s="8"/>
      <c r="ALB28" s="8"/>
      <c r="ALC28" s="8"/>
      <c r="ALD28" s="8"/>
      <c r="ALE28" s="8"/>
      <c r="ALF28" s="8"/>
      <c r="ALG28" s="8"/>
      <c r="ALH28" s="8"/>
      <c r="ALI28" s="8"/>
      <c r="ALJ28" s="8"/>
      <c r="ALK28" s="8"/>
      <c r="ALL28" s="8"/>
      <c r="ALM28" s="8"/>
      <c r="ALN28" s="8"/>
      <c r="ALO28" s="8"/>
      <c r="ALP28" s="8"/>
      <c r="ALQ28" s="8"/>
      <c r="ALR28" s="8"/>
      <c r="ALS28" s="8"/>
      <c r="ALT28" s="8"/>
      <c r="ALU28" s="8"/>
      <c r="ALV28" s="8"/>
      <c r="ALW28" s="8"/>
      <c r="ALX28" s="8"/>
      <c r="ALY28" s="8"/>
      <c r="ALZ28" s="8"/>
      <c r="AMA28" s="8"/>
      <c r="AMB28" s="8"/>
      <c r="AMC28" s="8"/>
      <c r="AMD28" s="8"/>
      <c r="AME28" s="8"/>
    </row>
    <row r="29" spans="1:1019" ht="51" customHeight="1">
      <c r="A29" s="8"/>
      <c r="B29" s="205"/>
      <c r="C29" s="1133" t="s">
        <v>423</v>
      </c>
      <c r="D29" s="1135" t="s">
        <v>611</v>
      </c>
      <c r="E29" s="1138" t="s">
        <v>623</v>
      </c>
      <c r="F29" s="249" t="s">
        <v>676</v>
      </c>
      <c r="G29" s="249" t="s">
        <v>683</v>
      </c>
      <c r="H29" s="249" t="s">
        <v>640</v>
      </c>
      <c r="I29" s="1128">
        <v>1</v>
      </c>
      <c r="J29" s="249" t="s">
        <v>357</v>
      </c>
      <c r="K29" s="51" t="s">
        <v>679</v>
      </c>
      <c r="L29" s="1128" t="s">
        <v>674</v>
      </c>
      <c r="M29" s="249" t="s">
        <v>684</v>
      </c>
      <c r="N29" s="1126" t="s">
        <v>667</v>
      </c>
      <c r="O29" s="1126" t="s">
        <v>669</v>
      </c>
      <c r="P29" s="1126"/>
      <c r="Q29" s="1126" t="s">
        <v>1246</v>
      </c>
      <c r="R29" s="1123" t="s">
        <v>1256</v>
      </c>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8"/>
      <c r="PC29" s="8"/>
      <c r="PD29" s="8"/>
      <c r="PE29" s="8"/>
      <c r="PF29" s="8"/>
      <c r="PG29" s="8"/>
      <c r="PH29" s="8"/>
      <c r="PI29" s="8"/>
      <c r="PJ29" s="8"/>
      <c r="PK29" s="8"/>
      <c r="PL29" s="8"/>
      <c r="PM29" s="8"/>
      <c r="PN29" s="8"/>
      <c r="PO29" s="8"/>
      <c r="PP29" s="8"/>
      <c r="PQ29" s="8"/>
      <c r="PR29" s="8"/>
      <c r="PS29" s="8"/>
      <c r="PT29" s="8"/>
      <c r="PU29" s="8"/>
      <c r="PV29" s="8"/>
      <c r="PW29" s="8"/>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c r="QZ29" s="8"/>
      <c r="RA29" s="8"/>
      <c r="RB29" s="8"/>
      <c r="RC29" s="8"/>
      <c r="RD29" s="8"/>
      <c r="RE29" s="8"/>
      <c r="RF29" s="8"/>
      <c r="RG29" s="8"/>
      <c r="RH29" s="8"/>
      <c r="RI29" s="8"/>
      <c r="RJ29" s="8"/>
      <c r="RK29" s="8"/>
      <c r="RL29" s="8"/>
      <c r="RM29" s="8"/>
      <c r="RN29" s="8"/>
      <c r="RO29" s="8"/>
      <c r="RP29" s="8"/>
      <c r="RQ29" s="8"/>
      <c r="RR29" s="8"/>
      <c r="RS29" s="8"/>
      <c r="RT29" s="8"/>
      <c r="RU29" s="8"/>
      <c r="RV29" s="8"/>
      <c r="RW29" s="8"/>
      <c r="RX29" s="8"/>
      <c r="RY29" s="8"/>
      <c r="RZ29" s="8"/>
      <c r="SA29" s="8"/>
      <c r="SB29" s="8"/>
      <c r="SC29" s="8"/>
      <c r="SD29" s="8"/>
      <c r="SE29" s="8"/>
      <c r="SF29" s="8"/>
      <c r="SG29" s="8"/>
      <c r="SH29" s="8"/>
      <c r="SI29" s="8"/>
      <c r="SJ29" s="8"/>
      <c r="SK29" s="8"/>
      <c r="SL29" s="8"/>
      <c r="SM29" s="8"/>
      <c r="SN29" s="8"/>
      <c r="SO29" s="8"/>
      <c r="SP29" s="8"/>
      <c r="SQ29" s="8"/>
      <c r="SR29" s="8"/>
      <c r="SS29" s="8"/>
      <c r="ST29" s="8"/>
      <c r="SU29" s="8"/>
      <c r="SV29" s="8"/>
      <c r="SW29" s="8"/>
      <c r="SX29" s="8"/>
      <c r="SY29" s="8"/>
      <c r="SZ29" s="8"/>
      <c r="TA29" s="8"/>
      <c r="TB29" s="8"/>
      <c r="TC29" s="8"/>
      <c r="TD29" s="8"/>
      <c r="TE29" s="8"/>
      <c r="TF29" s="8"/>
      <c r="TG29" s="8"/>
      <c r="TH29" s="8"/>
      <c r="TI29" s="8"/>
      <c r="TJ29" s="8"/>
      <c r="TK29" s="8"/>
      <c r="TL29" s="8"/>
      <c r="TM29" s="8"/>
      <c r="TN29" s="8"/>
      <c r="TO29" s="8"/>
      <c r="TP29" s="8"/>
      <c r="TQ29" s="8"/>
      <c r="TR29" s="8"/>
      <c r="TS29" s="8"/>
      <c r="TT29" s="8"/>
      <c r="TU29" s="8"/>
      <c r="TV29" s="8"/>
      <c r="TW29" s="8"/>
      <c r="TX29" s="8"/>
      <c r="TY29" s="8"/>
      <c r="TZ29" s="8"/>
      <c r="UA29" s="8"/>
      <c r="UB29" s="8"/>
      <c r="UC29" s="8"/>
      <c r="UD29" s="8"/>
      <c r="UE29" s="8"/>
      <c r="UF29" s="8"/>
      <c r="UG29" s="8"/>
      <c r="UH29" s="8"/>
      <c r="UI29" s="8"/>
      <c r="UJ29" s="8"/>
      <c r="UK29" s="8"/>
      <c r="UL29" s="8"/>
      <c r="UM29" s="8"/>
      <c r="UN29" s="8"/>
      <c r="UO29" s="8"/>
      <c r="UP29" s="8"/>
      <c r="UQ29" s="8"/>
      <c r="UR29" s="8"/>
      <c r="US29" s="8"/>
      <c r="UT29" s="8"/>
      <c r="UU29" s="8"/>
      <c r="UV29" s="8"/>
      <c r="UW29" s="8"/>
      <c r="UX29" s="8"/>
      <c r="UY29" s="8"/>
      <c r="UZ29" s="8"/>
      <c r="VA29" s="8"/>
      <c r="VB29" s="8"/>
      <c r="VC29" s="8"/>
      <c r="VD29" s="8"/>
      <c r="VE29" s="8"/>
      <c r="VF29" s="8"/>
      <c r="VG29" s="8"/>
      <c r="VH29" s="8"/>
      <c r="VI29" s="8"/>
      <c r="VJ29" s="8"/>
      <c r="VK29" s="8"/>
      <c r="VL29" s="8"/>
      <c r="VM29" s="8"/>
      <c r="VN29" s="8"/>
      <c r="VO29" s="8"/>
      <c r="VP29" s="8"/>
      <c r="VQ29" s="8"/>
      <c r="VR29" s="8"/>
      <c r="VS29" s="8"/>
      <c r="VT29" s="8"/>
      <c r="VU29" s="8"/>
      <c r="VV29" s="8"/>
      <c r="VW29" s="8"/>
      <c r="VX29" s="8"/>
      <c r="VY29" s="8"/>
      <c r="VZ29" s="8"/>
      <c r="WA29" s="8"/>
      <c r="WB29" s="8"/>
      <c r="WC29" s="8"/>
      <c r="WD29" s="8"/>
      <c r="WE29" s="8"/>
      <c r="WF29" s="8"/>
      <c r="WG29" s="8"/>
      <c r="WH29" s="8"/>
      <c r="WI29" s="8"/>
      <c r="WJ29" s="8"/>
      <c r="WK29" s="8"/>
      <c r="WL29" s="8"/>
      <c r="WM29" s="8"/>
      <c r="WN29" s="8"/>
      <c r="WO29" s="8"/>
      <c r="WP29" s="8"/>
      <c r="WQ29" s="8"/>
      <c r="WR29" s="8"/>
      <c r="WS29" s="8"/>
      <c r="WT29" s="8"/>
      <c r="WU29" s="8"/>
      <c r="WV29" s="8"/>
      <c r="WW29" s="8"/>
      <c r="WX29" s="8"/>
      <c r="WY29" s="8"/>
      <c r="WZ29" s="8"/>
      <c r="XA29" s="8"/>
      <c r="XB29" s="8"/>
      <c r="XC29" s="8"/>
      <c r="XD29" s="8"/>
      <c r="XE29" s="8"/>
      <c r="XF29" s="8"/>
      <c r="XG29" s="8"/>
      <c r="XH29" s="8"/>
      <c r="XI29" s="8"/>
      <c r="XJ29" s="8"/>
      <c r="XK29" s="8"/>
      <c r="XL29" s="8"/>
      <c r="XM29" s="8"/>
      <c r="XN29" s="8"/>
      <c r="XO29" s="8"/>
      <c r="XP29" s="8"/>
      <c r="XQ29" s="8"/>
      <c r="XR29" s="8"/>
      <c r="XS29" s="8"/>
      <c r="XT29" s="8"/>
      <c r="XU29" s="8"/>
      <c r="XV29" s="8"/>
      <c r="XW29" s="8"/>
      <c r="XX29" s="8"/>
      <c r="XY29" s="8"/>
      <c r="XZ29" s="8"/>
      <c r="YA29" s="8"/>
      <c r="YB29" s="8"/>
      <c r="YC29" s="8"/>
      <c r="YD29" s="8"/>
      <c r="YE29" s="8"/>
      <c r="YF29" s="8"/>
      <c r="YG29" s="8"/>
      <c r="YH29" s="8"/>
      <c r="YI29" s="8"/>
      <c r="YJ29" s="8"/>
      <c r="YK29" s="8"/>
      <c r="YL29" s="8"/>
      <c r="YM29" s="8"/>
      <c r="YN29" s="8"/>
      <c r="YO29" s="8"/>
      <c r="YP29" s="8"/>
      <c r="YQ29" s="8"/>
      <c r="YR29" s="8"/>
      <c r="YS29" s="8"/>
      <c r="YT29" s="8"/>
      <c r="YU29" s="8"/>
      <c r="YV29" s="8"/>
      <c r="YW29" s="8"/>
      <c r="YX29" s="8"/>
      <c r="YY29" s="8"/>
      <c r="YZ29" s="8"/>
      <c r="ZA29" s="8"/>
      <c r="ZB29" s="8"/>
      <c r="ZC29" s="8"/>
      <c r="ZD29" s="8"/>
      <c r="ZE29" s="8"/>
      <c r="ZF29" s="8"/>
      <c r="ZG29" s="8"/>
      <c r="ZH29" s="8"/>
      <c r="ZI29" s="8"/>
      <c r="ZJ29" s="8"/>
      <c r="ZK29" s="8"/>
      <c r="ZL29" s="8"/>
      <c r="ZM29" s="8"/>
      <c r="ZN29" s="8"/>
      <c r="ZO29" s="8"/>
      <c r="ZP29" s="8"/>
      <c r="ZQ29" s="8"/>
      <c r="ZR29" s="8"/>
      <c r="ZS29" s="8"/>
      <c r="ZT29" s="8"/>
      <c r="ZU29" s="8"/>
      <c r="ZV29" s="8"/>
      <c r="ZW29" s="8"/>
      <c r="ZX29" s="8"/>
      <c r="ZY29" s="8"/>
      <c r="ZZ29" s="8"/>
      <c r="AAA29" s="8"/>
      <c r="AAB29" s="8"/>
      <c r="AAC29" s="8"/>
      <c r="AAD29" s="8"/>
      <c r="AAE29" s="8"/>
      <c r="AAF29" s="8"/>
      <c r="AAG29" s="8"/>
      <c r="AAH29" s="8"/>
      <c r="AAI29" s="8"/>
      <c r="AAJ29" s="8"/>
      <c r="AAK29" s="8"/>
      <c r="AAL29" s="8"/>
      <c r="AAM29" s="8"/>
      <c r="AAN29" s="8"/>
      <c r="AAO29" s="8"/>
      <c r="AAP29" s="8"/>
      <c r="AAQ29" s="8"/>
      <c r="AAR29" s="8"/>
      <c r="AAS29" s="8"/>
      <c r="AAT29" s="8"/>
      <c r="AAU29" s="8"/>
      <c r="AAV29" s="8"/>
      <c r="AAW29" s="8"/>
      <c r="AAX29" s="8"/>
      <c r="AAY29" s="8"/>
      <c r="AAZ29" s="8"/>
      <c r="ABA29" s="8"/>
      <c r="ABB29" s="8"/>
      <c r="ABC29" s="8"/>
      <c r="ABD29" s="8"/>
      <c r="ABE29" s="8"/>
      <c r="ABF29" s="8"/>
      <c r="ABG29" s="8"/>
      <c r="ABH29" s="8"/>
      <c r="ABI29" s="8"/>
      <c r="ABJ29" s="8"/>
      <c r="ABK29" s="8"/>
      <c r="ABL29" s="8"/>
      <c r="ABM29" s="8"/>
      <c r="ABN29" s="8"/>
      <c r="ABO29" s="8"/>
      <c r="ABP29" s="8"/>
      <c r="ABQ29" s="8"/>
      <c r="ABR29" s="8"/>
      <c r="ABS29" s="8"/>
      <c r="ABT29" s="8"/>
      <c r="ABU29" s="8"/>
      <c r="ABV29" s="8"/>
      <c r="ABW29" s="8"/>
      <c r="ABX29" s="8"/>
      <c r="ABY29" s="8"/>
      <c r="ABZ29" s="8"/>
      <c r="ACA29" s="8"/>
      <c r="ACB29" s="8"/>
      <c r="ACC29" s="8"/>
      <c r="ACD29" s="8"/>
      <c r="ACE29" s="8"/>
      <c r="ACF29" s="8"/>
      <c r="ACG29" s="8"/>
      <c r="ACH29" s="8"/>
      <c r="ACI29" s="8"/>
      <c r="ACJ29" s="8"/>
      <c r="ACK29" s="8"/>
      <c r="ACL29" s="8"/>
      <c r="ACM29" s="8"/>
      <c r="ACN29" s="8"/>
      <c r="ACO29" s="8"/>
      <c r="ACP29" s="8"/>
      <c r="ACQ29" s="8"/>
      <c r="ACR29" s="8"/>
      <c r="ACS29" s="8"/>
      <c r="ACT29" s="8"/>
      <c r="ACU29" s="8"/>
      <c r="ACV29" s="8"/>
      <c r="ACW29" s="8"/>
      <c r="ACX29" s="8"/>
      <c r="ACY29" s="8"/>
      <c r="ACZ29" s="8"/>
      <c r="ADA29" s="8"/>
      <c r="ADB29" s="8"/>
      <c r="ADC29" s="8"/>
      <c r="ADD29" s="8"/>
      <c r="ADE29" s="8"/>
      <c r="ADF29" s="8"/>
      <c r="ADG29" s="8"/>
      <c r="ADH29" s="8"/>
      <c r="ADI29" s="8"/>
      <c r="ADJ29" s="8"/>
      <c r="ADK29" s="8"/>
      <c r="ADL29" s="8"/>
      <c r="ADM29" s="8"/>
      <c r="ADN29" s="8"/>
      <c r="ADO29" s="8"/>
      <c r="ADP29" s="8"/>
      <c r="ADQ29" s="8"/>
      <c r="ADR29" s="8"/>
      <c r="ADS29" s="8"/>
      <c r="ADT29" s="8"/>
      <c r="ADU29" s="8"/>
      <c r="ADV29" s="8"/>
      <c r="ADW29" s="8"/>
      <c r="ADX29" s="8"/>
      <c r="ADY29" s="8"/>
      <c r="ADZ29" s="8"/>
      <c r="AEA29" s="8"/>
      <c r="AEB29" s="8"/>
      <c r="AEC29" s="8"/>
      <c r="AED29" s="8"/>
      <c r="AEE29" s="8"/>
      <c r="AEF29" s="8"/>
      <c r="AEG29" s="8"/>
      <c r="AEH29" s="8"/>
      <c r="AEI29" s="8"/>
      <c r="AEJ29" s="8"/>
      <c r="AEK29" s="8"/>
      <c r="AEL29" s="8"/>
      <c r="AEM29" s="8"/>
      <c r="AEN29" s="8"/>
      <c r="AEO29" s="8"/>
      <c r="AEP29" s="8"/>
      <c r="AEQ29" s="8"/>
      <c r="AER29" s="8"/>
      <c r="AES29" s="8"/>
      <c r="AET29" s="8"/>
      <c r="AEU29" s="8"/>
      <c r="AEV29" s="8"/>
      <c r="AEW29" s="8"/>
      <c r="AEX29" s="8"/>
      <c r="AEY29" s="8"/>
      <c r="AEZ29" s="8"/>
      <c r="AFA29" s="8"/>
      <c r="AFB29" s="8"/>
      <c r="AFC29" s="8"/>
      <c r="AFD29" s="8"/>
      <c r="AFE29" s="8"/>
      <c r="AFF29" s="8"/>
      <c r="AFG29" s="8"/>
      <c r="AFH29" s="8"/>
      <c r="AFI29" s="8"/>
      <c r="AFJ29" s="8"/>
      <c r="AFK29" s="8"/>
      <c r="AFL29" s="8"/>
      <c r="AFM29" s="8"/>
      <c r="AFN29" s="8"/>
      <c r="AFO29" s="8"/>
      <c r="AFP29" s="8"/>
      <c r="AFQ29" s="8"/>
      <c r="AFR29" s="8"/>
      <c r="AFS29" s="8"/>
      <c r="AFT29" s="8"/>
      <c r="AFU29" s="8"/>
      <c r="AFV29" s="8"/>
      <c r="AFW29" s="8"/>
      <c r="AFX29" s="8"/>
      <c r="AFY29" s="8"/>
      <c r="AFZ29" s="8"/>
      <c r="AGA29" s="8"/>
      <c r="AGB29" s="8"/>
      <c r="AGC29" s="8"/>
      <c r="AGD29" s="8"/>
      <c r="AGE29" s="8"/>
      <c r="AGF29" s="8"/>
      <c r="AGG29" s="8"/>
      <c r="AGH29" s="8"/>
      <c r="AGI29" s="8"/>
      <c r="AGJ29" s="8"/>
      <c r="AGK29" s="8"/>
      <c r="AGL29" s="8"/>
      <c r="AGM29" s="8"/>
      <c r="AGN29" s="8"/>
      <c r="AGO29" s="8"/>
      <c r="AGP29" s="8"/>
      <c r="AGQ29" s="8"/>
      <c r="AGR29" s="8"/>
      <c r="AGS29" s="8"/>
      <c r="AGT29" s="8"/>
      <c r="AGU29" s="8"/>
      <c r="AGV29" s="8"/>
      <c r="AGW29" s="8"/>
      <c r="AGX29" s="8"/>
      <c r="AGY29" s="8"/>
      <c r="AGZ29" s="8"/>
      <c r="AHA29" s="8"/>
      <c r="AHB29" s="8"/>
      <c r="AHC29" s="8"/>
      <c r="AHD29" s="8"/>
      <c r="AHE29" s="8"/>
      <c r="AHF29" s="8"/>
      <c r="AHG29" s="8"/>
      <c r="AHH29" s="8"/>
      <c r="AHI29" s="8"/>
      <c r="AHJ29" s="8"/>
      <c r="AHK29" s="8"/>
      <c r="AHL29" s="8"/>
      <c r="AHM29" s="8"/>
      <c r="AHN29" s="8"/>
      <c r="AHO29" s="8"/>
      <c r="AHP29" s="8"/>
      <c r="AHQ29" s="8"/>
      <c r="AHR29" s="8"/>
      <c r="AHS29" s="8"/>
      <c r="AHT29" s="8"/>
      <c r="AHU29" s="8"/>
      <c r="AHV29" s="8"/>
      <c r="AHW29" s="8"/>
      <c r="AHX29" s="8"/>
      <c r="AHY29" s="8"/>
      <c r="AHZ29" s="8"/>
      <c r="AIA29" s="8"/>
      <c r="AIB29" s="8"/>
      <c r="AIC29" s="8"/>
      <c r="AID29" s="8"/>
      <c r="AIE29" s="8"/>
      <c r="AIF29" s="8"/>
      <c r="AIG29" s="8"/>
      <c r="AIH29" s="8"/>
      <c r="AII29" s="8"/>
      <c r="AIJ29" s="8"/>
      <c r="AIK29" s="8"/>
      <c r="AIL29" s="8"/>
      <c r="AIM29" s="8"/>
      <c r="AIN29" s="8"/>
      <c r="AIO29" s="8"/>
      <c r="AIP29" s="8"/>
      <c r="AIQ29" s="8"/>
      <c r="AIR29" s="8"/>
      <c r="AIS29" s="8"/>
      <c r="AIT29" s="8"/>
      <c r="AIU29" s="8"/>
      <c r="AIV29" s="8"/>
      <c r="AIW29" s="8"/>
      <c r="AIX29" s="8"/>
      <c r="AIY29" s="8"/>
      <c r="AIZ29" s="8"/>
      <c r="AJA29" s="8"/>
      <c r="AJB29" s="8"/>
      <c r="AJC29" s="8"/>
      <c r="AJD29" s="8"/>
      <c r="AJE29" s="8"/>
      <c r="AJF29" s="8"/>
      <c r="AJG29" s="8"/>
      <c r="AJH29" s="8"/>
      <c r="AJI29" s="8"/>
      <c r="AJJ29" s="8"/>
      <c r="AJK29" s="8"/>
      <c r="AJL29" s="8"/>
      <c r="AJM29" s="8"/>
      <c r="AJN29" s="8"/>
      <c r="AJO29" s="8"/>
      <c r="AJP29" s="8"/>
      <c r="AJQ29" s="8"/>
      <c r="AJR29" s="8"/>
      <c r="AJS29" s="8"/>
      <c r="AJT29" s="8"/>
      <c r="AJU29" s="8"/>
      <c r="AJV29" s="8"/>
      <c r="AJW29" s="8"/>
      <c r="AJX29" s="8"/>
      <c r="AJY29" s="8"/>
      <c r="AJZ29" s="8"/>
      <c r="AKA29" s="8"/>
      <c r="AKB29" s="8"/>
      <c r="AKC29" s="8"/>
      <c r="AKD29" s="8"/>
      <c r="AKE29" s="8"/>
      <c r="AKF29" s="8"/>
      <c r="AKG29" s="8"/>
      <c r="AKH29" s="8"/>
      <c r="AKI29" s="8"/>
      <c r="AKJ29" s="8"/>
      <c r="AKK29" s="8"/>
      <c r="AKL29" s="8"/>
      <c r="AKM29" s="8"/>
      <c r="AKN29" s="8"/>
      <c r="AKO29" s="8"/>
      <c r="AKP29" s="8"/>
      <c r="AKQ29" s="8"/>
      <c r="AKR29" s="8"/>
      <c r="AKS29" s="8"/>
      <c r="AKT29" s="8"/>
      <c r="AKU29" s="8"/>
      <c r="AKV29" s="8"/>
      <c r="AKW29" s="8"/>
      <c r="AKX29" s="8"/>
      <c r="AKY29" s="8"/>
      <c r="AKZ29" s="8"/>
      <c r="ALA29" s="8"/>
      <c r="ALB29" s="8"/>
      <c r="ALC29" s="8"/>
      <c r="ALD29" s="8"/>
      <c r="ALE29" s="8"/>
      <c r="ALF29" s="8"/>
      <c r="ALG29" s="8"/>
      <c r="ALH29" s="8"/>
      <c r="ALI29" s="8"/>
      <c r="ALJ29" s="8"/>
      <c r="ALK29" s="8"/>
      <c r="ALL29" s="8"/>
      <c r="ALM29" s="8"/>
      <c r="ALN29" s="8"/>
      <c r="ALO29" s="8"/>
      <c r="ALP29" s="8"/>
      <c r="ALQ29" s="8"/>
      <c r="ALR29" s="8"/>
      <c r="ALS29" s="8"/>
      <c r="ALT29" s="8"/>
      <c r="ALU29" s="8"/>
      <c r="ALV29" s="8"/>
      <c r="ALW29" s="8"/>
      <c r="ALX29" s="8"/>
      <c r="ALY29" s="8"/>
      <c r="ALZ29" s="8"/>
      <c r="AMA29" s="8"/>
      <c r="AMB29" s="8"/>
      <c r="AMC29" s="8"/>
      <c r="AMD29" s="8"/>
      <c r="AME29" s="8"/>
    </row>
    <row r="30" spans="1:1019" ht="38.25" customHeight="1">
      <c r="A30" s="8"/>
      <c r="B30" s="205"/>
      <c r="C30" s="1134"/>
      <c r="D30" s="1136"/>
      <c r="E30" s="1139"/>
      <c r="F30" s="51" t="s">
        <v>677</v>
      </c>
      <c r="G30" s="51" t="s">
        <v>711</v>
      </c>
      <c r="H30" s="249" t="s">
        <v>641</v>
      </c>
      <c r="I30" s="1129"/>
      <c r="J30" s="1126" t="s">
        <v>1260</v>
      </c>
      <c r="K30" s="1138" t="s">
        <v>680</v>
      </c>
      <c r="L30" s="1129"/>
      <c r="M30" s="1126" t="s">
        <v>684</v>
      </c>
      <c r="N30" s="1130"/>
      <c r="O30" s="1130"/>
      <c r="P30" s="1130"/>
      <c r="Q30" s="1130"/>
      <c r="R30" s="1124"/>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
      <c r="PJ30" s="8"/>
      <c r="PK30" s="8"/>
      <c r="PL30" s="8"/>
      <c r="PM30" s="8"/>
      <c r="PN30" s="8"/>
      <c r="PO30" s="8"/>
      <c r="PP30" s="8"/>
      <c r="PQ30" s="8"/>
      <c r="PR30" s="8"/>
      <c r="PS30" s="8"/>
      <c r="PT30" s="8"/>
      <c r="PU30" s="8"/>
      <c r="PV30" s="8"/>
      <c r="PW30" s="8"/>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c r="QZ30" s="8"/>
      <c r="RA30" s="8"/>
      <c r="RB30" s="8"/>
      <c r="RC30" s="8"/>
      <c r="RD30" s="8"/>
      <c r="RE30" s="8"/>
      <c r="RF30" s="8"/>
      <c r="RG30" s="8"/>
      <c r="RH30" s="8"/>
      <c r="RI30" s="8"/>
      <c r="RJ30" s="8"/>
      <c r="RK30" s="8"/>
      <c r="RL30" s="8"/>
      <c r="RM30" s="8"/>
      <c r="RN30" s="8"/>
      <c r="RO30" s="8"/>
      <c r="RP30" s="8"/>
      <c r="RQ30" s="8"/>
      <c r="RR30" s="8"/>
      <c r="RS30" s="8"/>
      <c r="RT30" s="8"/>
      <c r="RU30" s="8"/>
      <c r="RV30" s="8"/>
      <c r="RW30" s="8"/>
      <c r="RX30" s="8"/>
      <c r="RY30" s="8"/>
      <c r="RZ30" s="8"/>
      <c r="SA30" s="8"/>
      <c r="SB30" s="8"/>
      <c r="SC30" s="8"/>
      <c r="SD30" s="8"/>
      <c r="SE30" s="8"/>
      <c r="SF30" s="8"/>
      <c r="SG30" s="8"/>
      <c r="SH30" s="8"/>
      <c r="SI30" s="8"/>
      <c r="SJ30" s="8"/>
      <c r="SK30" s="8"/>
      <c r="SL30" s="8"/>
      <c r="SM30" s="8"/>
      <c r="SN30" s="8"/>
      <c r="SO30" s="8"/>
      <c r="SP30" s="8"/>
      <c r="SQ30" s="8"/>
      <c r="SR30" s="8"/>
      <c r="SS30" s="8"/>
      <c r="ST30" s="8"/>
      <c r="SU30" s="8"/>
      <c r="SV30" s="8"/>
      <c r="SW30" s="8"/>
      <c r="SX30" s="8"/>
      <c r="SY30" s="8"/>
      <c r="SZ30" s="8"/>
      <c r="TA30" s="8"/>
      <c r="TB30" s="8"/>
      <c r="TC30" s="8"/>
      <c r="TD30" s="8"/>
      <c r="TE30" s="8"/>
      <c r="TF30" s="8"/>
      <c r="TG30" s="8"/>
      <c r="TH30" s="8"/>
      <c r="TI30" s="8"/>
      <c r="TJ30" s="8"/>
      <c r="TK30" s="8"/>
      <c r="TL30" s="8"/>
      <c r="TM30" s="8"/>
      <c r="TN30" s="8"/>
      <c r="TO30" s="8"/>
      <c r="TP30" s="8"/>
      <c r="TQ30" s="8"/>
      <c r="TR30" s="8"/>
      <c r="TS30" s="8"/>
      <c r="TT30" s="8"/>
      <c r="TU30" s="8"/>
      <c r="TV30" s="8"/>
      <c r="TW30" s="8"/>
      <c r="TX30" s="8"/>
      <c r="TY30" s="8"/>
      <c r="TZ30" s="8"/>
      <c r="UA30" s="8"/>
      <c r="UB30" s="8"/>
      <c r="UC30" s="8"/>
      <c r="UD30" s="8"/>
      <c r="UE30" s="8"/>
      <c r="UF30" s="8"/>
      <c r="UG30" s="8"/>
      <c r="UH30" s="8"/>
      <c r="UI30" s="8"/>
      <c r="UJ30" s="8"/>
      <c r="UK30" s="8"/>
      <c r="UL30" s="8"/>
      <c r="UM30" s="8"/>
      <c r="UN30" s="8"/>
      <c r="UO30" s="8"/>
      <c r="UP30" s="8"/>
      <c r="UQ30" s="8"/>
      <c r="UR30" s="8"/>
      <c r="US30" s="8"/>
      <c r="UT30" s="8"/>
      <c r="UU30" s="8"/>
      <c r="UV30" s="8"/>
      <c r="UW30" s="8"/>
      <c r="UX30" s="8"/>
      <c r="UY30" s="8"/>
      <c r="UZ30" s="8"/>
      <c r="VA30" s="8"/>
      <c r="VB30" s="8"/>
      <c r="VC30" s="8"/>
      <c r="VD30" s="8"/>
      <c r="VE30" s="8"/>
      <c r="VF30" s="8"/>
      <c r="VG30" s="8"/>
      <c r="VH30" s="8"/>
      <c r="VI30" s="8"/>
      <c r="VJ30" s="8"/>
      <c r="VK30" s="8"/>
      <c r="VL30" s="8"/>
      <c r="VM30" s="8"/>
      <c r="VN30" s="8"/>
      <c r="VO30" s="8"/>
      <c r="VP30" s="8"/>
      <c r="VQ30" s="8"/>
      <c r="VR30" s="8"/>
      <c r="VS30" s="8"/>
      <c r="VT30" s="8"/>
      <c r="VU30" s="8"/>
      <c r="VV30" s="8"/>
      <c r="VW30" s="8"/>
      <c r="VX30" s="8"/>
      <c r="VY30" s="8"/>
      <c r="VZ30" s="8"/>
      <c r="WA30" s="8"/>
      <c r="WB30" s="8"/>
      <c r="WC30" s="8"/>
      <c r="WD30" s="8"/>
      <c r="WE30" s="8"/>
      <c r="WF30" s="8"/>
      <c r="WG30" s="8"/>
      <c r="WH30" s="8"/>
      <c r="WI30" s="8"/>
      <c r="WJ30" s="8"/>
      <c r="WK30" s="8"/>
      <c r="WL30" s="8"/>
      <c r="WM30" s="8"/>
      <c r="WN30" s="8"/>
      <c r="WO30" s="8"/>
      <c r="WP30" s="8"/>
      <c r="WQ30" s="8"/>
      <c r="WR30" s="8"/>
      <c r="WS30" s="8"/>
      <c r="WT30" s="8"/>
      <c r="WU30" s="8"/>
      <c r="WV30" s="8"/>
      <c r="WW30" s="8"/>
      <c r="WX30" s="8"/>
      <c r="WY30" s="8"/>
      <c r="WZ30" s="8"/>
      <c r="XA30" s="8"/>
      <c r="XB30" s="8"/>
      <c r="XC30" s="8"/>
      <c r="XD30" s="8"/>
      <c r="XE30" s="8"/>
      <c r="XF30" s="8"/>
      <c r="XG30" s="8"/>
      <c r="XH30" s="8"/>
      <c r="XI30" s="8"/>
      <c r="XJ30" s="8"/>
      <c r="XK30" s="8"/>
      <c r="XL30" s="8"/>
      <c r="XM30" s="8"/>
      <c r="XN30" s="8"/>
      <c r="XO30" s="8"/>
      <c r="XP30" s="8"/>
      <c r="XQ30" s="8"/>
      <c r="XR30" s="8"/>
      <c r="XS30" s="8"/>
      <c r="XT30" s="8"/>
      <c r="XU30" s="8"/>
      <c r="XV30" s="8"/>
      <c r="XW30" s="8"/>
      <c r="XX30" s="8"/>
      <c r="XY30" s="8"/>
      <c r="XZ30" s="8"/>
      <c r="YA30" s="8"/>
      <c r="YB30" s="8"/>
      <c r="YC30" s="8"/>
      <c r="YD30" s="8"/>
      <c r="YE30" s="8"/>
      <c r="YF30" s="8"/>
      <c r="YG30" s="8"/>
      <c r="YH30" s="8"/>
      <c r="YI30" s="8"/>
      <c r="YJ30" s="8"/>
      <c r="YK30" s="8"/>
      <c r="YL30" s="8"/>
      <c r="YM30" s="8"/>
      <c r="YN30" s="8"/>
      <c r="YO30" s="8"/>
      <c r="YP30" s="8"/>
      <c r="YQ30" s="8"/>
      <c r="YR30" s="8"/>
      <c r="YS30" s="8"/>
      <c r="YT30" s="8"/>
      <c r="YU30" s="8"/>
      <c r="YV30" s="8"/>
      <c r="YW30" s="8"/>
      <c r="YX30" s="8"/>
      <c r="YY30" s="8"/>
      <c r="YZ30" s="8"/>
      <c r="ZA30" s="8"/>
      <c r="ZB30" s="8"/>
      <c r="ZC30" s="8"/>
      <c r="ZD30" s="8"/>
      <c r="ZE30" s="8"/>
      <c r="ZF30" s="8"/>
      <c r="ZG30" s="8"/>
      <c r="ZH30" s="8"/>
      <c r="ZI30" s="8"/>
      <c r="ZJ30" s="8"/>
      <c r="ZK30" s="8"/>
      <c r="ZL30" s="8"/>
      <c r="ZM30" s="8"/>
      <c r="ZN30" s="8"/>
      <c r="ZO30" s="8"/>
      <c r="ZP30" s="8"/>
      <c r="ZQ30" s="8"/>
      <c r="ZR30" s="8"/>
      <c r="ZS30" s="8"/>
      <c r="ZT30" s="8"/>
      <c r="ZU30" s="8"/>
      <c r="ZV30" s="8"/>
      <c r="ZW30" s="8"/>
      <c r="ZX30" s="8"/>
      <c r="ZY30" s="8"/>
      <c r="ZZ30" s="8"/>
      <c r="AAA30" s="8"/>
      <c r="AAB30" s="8"/>
      <c r="AAC30" s="8"/>
      <c r="AAD30" s="8"/>
      <c r="AAE30" s="8"/>
      <c r="AAF30" s="8"/>
      <c r="AAG30" s="8"/>
      <c r="AAH30" s="8"/>
      <c r="AAI30" s="8"/>
      <c r="AAJ30" s="8"/>
      <c r="AAK30" s="8"/>
      <c r="AAL30" s="8"/>
      <c r="AAM30" s="8"/>
      <c r="AAN30" s="8"/>
      <c r="AAO30" s="8"/>
      <c r="AAP30" s="8"/>
      <c r="AAQ30" s="8"/>
      <c r="AAR30" s="8"/>
      <c r="AAS30" s="8"/>
      <c r="AAT30" s="8"/>
      <c r="AAU30" s="8"/>
      <c r="AAV30" s="8"/>
      <c r="AAW30" s="8"/>
      <c r="AAX30" s="8"/>
      <c r="AAY30" s="8"/>
      <c r="AAZ30" s="8"/>
      <c r="ABA30" s="8"/>
      <c r="ABB30" s="8"/>
      <c r="ABC30" s="8"/>
      <c r="ABD30" s="8"/>
      <c r="ABE30" s="8"/>
      <c r="ABF30" s="8"/>
      <c r="ABG30" s="8"/>
      <c r="ABH30" s="8"/>
      <c r="ABI30" s="8"/>
      <c r="ABJ30" s="8"/>
      <c r="ABK30" s="8"/>
      <c r="ABL30" s="8"/>
      <c r="ABM30" s="8"/>
      <c r="ABN30" s="8"/>
      <c r="ABO30" s="8"/>
      <c r="ABP30" s="8"/>
      <c r="ABQ30" s="8"/>
      <c r="ABR30" s="8"/>
      <c r="ABS30" s="8"/>
      <c r="ABT30" s="8"/>
      <c r="ABU30" s="8"/>
      <c r="ABV30" s="8"/>
      <c r="ABW30" s="8"/>
      <c r="ABX30" s="8"/>
      <c r="ABY30" s="8"/>
      <c r="ABZ30" s="8"/>
      <c r="ACA30" s="8"/>
      <c r="ACB30" s="8"/>
      <c r="ACC30" s="8"/>
      <c r="ACD30" s="8"/>
      <c r="ACE30" s="8"/>
      <c r="ACF30" s="8"/>
      <c r="ACG30" s="8"/>
      <c r="ACH30" s="8"/>
      <c r="ACI30" s="8"/>
      <c r="ACJ30" s="8"/>
      <c r="ACK30" s="8"/>
      <c r="ACL30" s="8"/>
      <c r="ACM30" s="8"/>
      <c r="ACN30" s="8"/>
      <c r="ACO30" s="8"/>
      <c r="ACP30" s="8"/>
      <c r="ACQ30" s="8"/>
      <c r="ACR30" s="8"/>
      <c r="ACS30" s="8"/>
      <c r="ACT30" s="8"/>
      <c r="ACU30" s="8"/>
      <c r="ACV30" s="8"/>
      <c r="ACW30" s="8"/>
      <c r="ACX30" s="8"/>
      <c r="ACY30" s="8"/>
      <c r="ACZ30" s="8"/>
      <c r="ADA30" s="8"/>
      <c r="ADB30" s="8"/>
      <c r="ADC30" s="8"/>
      <c r="ADD30" s="8"/>
      <c r="ADE30" s="8"/>
      <c r="ADF30" s="8"/>
      <c r="ADG30" s="8"/>
      <c r="ADH30" s="8"/>
      <c r="ADI30" s="8"/>
      <c r="ADJ30" s="8"/>
      <c r="ADK30" s="8"/>
      <c r="ADL30" s="8"/>
      <c r="ADM30" s="8"/>
      <c r="ADN30" s="8"/>
      <c r="ADO30" s="8"/>
      <c r="ADP30" s="8"/>
      <c r="ADQ30" s="8"/>
      <c r="ADR30" s="8"/>
      <c r="ADS30" s="8"/>
      <c r="ADT30" s="8"/>
      <c r="ADU30" s="8"/>
      <c r="ADV30" s="8"/>
      <c r="ADW30" s="8"/>
      <c r="ADX30" s="8"/>
      <c r="ADY30" s="8"/>
      <c r="ADZ30" s="8"/>
      <c r="AEA30" s="8"/>
      <c r="AEB30" s="8"/>
      <c r="AEC30" s="8"/>
      <c r="AED30" s="8"/>
      <c r="AEE30" s="8"/>
      <c r="AEF30" s="8"/>
      <c r="AEG30" s="8"/>
      <c r="AEH30" s="8"/>
      <c r="AEI30" s="8"/>
      <c r="AEJ30" s="8"/>
      <c r="AEK30" s="8"/>
      <c r="AEL30" s="8"/>
      <c r="AEM30" s="8"/>
      <c r="AEN30" s="8"/>
      <c r="AEO30" s="8"/>
      <c r="AEP30" s="8"/>
      <c r="AEQ30" s="8"/>
      <c r="AER30" s="8"/>
      <c r="AES30" s="8"/>
      <c r="AET30" s="8"/>
      <c r="AEU30" s="8"/>
      <c r="AEV30" s="8"/>
      <c r="AEW30" s="8"/>
      <c r="AEX30" s="8"/>
      <c r="AEY30" s="8"/>
      <c r="AEZ30" s="8"/>
      <c r="AFA30" s="8"/>
      <c r="AFB30" s="8"/>
      <c r="AFC30" s="8"/>
      <c r="AFD30" s="8"/>
      <c r="AFE30" s="8"/>
      <c r="AFF30" s="8"/>
      <c r="AFG30" s="8"/>
      <c r="AFH30" s="8"/>
      <c r="AFI30" s="8"/>
      <c r="AFJ30" s="8"/>
      <c r="AFK30" s="8"/>
      <c r="AFL30" s="8"/>
      <c r="AFM30" s="8"/>
      <c r="AFN30" s="8"/>
      <c r="AFO30" s="8"/>
      <c r="AFP30" s="8"/>
      <c r="AFQ30" s="8"/>
      <c r="AFR30" s="8"/>
      <c r="AFS30" s="8"/>
      <c r="AFT30" s="8"/>
      <c r="AFU30" s="8"/>
      <c r="AFV30" s="8"/>
      <c r="AFW30" s="8"/>
      <c r="AFX30" s="8"/>
      <c r="AFY30" s="8"/>
      <c r="AFZ30" s="8"/>
      <c r="AGA30" s="8"/>
      <c r="AGB30" s="8"/>
      <c r="AGC30" s="8"/>
      <c r="AGD30" s="8"/>
      <c r="AGE30" s="8"/>
      <c r="AGF30" s="8"/>
      <c r="AGG30" s="8"/>
      <c r="AGH30" s="8"/>
      <c r="AGI30" s="8"/>
      <c r="AGJ30" s="8"/>
      <c r="AGK30" s="8"/>
      <c r="AGL30" s="8"/>
      <c r="AGM30" s="8"/>
      <c r="AGN30" s="8"/>
      <c r="AGO30" s="8"/>
      <c r="AGP30" s="8"/>
      <c r="AGQ30" s="8"/>
      <c r="AGR30" s="8"/>
      <c r="AGS30" s="8"/>
      <c r="AGT30" s="8"/>
      <c r="AGU30" s="8"/>
      <c r="AGV30" s="8"/>
      <c r="AGW30" s="8"/>
      <c r="AGX30" s="8"/>
      <c r="AGY30" s="8"/>
      <c r="AGZ30" s="8"/>
      <c r="AHA30" s="8"/>
      <c r="AHB30" s="8"/>
      <c r="AHC30" s="8"/>
      <c r="AHD30" s="8"/>
      <c r="AHE30" s="8"/>
      <c r="AHF30" s="8"/>
      <c r="AHG30" s="8"/>
      <c r="AHH30" s="8"/>
      <c r="AHI30" s="8"/>
      <c r="AHJ30" s="8"/>
      <c r="AHK30" s="8"/>
      <c r="AHL30" s="8"/>
      <c r="AHM30" s="8"/>
      <c r="AHN30" s="8"/>
      <c r="AHO30" s="8"/>
      <c r="AHP30" s="8"/>
      <c r="AHQ30" s="8"/>
      <c r="AHR30" s="8"/>
      <c r="AHS30" s="8"/>
      <c r="AHT30" s="8"/>
      <c r="AHU30" s="8"/>
      <c r="AHV30" s="8"/>
      <c r="AHW30" s="8"/>
      <c r="AHX30" s="8"/>
      <c r="AHY30" s="8"/>
      <c r="AHZ30" s="8"/>
      <c r="AIA30" s="8"/>
      <c r="AIB30" s="8"/>
      <c r="AIC30" s="8"/>
      <c r="AID30" s="8"/>
      <c r="AIE30" s="8"/>
      <c r="AIF30" s="8"/>
      <c r="AIG30" s="8"/>
      <c r="AIH30" s="8"/>
      <c r="AII30" s="8"/>
      <c r="AIJ30" s="8"/>
      <c r="AIK30" s="8"/>
      <c r="AIL30" s="8"/>
      <c r="AIM30" s="8"/>
      <c r="AIN30" s="8"/>
      <c r="AIO30" s="8"/>
      <c r="AIP30" s="8"/>
      <c r="AIQ30" s="8"/>
      <c r="AIR30" s="8"/>
      <c r="AIS30" s="8"/>
      <c r="AIT30" s="8"/>
      <c r="AIU30" s="8"/>
      <c r="AIV30" s="8"/>
      <c r="AIW30" s="8"/>
      <c r="AIX30" s="8"/>
      <c r="AIY30" s="8"/>
      <c r="AIZ30" s="8"/>
      <c r="AJA30" s="8"/>
      <c r="AJB30" s="8"/>
      <c r="AJC30" s="8"/>
      <c r="AJD30" s="8"/>
      <c r="AJE30" s="8"/>
      <c r="AJF30" s="8"/>
      <c r="AJG30" s="8"/>
      <c r="AJH30" s="8"/>
      <c r="AJI30" s="8"/>
      <c r="AJJ30" s="8"/>
      <c r="AJK30" s="8"/>
      <c r="AJL30" s="8"/>
      <c r="AJM30" s="8"/>
      <c r="AJN30" s="8"/>
      <c r="AJO30" s="8"/>
      <c r="AJP30" s="8"/>
      <c r="AJQ30" s="8"/>
      <c r="AJR30" s="8"/>
      <c r="AJS30" s="8"/>
      <c r="AJT30" s="8"/>
      <c r="AJU30" s="8"/>
      <c r="AJV30" s="8"/>
      <c r="AJW30" s="8"/>
      <c r="AJX30" s="8"/>
      <c r="AJY30" s="8"/>
      <c r="AJZ30" s="8"/>
      <c r="AKA30" s="8"/>
      <c r="AKB30" s="8"/>
      <c r="AKC30" s="8"/>
      <c r="AKD30" s="8"/>
      <c r="AKE30" s="8"/>
      <c r="AKF30" s="8"/>
      <c r="AKG30" s="8"/>
      <c r="AKH30" s="8"/>
      <c r="AKI30" s="8"/>
      <c r="AKJ30" s="8"/>
      <c r="AKK30" s="8"/>
      <c r="AKL30" s="8"/>
      <c r="AKM30" s="8"/>
      <c r="AKN30" s="8"/>
      <c r="AKO30" s="8"/>
      <c r="AKP30" s="8"/>
      <c r="AKQ30" s="8"/>
      <c r="AKR30" s="8"/>
      <c r="AKS30" s="8"/>
      <c r="AKT30" s="8"/>
      <c r="AKU30" s="8"/>
      <c r="AKV30" s="8"/>
      <c r="AKW30" s="8"/>
      <c r="AKX30" s="8"/>
      <c r="AKY30" s="8"/>
      <c r="AKZ30" s="8"/>
      <c r="ALA30" s="8"/>
      <c r="ALB30" s="8"/>
      <c r="ALC30" s="8"/>
      <c r="ALD30" s="8"/>
      <c r="ALE30" s="8"/>
      <c r="ALF30" s="8"/>
      <c r="ALG30" s="8"/>
      <c r="ALH30" s="8"/>
      <c r="ALI30" s="8"/>
      <c r="ALJ30" s="8"/>
      <c r="ALK30" s="8"/>
      <c r="ALL30" s="8"/>
      <c r="ALM30" s="8"/>
      <c r="ALN30" s="8"/>
      <c r="ALO30" s="8"/>
      <c r="ALP30" s="8"/>
      <c r="ALQ30" s="8"/>
      <c r="ALR30" s="8"/>
      <c r="ALS30" s="8"/>
      <c r="ALT30" s="8"/>
      <c r="ALU30" s="8"/>
      <c r="ALV30" s="8"/>
      <c r="ALW30" s="8"/>
      <c r="ALX30" s="8"/>
      <c r="ALY30" s="8"/>
      <c r="ALZ30" s="8"/>
      <c r="AMA30" s="8"/>
      <c r="AMB30" s="8"/>
      <c r="AMC30" s="8"/>
      <c r="AMD30" s="8"/>
      <c r="AME30" s="8"/>
    </row>
    <row r="31" spans="1:1019" ht="38.25">
      <c r="A31" s="8"/>
      <c r="B31" s="205"/>
      <c r="C31" s="1134"/>
      <c r="D31" s="1136"/>
      <c r="E31" s="1139"/>
      <c r="F31" s="51" t="s">
        <v>678</v>
      </c>
      <c r="G31" s="51" t="s">
        <v>637</v>
      </c>
      <c r="H31" s="249" t="s">
        <v>640</v>
      </c>
      <c r="I31" s="1129"/>
      <c r="J31" s="1127"/>
      <c r="K31" s="1140"/>
      <c r="L31" s="1129"/>
      <c r="M31" s="1127"/>
      <c r="N31" s="1130"/>
      <c r="O31" s="1130"/>
      <c r="P31" s="1130"/>
      <c r="Q31" s="1130"/>
      <c r="R31" s="1124"/>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8"/>
      <c r="PC31" s="8"/>
      <c r="PD31" s="8"/>
      <c r="PE31" s="8"/>
      <c r="PF31" s="8"/>
      <c r="PG31" s="8"/>
      <c r="PH31" s="8"/>
      <c r="PI31" s="8"/>
      <c r="PJ31" s="8"/>
      <c r="PK31" s="8"/>
      <c r="PL31" s="8"/>
      <c r="PM31" s="8"/>
      <c r="PN31" s="8"/>
      <c r="PO31" s="8"/>
      <c r="PP31" s="8"/>
      <c r="PQ31" s="8"/>
      <c r="PR31" s="8"/>
      <c r="PS31" s="8"/>
      <c r="PT31" s="8"/>
      <c r="PU31" s="8"/>
      <c r="PV31" s="8"/>
      <c r="PW31" s="8"/>
      <c r="PX31" s="8"/>
      <c r="PY31" s="8"/>
      <c r="PZ31" s="8"/>
      <c r="QA31" s="8"/>
      <c r="QB31" s="8"/>
      <c r="QC31" s="8"/>
      <c r="QD31" s="8"/>
      <c r="QE31" s="8"/>
      <c r="QF31" s="8"/>
      <c r="QG31" s="8"/>
      <c r="QH31" s="8"/>
      <c r="QI31" s="8"/>
      <c r="QJ31" s="8"/>
      <c r="QK31" s="8"/>
      <c r="QL31" s="8"/>
      <c r="QM31" s="8"/>
      <c r="QN31" s="8"/>
      <c r="QO31" s="8"/>
      <c r="QP31" s="8"/>
      <c r="QQ31" s="8"/>
      <c r="QR31" s="8"/>
      <c r="QS31" s="8"/>
      <c r="QT31" s="8"/>
      <c r="QU31" s="8"/>
      <c r="QV31" s="8"/>
      <c r="QW31" s="8"/>
      <c r="QX31" s="8"/>
      <c r="QY31" s="8"/>
      <c r="QZ31" s="8"/>
      <c r="RA31" s="8"/>
      <c r="RB31" s="8"/>
      <c r="RC31" s="8"/>
      <c r="RD31" s="8"/>
      <c r="RE31" s="8"/>
      <c r="RF31" s="8"/>
      <c r="RG31" s="8"/>
      <c r="RH31" s="8"/>
      <c r="RI31" s="8"/>
      <c r="RJ31" s="8"/>
      <c r="RK31" s="8"/>
      <c r="RL31" s="8"/>
      <c r="RM31" s="8"/>
      <c r="RN31" s="8"/>
      <c r="RO31" s="8"/>
      <c r="RP31" s="8"/>
      <c r="RQ31" s="8"/>
      <c r="RR31" s="8"/>
      <c r="RS31" s="8"/>
      <c r="RT31" s="8"/>
      <c r="RU31" s="8"/>
      <c r="RV31" s="8"/>
      <c r="RW31" s="8"/>
      <c r="RX31" s="8"/>
      <c r="RY31" s="8"/>
      <c r="RZ31" s="8"/>
      <c r="SA31" s="8"/>
      <c r="SB31" s="8"/>
      <c r="SC31" s="8"/>
      <c r="SD31" s="8"/>
      <c r="SE31" s="8"/>
      <c r="SF31" s="8"/>
      <c r="SG31" s="8"/>
      <c r="SH31" s="8"/>
      <c r="SI31" s="8"/>
      <c r="SJ31" s="8"/>
      <c r="SK31" s="8"/>
      <c r="SL31" s="8"/>
      <c r="SM31" s="8"/>
      <c r="SN31" s="8"/>
      <c r="SO31" s="8"/>
      <c r="SP31" s="8"/>
      <c r="SQ31" s="8"/>
      <c r="SR31" s="8"/>
      <c r="SS31" s="8"/>
      <c r="ST31" s="8"/>
      <c r="SU31" s="8"/>
      <c r="SV31" s="8"/>
      <c r="SW31" s="8"/>
      <c r="SX31" s="8"/>
      <c r="SY31" s="8"/>
      <c r="SZ31" s="8"/>
      <c r="TA31" s="8"/>
      <c r="TB31" s="8"/>
      <c r="TC31" s="8"/>
      <c r="TD31" s="8"/>
      <c r="TE31" s="8"/>
      <c r="TF31" s="8"/>
      <c r="TG31" s="8"/>
      <c r="TH31" s="8"/>
      <c r="TI31" s="8"/>
      <c r="TJ31" s="8"/>
      <c r="TK31" s="8"/>
      <c r="TL31" s="8"/>
      <c r="TM31" s="8"/>
      <c r="TN31" s="8"/>
      <c r="TO31" s="8"/>
      <c r="TP31" s="8"/>
      <c r="TQ31" s="8"/>
      <c r="TR31" s="8"/>
      <c r="TS31" s="8"/>
      <c r="TT31" s="8"/>
      <c r="TU31" s="8"/>
      <c r="TV31" s="8"/>
      <c r="TW31" s="8"/>
      <c r="TX31" s="8"/>
      <c r="TY31" s="8"/>
      <c r="TZ31" s="8"/>
      <c r="UA31" s="8"/>
      <c r="UB31" s="8"/>
      <c r="UC31" s="8"/>
      <c r="UD31" s="8"/>
      <c r="UE31" s="8"/>
      <c r="UF31" s="8"/>
      <c r="UG31" s="8"/>
      <c r="UH31" s="8"/>
      <c r="UI31" s="8"/>
      <c r="UJ31" s="8"/>
      <c r="UK31" s="8"/>
      <c r="UL31" s="8"/>
      <c r="UM31" s="8"/>
      <c r="UN31" s="8"/>
      <c r="UO31" s="8"/>
      <c r="UP31" s="8"/>
      <c r="UQ31" s="8"/>
      <c r="UR31" s="8"/>
      <c r="US31" s="8"/>
      <c r="UT31" s="8"/>
      <c r="UU31" s="8"/>
      <c r="UV31" s="8"/>
      <c r="UW31" s="8"/>
      <c r="UX31" s="8"/>
      <c r="UY31" s="8"/>
      <c r="UZ31" s="8"/>
      <c r="VA31" s="8"/>
      <c r="VB31" s="8"/>
      <c r="VC31" s="8"/>
      <c r="VD31" s="8"/>
      <c r="VE31" s="8"/>
      <c r="VF31" s="8"/>
      <c r="VG31" s="8"/>
      <c r="VH31" s="8"/>
      <c r="VI31" s="8"/>
      <c r="VJ31" s="8"/>
      <c r="VK31" s="8"/>
      <c r="VL31" s="8"/>
      <c r="VM31" s="8"/>
      <c r="VN31" s="8"/>
      <c r="VO31" s="8"/>
      <c r="VP31" s="8"/>
      <c r="VQ31" s="8"/>
      <c r="VR31" s="8"/>
      <c r="VS31" s="8"/>
      <c r="VT31" s="8"/>
      <c r="VU31" s="8"/>
      <c r="VV31" s="8"/>
      <c r="VW31" s="8"/>
      <c r="VX31" s="8"/>
      <c r="VY31" s="8"/>
      <c r="VZ31" s="8"/>
      <c r="WA31" s="8"/>
      <c r="WB31" s="8"/>
      <c r="WC31" s="8"/>
      <c r="WD31" s="8"/>
      <c r="WE31" s="8"/>
      <c r="WF31" s="8"/>
      <c r="WG31" s="8"/>
      <c r="WH31" s="8"/>
      <c r="WI31" s="8"/>
      <c r="WJ31" s="8"/>
      <c r="WK31" s="8"/>
      <c r="WL31" s="8"/>
      <c r="WM31" s="8"/>
      <c r="WN31" s="8"/>
      <c r="WO31" s="8"/>
      <c r="WP31" s="8"/>
      <c r="WQ31" s="8"/>
      <c r="WR31" s="8"/>
      <c r="WS31" s="8"/>
      <c r="WT31" s="8"/>
      <c r="WU31" s="8"/>
      <c r="WV31" s="8"/>
      <c r="WW31" s="8"/>
      <c r="WX31" s="8"/>
      <c r="WY31" s="8"/>
      <c r="WZ31" s="8"/>
      <c r="XA31" s="8"/>
      <c r="XB31" s="8"/>
      <c r="XC31" s="8"/>
      <c r="XD31" s="8"/>
      <c r="XE31" s="8"/>
      <c r="XF31" s="8"/>
      <c r="XG31" s="8"/>
      <c r="XH31" s="8"/>
      <c r="XI31" s="8"/>
      <c r="XJ31" s="8"/>
      <c r="XK31" s="8"/>
      <c r="XL31" s="8"/>
      <c r="XM31" s="8"/>
      <c r="XN31" s="8"/>
      <c r="XO31" s="8"/>
      <c r="XP31" s="8"/>
      <c r="XQ31" s="8"/>
      <c r="XR31" s="8"/>
      <c r="XS31" s="8"/>
      <c r="XT31" s="8"/>
      <c r="XU31" s="8"/>
      <c r="XV31" s="8"/>
      <c r="XW31" s="8"/>
      <c r="XX31" s="8"/>
      <c r="XY31" s="8"/>
      <c r="XZ31" s="8"/>
      <c r="YA31" s="8"/>
      <c r="YB31" s="8"/>
      <c r="YC31" s="8"/>
      <c r="YD31" s="8"/>
      <c r="YE31" s="8"/>
      <c r="YF31" s="8"/>
      <c r="YG31" s="8"/>
      <c r="YH31" s="8"/>
      <c r="YI31" s="8"/>
      <c r="YJ31" s="8"/>
      <c r="YK31" s="8"/>
      <c r="YL31" s="8"/>
      <c r="YM31" s="8"/>
      <c r="YN31" s="8"/>
      <c r="YO31" s="8"/>
      <c r="YP31" s="8"/>
      <c r="YQ31" s="8"/>
      <c r="YR31" s="8"/>
      <c r="YS31" s="8"/>
      <c r="YT31" s="8"/>
      <c r="YU31" s="8"/>
      <c r="YV31" s="8"/>
      <c r="YW31" s="8"/>
      <c r="YX31" s="8"/>
      <c r="YY31" s="8"/>
      <c r="YZ31" s="8"/>
      <c r="ZA31" s="8"/>
      <c r="ZB31" s="8"/>
      <c r="ZC31" s="8"/>
      <c r="ZD31" s="8"/>
      <c r="ZE31" s="8"/>
      <c r="ZF31" s="8"/>
      <c r="ZG31" s="8"/>
      <c r="ZH31" s="8"/>
      <c r="ZI31" s="8"/>
      <c r="ZJ31" s="8"/>
      <c r="ZK31" s="8"/>
      <c r="ZL31" s="8"/>
      <c r="ZM31" s="8"/>
      <c r="ZN31" s="8"/>
      <c r="ZO31" s="8"/>
      <c r="ZP31" s="8"/>
      <c r="ZQ31" s="8"/>
      <c r="ZR31" s="8"/>
      <c r="ZS31" s="8"/>
      <c r="ZT31" s="8"/>
      <c r="ZU31" s="8"/>
      <c r="ZV31" s="8"/>
      <c r="ZW31" s="8"/>
      <c r="ZX31" s="8"/>
      <c r="ZY31" s="8"/>
      <c r="ZZ31" s="8"/>
      <c r="AAA31" s="8"/>
      <c r="AAB31" s="8"/>
      <c r="AAC31" s="8"/>
      <c r="AAD31" s="8"/>
      <c r="AAE31" s="8"/>
      <c r="AAF31" s="8"/>
      <c r="AAG31" s="8"/>
      <c r="AAH31" s="8"/>
      <c r="AAI31" s="8"/>
      <c r="AAJ31" s="8"/>
      <c r="AAK31" s="8"/>
      <c r="AAL31" s="8"/>
      <c r="AAM31" s="8"/>
      <c r="AAN31" s="8"/>
      <c r="AAO31" s="8"/>
      <c r="AAP31" s="8"/>
      <c r="AAQ31" s="8"/>
      <c r="AAR31" s="8"/>
      <c r="AAS31" s="8"/>
      <c r="AAT31" s="8"/>
      <c r="AAU31" s="8"/>
      <c r="AAV31" s="8"/>
      <c r="AAW31" s="8"/>
      <c r="AAX31" s="8"/>
      <c r="AAY31" s="8"/>
      <c r="AAZ31" s="8"/>
      <c r="ABA31" s="8"/>
      <c r="ABB31" s="8"/>
      <c r="ABC31" s="8"/>
      <c r="ABD31" s="8"/>
      <c r="ABE31" s="8"/>
      <c r="ABF31" s="8"/>
      <c r="ABG31" s="8"/>
      <c r="ABH31" s="8"/>
      <c r="ABI31" s="8"/>
      <c r="ABJ31" s="8"/>
      <c r="ABK31" s="8"/>
      <c r="ABL31" s="8"/>
      <c r="ABM31" s="8"/>
      <c r="ABN31" s="8"/>
      <c r="ABO31" s="8"/>
      <c r="ABP31" s="8"/>
      <c r="ABQ31" s="8"/>
      <c r="ABR31" s="8"/>
      <c r="ABS31" s="8"/>
      <c r="ABT31" s="8"/>
      <c r="ABU31" s="8"/>
      <c r="ABV31" s="8"/>
      <c r="ABW31" s="8"/>
      <c r="ABX31" s="8"/>
      <c r="ABY31" s="8"/>
      <c r="ABZ31" s="8"/>
      <c r="ACA31" s="8"/>
      <c r="ACB31" s="8"/>
      <c r="ACC31" s="8"/>
      <c r="ACD31" s="8"/>
      <c r="ACE31" s="8"/>
      <c r="ACF31" s="8"/>
      <c r="ACG31" s="8"/>
      <c r="ACH31" s="8"/>
      <c r="ACI31" s="8"/>
      <c r="ACJ31" s="8"/>
      <c r="ACK31" s="8"/>
      <c r="ACL31" s="8"/>
      <c r="ACM31" s="8"/>
      <c r="ACN31" s="8"/>
      <c r="ACO31" s="8"/>
      <c r="ACP31" s="8"/>
      <c r="ACQ31" s="8"/>
      <c r="ACR31" s="8"/>
      <c r="ACS31" s="8"/>
      <c r="ACT31" s="8"/>
      <c r="ACU31" s="8"/>
      <c r="ACV31" s="8"/>
      <c r="ACW31" s="8"/>
      <c r="ACX31" s="8"/>
      <c r="ACY31" s="8"/>
      <c r="ACZ31" s="8"/>
      <c r="ADA31" s="8"/>
      <c r="ADB31" s="8"/>
      <c r="ADC31" s="8"/>
      <c r="ADD31" s="8"/>
      <c r="ADE31" s="8"/>
      <c r="ADF31" s="8"/>
      <c r="ADG31" s="8"/>
      <c r="ADH31" s="8"/>
      <c r="ADI31" s="8"/>
      <c r="ADJ31" s="8"/>
      <c r="ADK31" s="8"/>
      <c r="ADL31" s="8"/>
      <c r="ADM31" s="8"/>
      <c r="ADN31" s="8"/>
      <c r="ADO31" s="8"/>
      <c r="ADP31" s="8"/>
      <c r="ADQ31" s="8"/>
      <c r="ADR31" s="8"/>
      <c r="ADS31" s="8"/>
      <c r="ADT31" s="8"/>
      <c r="ADU31" s="8"/>
      <c r="ADV31" s="8"/>
      <c r="ADW31" s="8"/>
      <c r="ADX31" s="8"/>
      <c r="ADY31" s="8"/>
      <c r="ADZ31" s="8"/>
      <c r="AEA31" s="8"/>
      <c r="AEB31" s="8"/>
      <c r="AEC31" s="8"/>
      <c r="AED31" s="8"/>
      <c r="AEE31" s="8"/>
      <c r="AEF31" s="8"/>
      <c r="AEG31" s="8"/>
      <c r="AEH31" s="8"/>
      <c r="AEI31" s="8"/>
      <c r="AEJ31" s="8"/>
      <c r="AEK31" s="8"/>
      <c r="AEL31" s="8"/>
      <c r="AEM31" s="8"/>
      <c r="AEN31" s="8"/>
      <c r="AEO31" s="8"/>
      <c r="AEP31" s="8"/>
      <c r="AEQ31" s="8"/>
      <c r="AER31" s="8"/>
      <c r="AES31" s="8"/>
      <c r="AET31" s="8"/>
      <c r="AEU31" s="8"/>
      <c r="AEV31" s="8"/>
      <c r="AEW31" s="8"/>
      <c r="AEX31" s="8"/>
      <c r="AEY31" s="8"/>
      <c r="AEZ31" s="8"/>
      <c r="AFA31" s="8"/>
      <c r="AFB31" s="8"/>
      <c r="AFC31" s="8"/>
      <c r="AFD31" s="8"/>
      <c r="AFE31" s="8"/>
      <c r="AFF31" s="8"/>
      <c r="AFG31" s="8"/>
      <c r="AFH31" s="8"/>
      <c r="AFI31" s="8"/>
      <c r="AFJ31" s="8"/>
      <c r="AFK31" s="8"/>
      <c r="AFL31" s="8"/>
      <c r="AFM31" s="8"/>
      <c r="AFN31" s="8"/>
      <c r="AFO31" s="8"/>
      <c r="AFP31" s="8"/>
      <c r="AFQ31" s="8"/>
      <c r="AFR31" s="8"/>
      <c r="AFS31" s="8"/>
      <c r="AFT31" s="8"/>
      <c r="AFU31" s="8"/>
      <c r="AFV31" s="8"/>
      <c r="AFW31" s="8"/>
      <c r="AFX31" s="8"/>
      <c r="AFY31" s="8"/>
      <c r="AFZ31" s="8"/>
      <c r="AGA31" s="8"/>
      <c r="AGB31" s="8"/>
      <c r="AGC31" s="8"/>
      <c r="AGD31" s="8"/>
      <c r="AGE31" s="8"/>
      <c r="AGF31" s="8"/>
      <c r="AGG31" s="8"/>
      <c r="AGH31" s="8"/>
      <c r="AGI31" s="8"/>
      <c r="AGJ31" s="8"/>
      <c r="AGK31" s="8"/>
      <c r="AGL31" s="8"/>
      <c r="AGM31" s="8"/>
      <c r="AGN31" s="8"/>
      <c r="AGO31" s="8"/>
      <c r="AGP31" s="8"/>
      <c r="AGQ31" s="8"/>
      <c r="AGR31" s="8"/>
      <c r="AGS31" s="8"/>
      <c r="AGT31" s="8"/>
      <c r="AGU31" s="8"/>
      <c r="AGV31" s="8"/>
      <c r="AGW31" s="8"/>
      <c r="AGX31" s="8"/>
      <c r="AGY31" s="8"/>
      <c r="AGZ31" s="8"/>
      <c r="AHA31" s="8"/>
      <c r="AHB31" s="8"/>
      <c r="AHC31" s="8"/>
      <c r="AHD31" s="8"/>
      <c r="AHE31" s="8"/>
      <c r="AHF31" s="8"/>
      <c r="AHG31" s="8"/>
      <c r="AHH31" s="8"/>
      <c r="AHI31" s="8"/>
      <c r="AHJ31" s="8"/>
      <c r="AHK31" s="8"/>
      <c r="AHL31" s="8"/>
      <c r="AHM31" s="8"/>
      <c r="AHN31" s="8"/>
      <c r="AHO31" s="8"/>
      <c r="AHP31" s="8"/>
      <c r="AHQ31" s="8"/>
      <c r="AHR31" s="8"/>
      <c r="AHS31" s="8"/>
      <c r="AHT31" s="8"/>
      <c r="AHU31" s="8"/>
      <c r="AHV31" s="8"/>
      <c r="AHW31" s="8"/>
      <c r="AHX31" s="8"/>
      <c r="AHY31" s="8"/>
      <c r="AHZ31" s="8"/>
      <c r="AIA31" s="8"/>
      <c r="AIB31" s="8"/>
      <c r="AIC31" s="8"/>
      <c r="AID31" s="8"/>
      <c r="AIE31" s="8"/>
      <c r="AIF31" s="8"/>
      <c r="AIG31" s="8"/>
      <c r="AIH31" s="8"/>
      <c r="AII31" s="8"/>
      <c r="AIJ31" s="8"/>
      <c r="AIK31" s="8"/>
      <c r="AIL31" s="8"/>
      <c r="AIM31" s="8"/>
      <c r="AIN31" s="8"/>
      <c r="AIO31" s="8"/>
      <c r="AIP31" s="8"/>
      <c r="AIQ31" s="8"/>
      <c r="AIR31" s="8"/>
      <c r="AIS31" s="8"/>
      <c r="AIT31" s="8"/>
      <c r="AIU31" s="8"/>
      <c r="AIV31" s="8"/>
      <c r="AIW31" s="8"/>
      <c r="AIX31" s="8"/>
      <c r="AIY31" s="8"/>
      <c r="AIZ31" s="8"/>
      <c r="AJA31" s="8"/>
      <c r="AJB31" s="8"/>
      <c r="AJC31" s="8"/>
      <c r="AJD31" s="8"/>
      <c r="AJE31" s="8"/>
      <c r="AJF31" s="8"/>
      <c r="AJG31" s="8"/>
      <c r="AJH31" s="8"/>
      <c r="AJI31" s="8"/>
      <c r="AJJ31" s="8"/>
      <c r="AJK31" s="8"/>
      <c r="AJL31" s="8"/>
      <c r="AJM31" s="8"/>
      <c r="AJN31" s="8"/>
      <c r="AJO31" s="8"/>
      <c r="AJP31" s="8"/>
      <c r="AJQ31" s="8"/>
      <c r="AJR31" s="8"/>
      <c r="AJS31" s="8"/>
      <c r="AJT31" s="8"/>
      <c r="AJU31" s="8"/>
      <c r="AJV31" s="8"/>
      <c r="AJW31" s="8"/>
      <c r="AJX31" s="8"/>
      <c r="AJY31" s="8"/>
      <c r="AJZ31" s="8"/>
      <c r="AKA31" s="8"/>
      <c r="AKB31" s="8"/>
      <c r="AKC31" s="8"/>
      <c r="AKD31" s="8"/>
      <c r="AKE31" s="8"/>
      <c r="AKF31" s="8"/>
      <c r="AKG31" s="8"/>
      <c r="AKH31" s="8"/>
      <c r="AKI31" s="8"/>
      <c r="AKJ31" s="8"/>
      <c r="AKK31" s="8"/>
      <c r="AKL31" s="8"/>
      <c r="AKM31" s="8"/>
      <c r="AKN31" s="8"/>
      <c r="AKO31" s="8"/>
      <c r="AKP31" s="8"/>
      <c r="AKQ31" s="8"/>
      <c r="AKR31" s="8"/>
      <c r="AKS31" s="8"/>
      <c r="AKT31" s="8"/>
      <c r="AKU31" s="8"/>
      <c r="AKV31" s="8"/>
      <c r="AKW31" s="8"/>
      <c r="AKX31" s="8"/>
      <c r="AKY31" s="8"/>
      <c r="AKZ31" s="8"/>
      <c r="ALA31" s="8"/>
      <c r="ALB31" s="8"/>
      <c r="ALC31" s="8"/>
      <c r="ALD31" s="8"/>
      <c r="ALE31" s="8"/>
      <c r="ALF31" s="8"/>
      <c r="ALG31" s="8"/>
      <c r="ALH31" s="8"/>
      <c r="ALI31" s="8"/>
      <c r="ALJ31" s="8"/>
      <c r="ALK31" s="8"/>
      <c r="ALL31" s="8"/>
      <c r="ALM31" s="8"/>
      <c r="ALN31" s="8"/>
      <c r="ALO31" s="8"/>
      <c r="ALP31" s="8"/>
      <c r="ALQ31" s="8"/>
      <c r="ALR31" s="8"/>
      <c r="ALS31" s="8"/>
      <c r="ALT31" s="8"/>
      <c r="ALU31" s="8"/>
      <c r="ALV31" s="8"/>
      <c r="ALW31" s="8"/>
      <c r="ALX31" s="8"/>
      <c r="ALY31" s="8"/>
      <c r="ALZ31" s="8"/>
      <c r="AMA31" s="8"/>
      <c r="AMB31" s="8"/>
      <c r="AMC31" s="8"/>
      <c r="AMD31" s="8"/>
      <c r="AME31" s="8"/>
    </row>
    <row r="32" spans="1:1019" ht="221.25" customHeight="1">
      <c r="A32" s="8"/>
      <c r="B32" s="205"/>
      <c r="C32" s="1134"/>
      <c r="D32" s="1136"/>
      <c r="E32" s="1139"/>
      <c r="F32" s="247" t="s">
        <v>705</v>
      </c>
      <c r="G32" s="247" t="s">
        <v>706</v>
      </c>
      <c r="H32" s="247" t="s">
        <v>640</v>
      </c>
      <c r="I32" s="1129"/>
      <c r="J32" s="251" t="s">
        <v>777</v>
      </c>
      <c r="K32" s="241" t="s">
        <v>707</v>
      </c>
      <c r="L32" s="1129"/>
      <c r="M32" s="243" t="s">
        <v>1167</v>
      </c>
      <c r="N32" s="1130"/>
      <c r="O32" s="1130"/>
      <c r="P32" s="1130"/>
      <c r="Q32" s="1130"/>
      <c r="R32" s="1124"/>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8"/>
      <c r="PC32" s="8"/>
      <c r="PD32" s="8"/>
      <c r="PE32" s="8"/>
      <c r="PF32" s="8"/>
      <c r="PG32" s="8"/>
      <c r="PH32" s="8"/>
      <c r="PI32" s="8"/>
      <c r="PJ32" s="8"/>
      <c r="PK32" s="8"/>
      <c r="PL32" s="8"/>
      <c r="PM32" s="8"/>
      <c r="PN32" s="8"/>
      <c r="PO32" s="8"/>
      <c r="PP32" s="8"/>
      <c r="PQ32" s="8"/>
      <c r="PR32" s="8"/>
      <c r="PS32" s="8"/>
      <c r="PT32" s="8"/>
      <c r="PU32" s="8"/>
      <c r="PV32" s="8"/>
      <c r="PW32" s="8"/>
      <c r="PX32" s="8"/>
      <c r="PY32" s="8"/>
      <c r="PZ32" s="8"/>
      <c r="QA32" s="8"/>
      <c r="QB32" s="8"/>
      <c r="QC32" s="8"/>
      <c r="QD32" s="8"/>
      <c r="QE32" s="8"/>
      <c r="QF32" s="8"/>
      <c r="QG32" s="8"/>
      <c r="QH32" s="8"/>
      <c r="QI32" s="8"/>
      <c r="QJ32" s="8"/>
      <c r="QK32" s="8"/>
      <c r="QL32" s="8"/>
      <c r="QM32" s="8"/>
      <c r="QN32" s="8"/>
      <c r="QO32" s="8"/>
      <c r="QP32" s="8"/>
      <c r="QQ32" s="8"/>
      <c r="QR32" s="8"/>
      <c r="QS32" s="8"/>
      <c r="QT32" s="8"/>
      <c r="QU32" s="8"/>
      <c r="QV32" s="8"/>
      <c r="QW32" s="8"/>
      <c r="QX32" s="8"/>
      <c r="QY32" s="8"/>
      <c r="QZ32" s="8"/>
      <c r="RA32" s="8"/>
      <c r="RB32" s="8"/>
      <c r="RC32" s="8"/>
      <c r="RD32" s="8"/>
      <c r="RE32" s="8"/>
      <c r="RF32" s="8"/>
      <c r="RG32" s="8"/>
      <c r="RH32" s="8"/>
      <c r="RI32" s="8"/>
      <c r="RJ32" s="8"/>
      <c r="RK32" s="8"/>
      <c r="RL32" s="8"/>
      <c r="RM32" s="8"/>
      <c r="RN32" s="8"/>
      <c r="RO32" s="8"/>
      <c r="RP32" s="8"/>
      <c r="RQ32" s="8"/>
      <c r="RR32" s="8"/>
      <c r="RS32" s="8"/>
      <c r="RT32" s="8"/>
      <c r="RU32" s="8"/>
      <c r="RV32" s="8"/>
      <c r="RW32" s="8"/>
      <c r="RX32" s="8"/>
      <c r="RY32" s="8"/>
      <c r="RZ32" s="8"/>
      <c r="SA32" s="8"/>
      <c r="SB32" s="8"/>
      <c r="SC32" s="8"/>
      <c r="SD32" s="8"/>
      <c r="SE32" s="8"/>
      <c r="SF32" s="8"/>
      <c r="SG32" s="8"/>
      <c r="SH32" s="8"/>
      <c r="SI32" s="8"/>
      <c r="SJ32" s="8"/>
      <c r="SK32" s="8"/>
      <c r="SL32" s="8"/>
      <c r="SM32" s="8"/>
      <c r="SN32" s="8"/>
      <c r="SO32" s="8"/>
      <c r="SP32" s="8"/>
      <c r="SQ32" s="8"/>
      <c r="SR32" s="8"/>
      <c r="SS32" s="8"/>
      <c r="ST32" s="8"/>
      <c r="SU32" s="8"/>
      <c r="SV32" s="8"/>
      <c r="SW32" s="8"/>
      <c r="SX32" s="8"/>
      <c r="SY32" s="8"/>
      <c r="SZ32" s="8"/>
      <c r="TA32" s="8"/>
      <c r="TB32" s="8"/>
      <c r="TC32" s="8"/>
      <c r="TD32" s="8"/>
      <c r="TE32" s="8"/>
      <c r="TF32" s="8"/>
      <c r="TG32" s="8"/>
      <c r="TH32" s="8"/>
      <c r="TI32" s="8"/>
      <c r="TJ32" s="8"/>
      <c r="TK32" s="8"/>
      <c r="TL32" s="8"/>
      <c r="TM32" s="8"/>
      <c r="TN32" s="8"/>
      <c r="TO32" s="8"/>
      <c r="TP32" s="8"/>
      <c r="TQ32" s="8"/>
      <c r="TR32" s="8"/>
      <c r="TS32" s="8"/>
      <c r="TT32" s="8"/>
      <c r="TU32" s="8"/>
      <c r="TV32" s="8"/>
      <c r="TW32" s="8"/>
      <c r="TX32" s="8"/>
      <c r="TY32" s="8"/>
      <c r="TZ32" s="8"/>
      <c r="UA32" s="8"/>
      <c r="UB32" s="8"/>
      <c r="UC32" s="8"/>
      <c r="UD32" s="8"/>
      <c r="UE32" s="8"/>
      <c r="UF32" s="8"/>
      <c r="UG32" s="8"/>
      <c r="UH32" s="8"/>
      <c r="UI32" s="8"/>
      <c r="UJ32" s="8"/>
      <c r="UK32" s="8"/>
      <c r="UL32" s="8"/>
      <c r="UM32" s="8"/>
      <c r="UN32" s="8"/>
      <c r="UO32" s="8"/>
      <c r="UP32" s="8"/>
      <c r="UQ32" s="8"/>
      <c r="UR32" s="8"/>
      <c r="US32" s="8"/>
      <c r="UT32" s="8"/>
      <c r="UU32" s="8"/>
      <c r="UV32" s="8"/>
      <c r="UW32" s="8"/>
      <c r="UX32" s="8"/>
      <c r="UY32" s="8"/>
      <c r="UZ32" s="8"/>
      <c r="VA32" s="8"/>
      <c r="VB32" s="8"/>
      <c r="VC32" s="8"/>
      <c r="VD32" s="8"/>
      <c r="VE32" s="8"/>
      <c r="VF32" s="8"/>
      <c r="VG32" s="8"/>
      <c r="VH32" s="8"/>
      <c r="VI32" s="8"/>
      <c r="VJ32" s="8"/>
      <c r="VK32" s="8"/>
      <c r="VL32" s="8"/>
      <c r="VM32" s="8"/>
      <c r="VN32" s="8"/>
      <c r="VO32" s="8"/>
      <c r="VP32" s="8"/>
      <c r="VQ32" s="8"/>
      <c r="VR32" s="8"/>
      <c r="VS32" s="8"/>
      <c r="VT32" s="8"/>
      <c r="VU32" s="8"/>
      <c r="VV32" s="8"/>
      <c r="VW32" s="8"/>
      <c r="VX32" s="8"/>
      <c r="VY32" s="8"/>
      <c r="VZ32" s="8"/>
      <c r="WA32" s="8"/>
      <c r="WB32" s="8"/>
      <c r="WC32" s="8"/>
      <c r="WD32" s="8"/>
      <c r="WE32" s="8"/>
      <c r="WF32" s="8"/>
      <c r="WG32" s="8"/>
      <c r="WH32" s="8"/>
      <c r="WI32" s="8"/>
      <c r="WJ32" s="8"/>
      <c r="WK32" s="8"/>
      <c r="WL32" s="8"/>
      <c r="WM32" s="8"/>
      <c r="WN32" s="8"/>
      <c r="WO32" s="8"/>
      <c r="WP32" s="8"/>
      <c r="WQ32" s="8"/>
      <c r="WR32" s="8"/>
      <c r="WS32" s="8"/>
      <c r="WT32" s="8"/>
      <c r="WU32" s="8"/>
      <c r="WV32" s="8"/>
      <c r="WW32" s="8"/>
      <c r="WX32" s="8"/>
      <c r="WY32" s="8"/>
      <c r="WZ32" s="8"/>
      <c r="XA32" s="8"/>
      <c r="XB32" s="8"/>
      <c r="XC32" s="8"/>
      <c r="XD32" s="8"/>
      <c r="XE32" s="8"/>
      <c r="XF32" s="8"/>
      <c r="XG32" s="8"/>
      <c r="XH32" s="8"/>
      <c r="XI32" s="8"/>
      <c r="XJ32" s="8"/>
      <c r="XK32" s="8"/>
      <c r="XL32" s="8"/>
      <c r="XM32" s="8"/>
      <c r="XN32" s="8"/>
      <c r="XO32" s="8"/>
      <c r="XP32" s="8"/>
      <c r="XQ32" s="8"/>
      <c r="XR32" s="8"/>
      <c r="XS32" s="8"/>
      <c r="XT32" s="8"/>
      <c r="XU32" s="8"/>
      <c r="XV32" s="8"/>
      <c r="XW32" s="8"/>
      <c r="XX32" s="8"/>
      <c r="XY32" s="8"/>
      <c r="XZ32" s="8"/>
      <c r="YA32" s="8"/>
      <c r="YB32" s="8"/>
      <c r="YC32" s="8"/>
      <c r="YD32" s="8"/>
      <c r="YE32" s="8"/>
      <c r="YF32" s="8"/>
      <c r="YG32" s="8"/>
      <c r="YH32" s="8"/>
      <c r="YI32" s="8"/>
      <c r="YJ32" s="8"/>
      <c r="YK32" s="8"/>
      <c r="YL32" s="8"/>
      <c r="YM32" s="8"/>
      <c r="YN32" s="8"/>
      <c r="YO32" s="8"/>
      <c r="YP32" s="8"/>
      <c r="YQ32" s="8"/>
      <c r="YR32" s="8"/>
      <c r="YS32" s="8"/>
      <c r="YT32" s="8"/>
      <c r="YU32" s="8"/>
      <c r="YV32" s="8"/>
      <c r="YW32" s="8"/>
      <c r="YX32" s="8"/>
      <c r="YY32" s="8"/>
      <c r="YZ32" s="8"/>
      <c r="ZA32" s="8"/>
      <c r="ZB32" s="8"/>
      <c r="ZC32" s="8"/>
      <c r="ZD32" s="8"/>
      <c r="ZE32" s="8"/>
      <c r="ZF32" s="8"/>
      <c r="ZG32" s="8"/>
      <c r="ZH32" s="8"/>
      <c r="ZI32" s="8"/>
      <c r="ZJ32" s="8"/>
      <c r="ZK32" s="8"/>
      <c r="ZL32" s="8"/>
      <c r="ZM32" s="8"/>
      <c r="ZN32" s="8"/>
      <c r="ZO32" s="8"/>
      <c r="ZP32" s="8"/>
      <c r="ZQ32" s="8"/>
      <c r="ZR32" s="8"/>
      <c r="ZS32" s="8"/>
      <c r="ZT32" s="8"/>
      <c r="ZU32" s="8"/>
      <c r="ZV32" s="8"/>
      <c r="ZW32" s="8"/>
      <c r="ZX32" s="8"/>
      <c r="ZY32" s="8"/>
      <c r="ZZ32" s="8"/>
      <c r="AAA32" s="8"/>
      <c r="AAB32" s="8"/>
      <c r="AAC32" s="8"/>
      <c r="AAD32" s="8"/>
      <c r="AAE32" s="8"/>
      <c r="AAF32" s="8"/>
      <c r="AAG32" s="8"/>
      <c r="AAH32" s="8"/>
      <c r="AAI32" s="8"/>
      <c r="AAJ32" s="8"/>
      <c r="AAK32" s="8"/>
      <c r="AAL32" s="8"/>
      <c r="AAM32" s="8"/>
      <c r="AAN32" s="8"/>
      <c r="AAO32" s="8"/>
      <c r="AAP32" s="8"/>
      <c r="AAQ32" s="8"/>
      <c r="AAR32" s="8"/>
      <c r="AAS32" s="8"/>
      <c r="AAT32" s="8"/>
      <c r="AAU32" s="8"/>
      <c r="AAV32" s="8"/>
      <c r="AAW32" s="8"/>
      <c r="AAX32" s="8"/>
      <c r="AAY32" s="8"/>
      <c r="AAZ32" s="8"/>
      <c r="ABA32" s="8"/>
      <c r="ABB32" s="8"/>
      <c r="ABC32" s="8"/>
      <c r="ABD32" s="8"/>
      <c r="ABE32" s="8"/>
      <c r="ABF32" s="8"/>
      <c r="ABG32" s="8"/>
      <c r="ABH32" s="8"/>
      <c r="ABI32" s="8"/>
      <c r="ABJ32" s="8"/>
      <c r="ABK32" s="8"/>
      <c r="ABL32" s="8"/>
      <c r="ABM32" s="8"/>
      <c r="ABN32" s="8"/>
      <c r="ABO32" s="8"/>
      <c r="ABP32" s="8"/>
      <c r="ABQ32" s="8"/>
      <c r="ABR32" s="8"/>
      <c r="ABS32" s="8"/>
      <c r="ABT32" s="8"/>
      <c r="ABU32" s="8"/>
      <c r="ABV32" s="8"/>
      <c r="ABW32" s="8"/>
      <c r="ABX32" s="8"/>
      <c r="ABY32" s="8"/>
      <c r="ABZ32" s="8"/>
      <c r="ACA32" s="8"/>
      <c r="ACB32" s="8"/>
      <c r="ACC32" s="8"/>
      <c r="ACD32" s="8"/>
      <c r="ACE32" s="8"/>
      <c r="ACF32" s="8"/>
      <c r="ACG32" s="8"/>
      <c r="ACH32" s="8"/>
      <c r="ACI32" s="8"/>
      <c r="ACJ32" s="8"/>
      <c r="ACK32" s="8"/>
      <c r="ACL32" s="8"/>
      <c r="ACM32" s="8"/>
      <c r="ACN32" s="8"/>
      <c r="ACO32" s="8"/>
      <c r="ACP32" s="8"/>
      <c r="ACQ32" s="8"/>
      <c r="ACR32" s="8"/>
      <c r="ACS32" s="8"/>
      <c r="ACT32" s="8"/>
      <c r="ACU32" s="8"/>
      <c r="ACV32" s="8"/>
      <c r="ACW32" s="8"/>
      <c r="ACX32" s="8"/>
      <c r="ACY32" s="8"/>
      <c r="ACZ32" s="8"/>
      <c r="ADA32" s="8"/>
      <c r="ADB32" s="8"/>
      <c r="ADC32" s="8"/>
      <c r="ADD32" s="8"/>
      <c r="ADE32" s="8"/>
      <c r="ADF32" s="8"/>
      <c r="ADG32" s="8"/>
      <c r="ADH32" s="8"/>
      <c r="ADI32" s="8"/>
      <c r="ADJ32" s="8"/>
      <c r="ADK32" s="8"/>
      <c r="ADL32" s="8"/>
      <c r="ADM32" s="8"/>
      <c r="ADN32" s="8"/>
      <c r="ADO32" s="8"/>
      <c r="ADP32" s="8"/>
      <c r="ADQ32" s="8"/>
      <c r="ADR32" s="8"/>
      <c r="ADS32" s="8"/>
      <c r="ADT32" s="8"/>
      <c r="ADU32" s="8"/>
      <c r="ADV32" s="8"/>
      <c r="ADW32" s="8"/>
      <c r="ADX32" s="8"/>
      <c r="ADY32" s="8"/>
      <c r="ADZ32" s="8"/>
      <c r="AEA32" s="8"/>
      <c r="AEB32" s="8"/>
      <c r="AEC32" s="8"/>
      <c r="AED32" s="8"/>
      <c r="AEE32" s="8"/>
      <c r="AEF32" s="8"/>
      <c r="AEG32" s="8"/>
      <c r="AEH32" s="8"/>
      <c r="AEI32" s="8"/>
      <c r="AEJ32" s="8"/>
      <c r="AEK32" s="8"/>
      <c r="AEL32" s="8"/>
      <c r="AEM32" s="8"/>
      <c r="AEN32" s="8"/>
      <c r="AEO32" s="8"/>
      <c r="AEP32" s="8"/>
      <c r="AEQ32" s="8"/>
      <c r="AER32" s="8"/>
      <c r="AES32" s="8"/>
      <c r="AET32" s="8"/>
      <c r="AEU32" s="8"/>
      <c r="AEV32" s="8"/>
      <c r="AEW32" s="8"/>
      <c r="AEX32" s="8"/>
      <c r="AEY32" s="8"/>
      <c r="AEZ32" s="8"/>
      <c r="AFA32" s="8"/>
      <c r="AFB32" s="8"/>
      <c r="AFC32" s="8"/>
      <c r="AFD32" s="8"/>
      <c r="AFE32" s="8"/>
      <c r="AFF32" s="8"/>
      <c r="AFG32" s="8"/>
      <c r="AFH32" s="8"/>
      <c r="AFI32" s="8"/>
      <c r="AFJ32" s="8"/>
      <c r="AFK32" s="8"/>
      <c r="AFL32" s="8"/>
      <c r="AFM32" s="8"/>
      <c r="AFN32" s="8"/>
      <c r="AFO32" s="8"/>
      <c r="AFP32" s="8"/>
      <c r="AFQ32" s="8"/>
      <c r="AFR32" s="8"/>
      <c r="AFS32" s="8"/>
      <c r="AFT32" s="8"/>
      <c r="AFU32" s="8"/>
      <c r="AFV32" s="8"/>
      <c r="AFW32" s="8"/>
      <c r="AFX32" s="8"/>
      <c r="AFY32" s="8"/>
      <c r="AFZ32" s="8"/>
      <c r="AGA32" s="8"/>
      <c r="AGB32" s="8"/>
      <c r="AGC32" s="8"/>
      <c r="AGD32" s="8"/>
      <c r="AGE32" s="8"/>
      <c r="AGF32" s="8"/>
      <c r="AGG32" s="8"/>
      <c r="AGH32" s="8"/>
      <c r="AGI32" s="8"/>
      <c r="AGJ32" s="8"/>
      <c r="AGK32" s="8"/>
      <c r="AGL32" s="8"/>
      <c r="AGM32" s="8"/>
      <c r="AGN32" s="8"/>
      <c r="AGO32" s="8"/>
      <c r="AGP32" s="8"/>
      <c r="AGQ32" s="8"/>
      <c r="AGR32" s="8"/>
      <c r="AGS32" s="8"/>
      <c r="AGT32" s="8"/>
      <c r="AGU32" s="8"/>
      <c r="AGV32" s="8"/>
      <c r="AGW32" s="8"/>
      <c r="AGX32" s="8"/>
      <c r="AGY32" s="8"/>
      <c r="AGZ32" s="8"/>
      <c r="AHA32" s="8"/>
      <c r="AHB32" s="8"/>
      <c r="AHC32" s="8"/>
      <c r="AHD32" s="8"/>
      <c r="AHE32" s="8"/>
      <c r="AHF32" s="8"/>
      <c r="AHG32" s="8"/>
      <c r="AHH32" s="8"/>
      <c r="AHI32" s="8"/>
      <c r="AHJ32" s="8"/>
      <c r="AHK32" s="8"/>
      <c r="AHL32" s="8"/>
      <c r="AHM32" s="8"/>
      <c r="AHN32" s="8"/>
      <c r="AHO32" s="8"/>
      <c r="AHP32" s="8"/>
      <c r="AHQ32" s="8"/>
      <c r="AHR32" s="8"/>
      <c r="AHS32" s="8"/>
      <c r="AHT32" s="8"/>
      <c r="AHU32" s="8"/>
      <c r="AHV32" s="8"/>
      <c r="AHW32" s="8"/>
      <c r="AHX32" s="8"/>
      <c r="AHY32" s="8"/>
      <c r="AHZ32" s="8"/>
      <c r="AIA32" s="8"/>
      <c r="AIB32" s="8"/>
      <c r="AIC32" s="8"/>
      <c r="AID32" s="8"/>
      <c r="AIE32" s="8"/>
      <c r="AIF32" s="8"/>
      <c r="AIG32" s="8"/>
      <c r="AIH32" s="8"/>
      <c r="AII32" s="8"/>
      <c r="AIJ32" s="8"/>
      <c r="AIK32" s="8"/>
      <c r="AIL32" s="8"/>
      <c r="AIM32" s="8"/>
      <c r="AIN32" s="8"/>
      <c r="AIO32" s="8"/>
      <c r="AIP32" s="8"/>
      <c r="AIQ32" s="8"/>
      <c r="AIR32" s="8"/>
      <c r="AIS32" s="8"/>
      <c r="AIT32" s="8"/>
      <c r="AIU32" s="8"/>
      <c r="AIV32" s="8"/>
      <c r="AIW32" s="8"/>
      <c r="AIX32" s="8"/>
      <c r="AIY32" s="8"/>
      <c r="AIZ32" s="8"/>
      <c r="AJA32" s="8"/>
      <c r="AJB32" s="8"/>
      <c r="AJC32" s="8"/>
      <c r="AJD32" s="8"/>
      <c r="AJE32" s="8"/>
      <c r="AJF32" s="8"/>
      <c r="AJG32" s="8"/>
      <c r="AJH32" s="8"/>
      <c r="AJI32" s="8"/>
      <c r="AJJ32" s="8"/>
      <c r="AJK32" s="8"/>
      <c r="AJL32" s="8"/>
      <c r="AJM32" s="8"/>
      <c r="AJN32" s="8"/>
      <c r="AJO32" s="8"/>
      <c r="AJP32" s="8"/>
      <c r="AJQ32" s="8"/>
      <c r="AJR32" s="8"/>
      <c r="AJS32" s="8"/>
      <c r="AJT32" s="8"/>
      <c r="AJU32" s="8"/>
      <c r="AJV32" s="8"/>
      <c r="AJW32" s="8"/>
      <c r="AJX32" s="8"/>
      <c r="AJY32" s="8"/>
      <c r="AJZ32" s="8"/>
      <c r="AKA32" s="8"/>
      <c r="AKB32" s="8"/>
      <c r="AKC32" s="8"/>
      <c r="AKD32" s="8"/>
      <c r="AKE32" s="8"/>
      <c r="AKF32" s="8"/>
      <c r="AKG32" s="8"/>
      <c r="AKH32" s="8"/>
      <c r="AKI32" s="8"/>
      <c r="AKJ32" s="8"/>
      <c r="AKK32" s="8"/>
      <c r="AKL32" s="8"/>
      <c r="AKM32" s="8"/>
      <c r="AKN32" s="8"/>
      <c r="AKO32" s="8"/>
      <c r="AKP32" s="8"/>
      <c r="AKQ32" s="8"/>
      <c r="AKR32" s="8"/>
      <c r="AKS32" s="8"/>
      <c r="AKT32" s="8"/>
      <c r="AKU32" s="8"/>
      <c r="AKV32" s="8"/>
      <c r="AKW32" s="8"/>
      <c r="AKX32" s="8"/>
      <c r="AKY32" s="8"/>
      <c r="AKZ32" s="8"/>
      <c r="ALA32" s="8"/>
      <c r="ALB32" s="8"/>
      <c r="ALC32" s="8"/>
      <c r="ALD32" s="8"/>
      <c r="ALE32" s="8"/>
      <c r="ALF32" s="8"/>
      <c r="ALG32" s="8"/>
      <c r="ALH32" s="8"/>
      <c r="ALI32" s="8"/>
      <c r="ALJ32" s="8"/>
      <c r="ALK32" s="8"/>
      <c r="ALL32" s="8"/>
      <c r="ALM32" s="8"/>
      <c r="ALN32" s="8"/>
      <c r="ALO32" s="8"/>
      <c r="ALP32" s="8"/>
      <c r="ALQ32" s="8"/>
      <c r="ALR32" s="8"/>
      <c r="ALS32" s="8"/>
      <c r="ALT32" s="8"/>
      <c r="ALU32" s="8"/>
      <c r="ALV32" s="8"/>
      <c r="ALW32" s="8"/>
      <c r="ALX32" s="8"/>
      <c r="ALY32" s="8"/>
      <c r="ALZ32" s="8"/>
      <c r="AMA32" s="8"/>
      <c r="AMB32" s="8"/>
      <c r="AMC32" s="8"/>
      <c r="AMD32" s="8"/>
      <c r="AME32" s="8"/>
    </row>
    <row r="33" spans="2:18" s="8" customFormat="1" ht="38.25">
      <c r="B33" s="205"/>
      <c r="C33" s="1134"/>
      <c r="D33" s="1136"/>
      <c r="E33" s="1139"/>
      <c r="F33" s="247" t="s">
        <v>689</v>
      </c>
      <c r="G33" s="247" t="s">
        <v>378</v>
      </c>
      <c r="H33" s="243" t="s">
        <v>378</v>
      </c>
      <c r="I33" s="1129"/>
      <c r="J33" s="245" t="s">
        <v>378</v>
      </c>
      <c r="K33" s="51" t="s">
        <v>688</v>
      </c>
      <c r="L33" s="1129"/>
      <c r="M33" s="211" t="s">
        <v>690</v>
      </c>
      <c r="N33" s="1130"/>
      <c r="O33" s="1130"/>
      <c r="P33" s="1130"/>
      <c r="Q33" s="1130"/>
      <c r="R33" s="1124"/>
    </row>
    <row r="34" spans="2:18" s="8" customFormat="1" ht="76.5" customHeight="1">
      <c r="B34" s="205"/>
      <c r="C34" s="1134"/>
      <c r="D34" s="1136"/>
      <c r="E34" s="1139"/>
      <c r="F34" s="1138" t="s">
        <v>628</v>
      </c>
      <c r="G34" s="1138" t="s">
        <v>354</v>
      </c>
      <c r="H34" s="1126" t="s">
        <v>642</v>
      </c>
      <c r="I34" s="1129"/>
      <c r="J34" s="245" t="s">
        <v>1257</v>
      </c>
      <c r="K34" s="1150" t="s">
        <v>681</v>
      </c>
      <c r="L34" s="1129"/>
      <c r="M34" s="1141" t="s">
        <v>634</v>
      </c>
      <c r="N34" s="1130"/>
      <c r="O34" s="1130"/>
      <c r="P34" s="1130"/>
      <c r="Q34" s="1130"/>
      <c r="R34" s="1124"/>
    </row>
    <row r="35" spans="2:18" s="8" customFormat="1" ht="102" customHeight="1">
      <c r="B35" s="205"/>
      <c r="C35" s="1134"/>
      <c r="D35" s="1136"/>
      <c r="E35" s="1139"/>
      <c r="F35" s="1139"/>
      <c r="G35" s="1139"/>
      <c r="H35" s="1130"/>
      <c r="I35" s="1129"/>
      <c r="J35" s="245" t="s">
        <v>105</v>
      </c>
      <c r="K35" s="1150"/>
      <c r="L35" s="1129"/>
      <c r="M35" s="1141"/>
      <c r="N35" s="1130"/>
      <c r="O35" s="1130"/>
      <c r="P35" s="1130"/>
      <c r="Q35" s="1130"/>
      <c r="R35" s="1124"/>
    </row>
    <row r="36" spans="2:18" s="8" customFormat="1" ht="63.75" customHeight="1">
      <c r="B36" s="205"/>
      <c r="C36" s="1134"/>
      <c r="D36" s="1136"/>
      <c r="E36" s="1139"/>
      <c r="F36" s="51" t="s">
        <v>629</v>
      </c>
      <c r="G36" s="249" t="s">
        <v>355</v>
      </c>
      <c r="H36" s="249" t="s">
        <v>642</v>
      </c>
      <c r="I36" s="1129"/>
      <c r="J36" s="245" t="s">
        <v>1257</v>
      </c>
      <c r="K36" s="1150"/>
      <c r="L36" s="1129"/>
      <c r="M36" s="1141"/>
      <c r="N36" s="1130"/>
      <c r="O36" s="1130"/>
      <c r="P36" s="1130"/>
      <c r="Q36" s="1130"/>
      <c r="R36" s="1124"/>
    </row>
    <row r="37" spans="2:18" s="8" customFormat="1" ht="63.75">
      <c r="B37" s="205"/>
      <c r="C37" s="1145"/>
      <c r="D37" s="1137"/>
      <c r="E37" s="1140"/>
      <c r="F37" s="251" t="s">
        <v>702</v>
      </c>
      <c r="G37" s="251" t="s">
        <v>703</v>
      </c>
      <c r="H37" s="251" t="s">
        <v>143</v>
      </c>
      <c r="I37" s="1147"/>
      <c r="J37" s="251" t="s">
        <v>773</v>
      </c>
      <c r="K37" s="251" t="s">
        <v>778</v>
      </c>
      <c r="L37" s="1147"/>
      <c r="M37" s="236" t="s">
        <v>704</v>
      </c>
      <c r="N37" s="1127"/>
      <c r="O37" s="1127"/>
      <c r="P37" s="1127"/>
      <c r="Q37" s="1127"/>
      <c r="R37" s="1125"/>
    </row>
    <row r="38" spans="2:18" s="8" customFormat="1" ht="38.25">
      <c r="B38" s="205"/>
      <c r="C38" s="1133" t="s">
        <v>424</v>
      </c>
      <c r="D38" s="1135" t="s">
        <v>612</v>
      </c>
      <c r="E38" s="1138" t="s">
        <v>624</v>
      </c>
      <c r="F38" s="245" t="s">
        <v>676</v>
      </c>
      <c r="G38" s="245" t="s">
        <v>683</v>
      </c>
      <c r="H38" s="245" t="s">
        <v>640</v>
      </c>
      <c r="I38" s="1128">
        <v>1</v>
      </c>
      <c r="J38" s="245" t="s">
        <v>357</v>
      </c>
      <c r="K38" s="248" t="s">
        <v>679</v>
      </c>
      <c r="L38" s="1128" t="s">
        <v>674</v>
      </c>
      <c r="M38" s="249" t="s">
        <v>684</v>
      </c>
      <c r="N38" s="1126" t="s">
        <v>667</v>
      </c>
      <c r="O38" s="1126" t="s">
        <v>670</v>
      </c>
      <c r="P38" s="1126"/>
      <c r="Q38" s="1142" t="s">
        <v>1245</v>
      </c>
      <c r="R38" s="1123" t="s">
        <v>1251</v>
      </c>
    </row>
    <row r="39" spans="2:18" s="8" customFormat="1" ht="38.25" customHeight="1">
      <c r="B39" s="205"/>
      <c r="C39" s="1134"/>
      <c r="D39" s="1136"/>
      <c r="E39" s="1139"/>
      <c r="F39" s="51" t="s">
        <v>677</v>
      </c>
      <c r="G39" s="51" t="s">
        <v>711</v>
      </c>
      <c r="H39" s="249" t="s">
        <v>641</v>
      </c>
      <c r="I39" s="1129"/>
      <c r="J39" s="1126" t="s">
        <v>1260</v>
      </c>
      <c r="K39" s="1138" t="s">
        <v>680</v>
      </c>
      <c r="L39" s="1129"/>
      <c r="M39" s="1126" t="s">
        <v>684</v>
      </c>
      <c r="N39" s="1130"/>
      <c r="O39" s="1130"/>
      <c r="P39" s="1130"/>
      <c r="Q39" s="1143"/>
      <c r="R39" s="1124"/>
    </row>
    <row r="40" spans="2:18" s="8" customFormat="1" ht="38.25">
      <c r="B40" s="205"/>
      <c r="C40" s="1134"/>
      <c r="D40" s="1136"/>
      <c r="E40" s="1139"/>
      <c r="F40" s="51" t="s">
        <v>678</v>
      </c>
      <c r="G40" s="51" t="s">
        <v>637</v>
      </c>
      <c r="H40" s="249" t="s">
        <v>640</v>
      </c>
      <c r="I40" s="1129"/>
      <c r="J40" s="1127"/>
      <c r="K40" s="1140"/>
      <c r="L40" s="1129"/>
      <c r="M40" s="1127"/>
      <c r="N40" s="1130"/>
      <c r="O40" s="1130"/>
      <c r="P40" s="1130"/>
      <c r="Q40" s="1143"/>
      <c r="R40" s="1124"/>
    </row>
    <row r="41" spans="2:18" s="8" customFormat="1" ht="140.25" customHeight="1">
      <c r="B41" s="205"/>
      <c r="C41" s="1134"/>
      <c r="D41" s="1136"/>
      <c r="E41" s="1139"/>
      <c r="F41" s="247" t="s">
        <v>705</v>
      </c>
      <c r="G41" s="247" t="s">
        <v>706</v>
      </c>
      <c r="H41" s="247" t="s">
        <v>640</v>
      </c>
      <c r="I41" s="1129"/>
      <c r="J41" s="251" t="s">
        <v>777</v>
      </c>
      <c r="K41" s="241" t="s">
        <v>707</v>
      </c>
      <c r="L41" s="1129"/>
      <c r="M41" s="243" t="s">
        <v>652</v>
      </c>
      <c r="N41" s="1130"/>
      <c r="O41" s="1130"/>
      <c r="P41" s="1130"/>
      <c r="Q41" s="1143"/>
      <c r="R41" s="1124"/>
    </row>
    <row r="42" spans="2:18" s="8" customFormat="1" ht="76.5" customHeight="1">
      <c r="B42" s="205"/>
      <c r="C42" s="1134"/>
      <c r="D42" s="1136"/>
      <c r="E42" s="1139"/>
      <c r="F42" s="1138" t="s">
        <v>628</v>
      </c>
      <c r="G42" s="1138" t="s">
        <v>354</v>
      </c>
      <c r="H42" s="1126" t="s">
        <v>642</v>
      </c>
      <c r="I42" s="1129"/>
      <c r="J42" s="245" t="s">
        <v>1257</v>
      </c>
      <c r="K42" s="1148" t="s">
        <v>681</v>
      </c>
      <c r="L42" s="1129"/>
      <c r="M42" s="1141" t="s">
        <v>634</v>
      </c>
      <c r="N42" s="1130"/>
      <c r="O42" s="1130"/>
      <c r="P42" s="1130"/>
      <c r="Q42" s="1143"/>
      <c r="R42" s="1124"/>
    </row>
    <row r="43" spans="2:18" s="8" customFormat="1" ht="102" customHeight="1">
      <c r="B43" s="205"/>
      <c r="C43" s="1134"/>
      <c r="D43" s="1136"/>
      <c r="E43" s="1139"/>
      <c r="F43" s="1139"/>
      <c r="G43" s="1139"/>
      <c r="H43" s="1130"/>
      <c r="I43" s="1129"/>
      <c r="J43" s="245" t="s">
        <v>105</v>
      </c>
      <c r="K43" s="1148"/>
      <c r="L43" s="1129"/>
      <c r="M43" s="1141"/>
      <c r="N43" s="1130"/>
      <c r="O43" s="1130"/>
      <c r="P43" s="1130"/>
      <c r="Q43" s="1143"/>
      <c r="R43" s="1124"/>
    </row>
    <row r="44" spans="2:18" s="8" customFormat="1" ht="63.75" customHeight="1">
      <c r="B44" s="205"/>
      <c r="C44" s="1134"/>
      <c r="D44" s="1136"/>
      <c r="E44" s="1139"/>
      <c r="F44" s="51" t="s">
        <v>629</v>
      </c>
      <c r="G44" s="249" t="s">
        <v>355</v>
      </c>
      <c r="H44" s="249" t="s">
        <v>642</v>
      </c>
      <c r="I44" s="1129"/>
      <c r="J44" s="245" t="s">
        <v>1257</v>
      </c>
      <c r="K44" s="1148"/>
      <c r="L44" s="1129"/>
      <c r="M44" s="1141"/>
      <c r="N44" s="1130"/>
      <c r="O44" s="1130"/>
      <c r="P44" s="1130"/>
      <c r="Q44" s="1143"/>
      <c r="R44" s="1124"/>
    </row>
    <row r="45" spans="2:18" s="8" customFormat="1" ht="63.75">
      <c r="B45" s="205"/>
      <c r="C45" s="1145"/>
      <c r="D45" s="1137"/>
      <c r="E45" s="1140"/>
      <c r="F45" s="251" t="s">
        <v>702</v>
      </c>
      <c r="G45" s="251" t="s">
        <v>703</v>
      </c>
      <c r="H45" s="251" t="s">
        <v>143</v>
      </c>
      <c r="I45" s="1146"/>
      <c r="J45" s="251" t="s">
        <v>1259</v>
      </c>
      <c r="K45" s="251" t="s">
        <v>778</v>
      </c>
      <c r="L45" s="1147"/>
      <c r="M45" s="236" t="s">
        <v>704</v>
      </c>
      <c r="N45" s="1127"/>
      <c r="O45" s="1127"/>
      <c r="P45" s="1127"/>
      <c r="Q45" s="1144"/>
      <c r="R45" s="1125"/>
    </row>
    <row r="46" spans="2:18" s="8" customFormat="1" ht="76.5" customHeight="1">
      <c r="B46" s="1131"/>
      <c r="C46" s="1133" t="s">
        <v>425</v>
      </c>
      <c r="D46" s="1135" t="s">
        <v>613</v>
      </c>
      <c r="E46" s="1138" t="s">
        <v>625</v>
      </c>
      <c r="F46" s="1138" t="s">
        <v>628</v>
      </c>
      <c r="G46" s="1138" t="s">
        <v>354</v>
      </c>
      <c r="H46" s="1126" t="s">
        <v>642</v>
      </c>
      <c r="I46" s="1128">
        <v>1</v>
      </c>
      <c r="J46" s="245" t="s">
        <v>1257</v>
      </c>
      <c r="K46" s="1130" t="s">
        <v>546</v>
      </c>
      <c r="L46" s="1128" t="s">
        <v>674</v>
      </c>
      <c r="M46" s="1130" t="s">
        <v>634</v>
      </c>
      <c r="N46" s="1126" t="s">
        <v>635</v>
      </c>
      <c r="O46" s="1126" t="s">
        <v>671</v>
      </c>
      <c r="P46" s="1126"/>
      <c r="Q46" s="1126" t="s">
        <v>1246</v>
      </c>
      <c r="R46" s="1123" t="s">
        <v>1250</v>
      </c>
    </row>
    <row r="47" spans="2:18" s="8" customFormat="1" ht="102" customHeight="1">
      <c r="B47" s="1132"/>
      <c r="C47" s="1134"/>
      <c r="D47" s="1136"/>
      <c r="E47" s="1139"/>
      <c r="F47" s="1140"/>
      <c r="G47" s="1140"/>
      <c r="H47" s="1127"/>
      <c r="I47" s="1129"/>
      <c r="J47" s="245" t="s">
        <v>105</v>
      </c>
      <c r="K47" s="1130"/>
      <c r="L47" s="1129"/>
      <c r="M47" s="1130"/>
      <c r="N47" s="1130"/>
      <c r="O47" s="1130"/>
      <c r="P47" s="1130"/>
      <c r="Q47" s="1130"/>
      <c r="R47" s="1124"/>
    </row>
    <row r="48" spans="2:18" s="8" customFormat="1" ht="63.75" customHeight="1">
      <c r="B48" s="207"/>
      <c r="C48" s="1134"/>
      <c r="D48" s="1136"/>
      <c r="E48" s="1139"/>
      <c r="F48" s="51" t="s">
        <v>629</v>
      </c>
      <c r="G48" s="249" t="s">
        <v>355</v>
      </c>
      <c r="H48" s="249" t="s">
        <v>642</v>
      </c>
      <c r="I48" s="1129"/>
      <c r="J48" s="245" t="s">
        <v>1257</v>
      </c>
      <c r="K48" s="1127"/>
      <c r="L48" s="1129"/>
      <c r="M48" s="1130"/>
      <c r="N48" s="1130"/>
      <c r="O48" s="1130"/>
      <c r="P48" s="1130"/>
      <c r="Q48" s="1130"/>
      <c r="R48" s="1124"/>
    </row>
    <row r="49" spans="2:18" s="8" customFormat="1" ht="39" thickBot="1">
      <c r="B49" s="207"/>
      <c r="C49" s="1134"/>
      <c r="D49" s="1137"/>
      <c r="E49" s="1140"/>
      <c r="F49" s="251" t="s">
        <v>702</v>
      </c>
      <c r="G49" s="251" t="s">
        <v>703</v>
      </c>
      <c r="H49" s="251" t="s">
        <v>143</v>
      </c>
      <c r="I49" s="1129"/>
      <c r="J49" s="251" t="s">
        <v>773</v>
      </c>
      <c r="K49" s="242" t="s">
        <v>779</v>
      </c>
      <c r="L49" s="1129"/>
      <c r="M49" s="236" t="s">
        <v>704</v>
      </c>
      <c r="N49" s="1127"/>
      <c r="O49" s="1127"/>
      <c r="P49" s="1127"/>
      <c r="Q49" s="1127"/>
      <c r="R49" s="1125"/>
    </row>
    <row r="50" spans="2:18" s="8" customFormat="1" ht="64.5" thickBot="1">
      <c r="B50" s="208"/>
      <c r="C50" s="209" t="s">
        <v>426</v>
      </c>
      <c r="D50" s="195" t="s">
        <v>427</v>
      </c>
      <c r="E50" s="196" t="s">
        <v>627</v>
      </c>
      <c r="F50" s="196" t="s">
        <v>692</v>
      </c>
      <c r="G50" s="197" t="s">
        <v>691</v>
      </c>
      <c r="H50" s="197" t="s">
        <v>641</v>
      </c>
      <c r="I50" s="957">
        <v>1</v>
      </c>
      <c r="J50" s="197" t="s">
        <v>1260</v>
      </c>
      <c r="K50" s="197" t="s">
        <v>693</v>
      </c>
      <c r="L50" s="957" t="s">
        <v>632</v>
      </c>
      <c r="M50" s="197" t="s">
        <v>694</v>
      </c>
      <c r="N50" s="197" t="s">
        <v>668</v>
      </c>
      <c r="O50" s="197" t="s">
        <v>311</v>
      </c>
      <c r="P50" s="197"/>
      <c r="Q50" s="197" t="s">
        <v>1246</v>
      </c>
      <c r="R50" s="1000" t="s">
        <v>1249</v>
      </c>
    </row>
  </sheetData>
  <mergeCells count="114">
    <mergeCell ref="G6:G7"/>
    <mergeCell ref="H6:H7"/>
    <mergeCell ref="I6:I17"/>
    <mergeCell ref="K6:K9"/>
    <mergeCell ref="L6:L17"/>
    <mergeCell ref="M6:M17"/>
    <mergeCell ref="K11:K17"/>
    <mergeCell ref="B4:C4"/>
    <mergeCell ref="C6:C17"/>
    <mergeCell ref="D6:D17"/>
    <mergeCell ref="E6:E17"/>
    <mergeCell ref="F6:F7"/>
    <mergeCell ref="F11:F17"/>
    <mergeCell ref="R6:R17"/>
    <mergeCell ref="N10:N17"/>
    <mergeCell ref="O10:O17"/>
    <mergeCell ref="P10:P17"/>
    <mergeCell ref="Q10:Q17"/>
    <mergeCell ref="N6:N9"/>
    <mergeCell ref="O6:O9"/>
    <mergeCell ref="P6:P9"/>
    <mergeCell ref="Q6:Q9"/>
    <mergeCell ref="I18:I22"/>
    <mergeCell ref="K18:K20"/>
    <mergeCell ref="L18:L22"/>
    <mergeCell ref="M18:M20"/>
    <mergeCell ref="N18:N22"/>
    <mergeCell ref="O18:O20"/>
    <mergeCell ref="C18:C22"/>
    <mergeCell ref="D18:D22"/>
    <mergeCell ref="E18:E22"/>
    <mergeCell ref="F18:F19"/>
    <mergeCell ref="G18:G19"/>
    <mergeCell ref="H18:H19"/>
    <mergeCell ref="P18:P20"/>
    <mergeCell ref="Q18:Q20"/>
    <mergeCell ref="R18:R22"/>
    <mergeCell ref="O21:O22"/>
    <mergeCell ref="P21:P22"/>
    <mergeCell ref="Q21:Q22"/>
    <mergeCell ref="O26:O27"/>
    <mergeCell ref="P23:P25"/>
    <mergeCell ref="Q23:Q25"/>
    <mergeCell ref="R23:R25"/>
    <mergeCell ref="B26:B27"/>
    <mergeCell ref="C26:C27"/>
    <mergeCell ref="D26:D27"/>
    <mergeCell ref="E26:E27"/>
    <mergeCell ref="I26:I27"/>
    <mergeCell ref="C23:C25"/>
    <mergeCell ref="D23:D25"/>
    <mergeCell ref="E23:E25"/>
    <mergeCell ref="I23:I25"/>
    <mergeCell ref="L23:L25"/>
    <mergeCell ref="O23:O25"/>
    <mergeCell ref="Q29:Q37"/>
    <mergeCell ref="R29:R37"/>
    <mergeCell ref="P26:P27"/>
    <mergeCell ref="Q26:Q27"/>
    <mergeCell ref="R26:R27"/>
    <mergeCell ref="C29:C37"/>
    <mergeCell ref="D29:D37"/>
    <mergeCell ref="E29:E37"/>
    <mergeCell ref="I29:I37"/>
    <mergeCell ref="L29:L37"/>
    <mergeCell ref="N29:N37"/>
    <mergeCell ref="K26:K27"/>
    <mergeCell ref="L26:L27"/>
    <mergeCell ref="M26:M27"/>
    <mergeCell ref="N26:N27"/>
    <mergeCell ref="J30:J31"/>
    <mergeCell ref="K30:K31"/>
    <mergeCell ref="M30:M31"/>
    <mergeCell ref="F34:F35"/>
    <mergeCell ref="G34:G35"/>
    <mergeCell ref="H34:H35"/>
    <mergeCell ref="K34:K36"/>
    <mergeCell ref="M34:M36"/>
    <mergeCell ref="O29:O37"/>
    <mergeCell ref="O38:O45"/>
    <mergeCell ref="P38:P45"/>
    <mergeCell ref="Q38:Q45"/>
    <mergeCell ref="R38:R45"/>
    <mergeCell ref="C38:C45"/>
    <mergeCell ref="D38:D45"/>
    <mergeCell ref="E38:E45"/>
    <mergeCell ref="I38:I45"/>
    <mergeCell ref="L38:L45"/>
    <mergeCell ref="N38:N45"/>
    <mergeCell ref="J39:J40"/>
    <mergeCell ref="K39:K40"/>
    <mergeCell ref="M39:M40"/>
    <mergeCell ref="F42:F43"/>
    <mergeCell ref="G42:G43"/>
    <mergeCell ref="H42:H43"/>
    <mergeCell ref="K42:K44"/>
    <mergeCell ref="M42:M44"/>
    <mergeCell ref="P29:P37"/>
    <mergeCell ref="R46:R49"/>
    <mergeCell ref="H46:H47"/>
    <mergeCell ref="I46:I49"/>
    <mergeCell ref="K46:K48"/>
    <mergeCell ref="L46:L49"/>
    <mergeCell ref="M46:M48"/>
    <mergeCell ref="N46:N49"/>
    <mergeCell ref="B46:B47"/>
    <mergeCell ref="C46:C49"/>
    <mergeCell ref="D46:D49"/>
    <mergeCell ref="E46:E49"/>
    <mergeCell ref="F46:F47"/>
    <mergeCell ref="G46:G47"/>
    <mergeCell ref="O46:O49"/>
    <mergeCell ref="P46:P49"/>
    <mergeCell ref="Q46:Q49"/>
  </mergeCells>
  <printOptions/>
  <pageMargins left="0.7" right="0.7" top="0.75" bottom="0.75" header="0.511805555555555" footer="0.511805555555555"/>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5A7F2B"/>
  </sheetPr>
  <dimension ref="B1:Q64"/>
  <sheetViews>
    <sheetView workbookViewId="0" topLeftCell="A1">
      <selection activeCell="B51" sqref="B51:J51"/>
    </sheetView>
  </sheetViews>
  <sheetFormatPr defaultColWidth="10.8515625" defaultRowHeight="15"/>
  <cols>
    <col min="1" max="1" width="4.140625" style="0" customWidth="1"/>
    <col min="2" max="2" width="39.140625" style="53" customWidth="1"/>
    <col min="3" max="3" width="16.28125" style="53" customWidth="1"/>
    <col min="4" max="4" width="12.8515625" style="53" customWidth="1"/>
    <col min="5" max="6" width="10.8515625" style="53" customWidth="1"/>
    <col min="7" max="7" width="16.28125" style="53" customWidth="1"/>
  </cols>
  <sheetData>
    <row r="1" spans="6:7" ht="15">
      <c r="F1"/>
      <c r="G1"/>
    </row>
    <row r="2" spans="2:12" ht="15">
      <c r="B2" s="393" t="s">
        <v>1148</v>
      </c>
      <c r="C2" s="337"/>
      <c r="D2" s="337"/>
      <c r="E2" s="337"/>
      <c r="F2" s="394"/>
      <c r="G2" s="394"/>
      <c r="H2" s="394"/>
      <c r="I2" s="394"/>
      <c r="J2" s="394"/>
      <c r="L2" t="s">
        <v>695</v>
      </c>
    </row>
    <row r="3" spans="2:7" ht="15">
      <c r="B3"/>
      <c r="C3"/>
      <c r="D3"/>
      <c r="E3"/>
      <c r="F3"/>
      <c r="G3"/>
    </row>
    <row r="4" spans="2:10" ht="15">
      <c r="B4" s="396" t="s">
        <v>1146</v>
      </c>
      <c r="C4" s="332"/>
      <c r="D4" s="332"/>
      <c r="E4" s="332"/>
      <c r="F4" s="392"/>
      <c r="G4" s="392"/>
      <c r="H4" s="392"/>
      <c r="I4" s="392"/>
      <c r="J4" s="392"/>
    </row>
    <row r="5" spans="2:7" ht="15">
      <c r="B5" s="325"/>
      <c r="F5"/>
      <c r="G5"/>
    </row>
    <row r="6" spans="2:4" ht="90">
      <c r="B6" s="308" t="s">
        <v>163</v>
      </c>
      <c r="C6" s="308" t="s">
        <v>1147</v>
      </c>
      <c r="D6" s="308" t="s">
        <v>132</v>
      </c>
    </row>
    <row r="7" spans="2:4" ht="53.25" customHeight="1">
      <c r="B7" s="123" t="s">
        <v>165</v>
      </c>
      <c r="C7" s="425">
        <v>0.01</v>
      </c>
      <c r="D7" s="1280" t="s">
        <v>1599</v>
      </c>
    </row>
    <row r="8" spans="2:4" ht="15">
      <c r="B8" s="123" t="s">
        <v>164</v>
      </c>
      <c r="C8" s="425">
        <v>0.003</v>
      </c>
      <c r="D8" s="1281"/>
    </row>
    <row r="9" spans="2:4" ht="28.5">
      <c r="B9" s="123" t="s">
        <v>1523</v>
      </c>
      <c r="C9" s="425">
        <v>8</v>
      </c>
      <c r="D9" s="1281"/>
    </row>
    <row r="10" spans="2:4" ht="25.5">
      <c r="B10" s="123" t="s">
        <v>166</v>
      </c>
      <c r="C10" s="425">
        <v>16</v>
      </c>
      <c r="D10" s="1281"/>
    </row>
    <row r="11" spans="2:4" ht="38.25">
      <c r="B11" s="123" t="s">
        <v>167</v>
      </c>
      <c r="C11" s="425">
        <v>0.6</v>
      </c>
      <c r="D11" s="1281"/>
    </row>
    <row r="12" spans="2:4" ht="38.25">
      <c r="B12" s="123" t="s">
        <v>168</v>
      </c>
      <c r="C12" s="425">
        <v>0.1</v>
      </c>
      <c r="D12" s="1281"/>
    </row>
    <row r="13" spans="2:4" ht="25.5">
      <c r="B13" s="123" t="s">
        <v>169</v>
      </c>
      <c r="C13" s="425">
        <v>8</v>
      </c>
      <c r="D13" s="1281"/>
    </row>
    <row r="14" spans="2:4" ht="38.25">
      <c r="B14" s="123" t="s">
        <v>170</v>
      </c>
      <c r="C14" s="425">
        <v>0.02</v>
      </c>
      <c r="D14" s="1281"/>
    </row>
    <row r="15" spans="2:4" ht="25.5">
      <c r="B15" s="123" t="s">
        <v>171</v>
      </c>
      <c r="C15" s="425">
        <v>0.01</v>
      </c>
      <c r="D15" s="1282"/>
    </row>
    <row r="17" spans="2:17" ht="15">
      <c r="B17" s="336" t="s">
        <v>1149</v>
      </c>
      <c r="C17" s="334"/>
      <c r="D17" s="334"/>
      <c r="E17" s="332"/>
      <c r="F17" s="332"/>
      <c r="G17" s="332"/>
      <c r="H17" s="332"/>
      <c r="I17" s="332"/>
      <c r="J17" s="332"/>
      <c r="K17" s="1"/>
      <c r="L17" s="1"/>
      <c r="M17" s="1"/>
      <c r="N17" s="1"/>
      <c r="O17" s="1"/>
      <c r="P17" s="1"/>
      <c r="Q17" s="1"/>
    </row>
    <row r="18" spans="2:17" ht="15">
      <c r="B18"/>
      <c r="C18"/>
      <c r="D18"/>
      <c r="E18"/>
      <c r="F18"/>
      <c r="G18"/>
      <c r="O18" s="1"/>
      <c r="P18" s="1"/>
      <c r="Q18" s="1"/>
    </row>
    <row r="19" spans="2:17" ht="15">
      <c r="B19" s="291" t="s">
        <v>1601</v>
      </c>
      <c r="C19" s="291" t="s">
        <v>276</v>
      </c>
      <c r="D19" s="291" t="s">
        <v>449</v>
      </c>
      <c r="E19" s="291" t="s">
        <v>273</v>
      </c>
      <c r="F19" s="291" t="s">
        <v>274</v>
      </c>
      <c r="G19" s="291" t="s">
        <v>269</v>
      </c>
      <c r="H19" s="291" t="s">
        <v>275</v>
      </c>
      <c r="I19" s="1216" t="s">
        <v>132</v>
      </c>
      <c r="J19" s="1308"/>
      <c r="K19" s="1"/>
      <c r="L19" s="1"/>
      <c r="M19" s="1"/>
      <c r="N19" s="1"/>
      <c r="O19" s="1"/>
      <c r="P19" s="1"/>
      <c r="Q19" s="1"/>
    </row>
    <row r="20" spans="2:17" ht="15" customHeight="1">
      <c r="B20" s="281" t="s">
        <v>203</v>
      </c>
      <c r="C20" s="426">
        <v>0.9</v>
      </c>
      <c r="D20" s="426">
        <v>0.3</v>
      </c>
      <c r="E20" s="426">
        <v>0</v>
      </c>
      <c r="F20" s="426">
        <v>0.015</v>
      </c>
      <c r="G20" s="426">
        <v>0.54</v>
      </c>
      <c r="H20" s="426">
        <v>0.012</v>
      </c>
      <c r="I20" s="1388" t="s">
        <v>1600</v>
      </c>
      <c r="J20" s="1388"/>
      <c r="K20" s="1"/>
      <c r="L20" s="1"/>
      <c r="M20" s="1"/>
      <c r="N20" s="1"/>
      <c r="O20" s="1"/>
      <c r="P20" s="1"/>
      <c r="Q20" s="1"/>
    </row>
    <row r="21" spans="2:17" ht="15">
      <c r="B21" s="281" t="s">
        <v>205</v>
      </c>
      <c r="C21" s="426">
        <v>0.89</v>
      </c>
      <c r="D21" s="426">
        <v>0.95</v>
      </c>
      <c r="E21" s="426">
        <v>2.46</v>
      </c>
      <c r="F21" s="426">
        <v>0.007</v>
      </c>
      <c r="G21" s="426">
        <v>0.16</v>
      </c>
      <c r="H21" s="426">
        <v>0.009</v>
      </c>
      <c r="I21" s="1388"/>
      <c r="J21" s="1388"/>
      <c r="K21" s="1"/>
      <c r="L21" s="1"/>
      <c r="M21" s="1"/>
      <c r="N21" s="1"/>
      <c r="O21" s="1"/>
      <c r="P21" s="1"/>
      <c r="Q21" s="1"/>
    </row>
    <row r="22" spans="2:17" s="221" customFormat="1" ht="15">
      <c r="B22" s="281" t="s">
        <v>234</v>
      </c>
      <c r="C22" s="426">
        <v>0.94</v>
      </c>
      <c r="D22" s="426">
        <v>1.07</v>
      </c>
      <c r="E22" s="426">
        <v>1.54</v>
      </c>
      <c r="F22" s="426">
        <v>0.016</v>
      </c>
      <c r="G22" s="426">
        <v>0.2</v>
      </c>
      <c r="H22" s="426">
        <v>0.014</v>
      </c>
      <c r="I22" s="1388"/>
      <c r="J22" s="1388"/>
      <c r="K22" s="220"/>
      <c r="L22" s="220"/>
      <c r="M22" s="220"/>
      <c r="N22" s="220"/>
      <c r="O22" s="220"/>
      <c r="P22" s="220"/>
      <c r="Q22" s="220"/>
    </row>
    <row r="23" spans="2:17" s="221" customFormat="1" ht="15">
      <c r="B23" s="281" t="s">
        <v>206</v>
      </c>
      <c r="C23" s="426">
        <v>0.87</v>
      </c>
      <c r="D23" s="426">
        <v>1.03</v>
      </c>
      <c r="E23" s="426">
        <v>0.61</v>
      </c>
      <c r="F23" s="426">
        <v>0.006</v>
      </c>
      <c r="G23" s="426">
        <v>0.22</v>
      </c>
      <c r="H23" s="426">
        <v>0.007</v>
      </c>
      <c r="I23" s="1388"/>
      <c r="J23" s="1388"/>
      <c r="K23" s="220"/>
      <c r="L23" s="220"/>
      <c r="M23" s="220"/>
      <c r="N23" s="220"/>
      <c r="O23" s="220"/>
      <c r="P23" s="220"/>
      <c r="Q23" s="220"/>
    </row>
    <row r="24" spans="2:17" s="221" customFormat="1" ht="15">
      <c r="B24" s="281" t="s">
        <v>208</v>
      </c>
      <c r="C24" s="426">
        <v>0.94</v>
      </c>
      <c r="D24" s="426">
        <v>1.07</v>
      </c>
      <c r="E24" s="426">
        <v>1.54</v>
      </c>
      <c r="F24" s="426">
        <v>0.016</v>
      </c>
      <c r="G24" s="426">
        <v>0.2</v>
      </c>
      <c r="H24" s="426">
        <v>0.014</v>
      </c>
      <c r="I24" s="1388"/>
      <c r="J24" s="1388"/>
      <c r="K24" s="220"/>
      <c r="L24" s="220"/>
      <c r="M24" s="220"/>
      <c r="N24" s="220"/>
      <c r="O24" s="220"/>
      <c r="P24" s="220"/>
      <c r="Q24" s="220"/>
    </row>
    <row r="25" spans="2:17" s="221" customFormat="1" ht="15">
      <c r="B25" s="281" t="s">
        <v>210</v>
      </c>
      <c r="C25" s="426">
        <v>0.88</v>
      </c>
      <c r="D25" s="426">
        <v>1.09</v>
      </c>
      <c r="E25" s="426">
        <v>0.88</v>
      </c>
      <c r="F25" s="426">
        <v>0.006</v>
      </c>
      <c r="G25" s="426">
        <v>0.22</v>
      </c>
      <c r="H25" s="426">
        <v>0.009</v>
      </c>
      <c r="I25" s="1388"/>
      <c r="J25" s="1388"/>
      <c r="K25" s="220"/>
      <c r="L25" s="220"/>
      <c r="M25" s="220"/>
      <c r="N25" s="220"/>
      <c r="O25" s="220"/>
      <c r="P25" s="220"/>
      <c r="Q25" s="220"/>
    </row>
    <row r="26" spans="2:17" s="221" customFormat="1" ht="15">
      <c r="B26" s="281" t="s">
        <v>211</v>
      </c>
      <c r="C26" s="426">
        <v>0.94</v>
      </c>
      <c r="D26" s="426">
        <v>1.07</v>
      </c>
      <c r="E26" s="426">
        <v>1.54</v>
      </c>
      <c r="F26" s="426">
        <v>0.016</v>
      </c>
      <c r="G26" s="426">
        <v>0.2</v>
      </c>
      <c r="H26" s="426">
        <v>0.014</v>
      </c>
      <c r="I26" s="1388"/>
      <c r="J26" s="1388"/>
      <c r="K26" s="220"/>
      <c r="L26" s="220"/>
      <c r="M26" s="220"/>
      <c r="N26" s="220"/>
      <c r="O26" s="220"/>
      <c r="P26" s="220"/>
      <c r="Q26" s="220"/>
    </row>
    <row r="27" spans="2:17" ht="15">
      <c r="B27" s="281" t="s">
        <v>212</v>
      </c>
      <c r="C27" s="426">
        <v>0.94</v>
      </c>
      <c r="D27" s="426">
        <v>1.07</v>
      </c>
      <c r="E27" s="426">
        <v>1.54</v>
      </c>
      <c r="F27" s="426">
        <v>0.016</v>
      </c>
      <c r="G27" s="426">
        <v>0.2</v>
      </c>
      <c r="H27" s="426">
        <v>0.014</v>
      </c>
      <c r="I27" s="1388"/>
      <c r="J27" s="1388"/>
      <c r="K27" s="1"/>
      <c r="L27" s="1"/>
      <c r="M27" s="1"/>
      <c r="N27" s="1"/>
      <c r="O27" s="1"/>
      <c r="P27" s="1"/>
      <c r="Q27" s="1"/>
    </row>
    <row r="28" spans="2:17" s="221" customFormat="1" ht="15">
      <c r="B28" s="281" t="s">
        <v>213</v>
      </c>
      <c r="C28" s="426">
        <v>0.94</v>
      </c>
      <c r="D28" s="426">
        <v>1.07</v>
      </c>
      <c r="E28" s="426">
        <v>1.54</v>
      </c>
      <c r="F28" s="426">
        <v>0.016</v>
      </c>
      <c r="G28" s="426">
        <v>0.2</v>
      </c>
      <c r="H28" s="426">
        <v>0.014</v>
      </c>
      <c r="I28" s="1388"/>
      <c r="J28" s="1388"/>
      <c r="K28" s="220"/>
      <c r="L28" s="220"/>
      <c r="M28" s="220"/>
      <c r="N28" s="220"/>
      <c r="O28" s="220"/>
      <c r="P28" s="220"/>
      <c r="Q28" s="220"/>
    </row>
    <row r="29" spans="2:17" s="221" customFormat="1" ht="15">
      <c r="B29" s="281" t="s">
        <v>214</v>
      </c>
      <c r="C29" s="426">
        <v>0.87</v>
      </c>
      <c r="D29" s="426">
        <v>1.03</v>
      </c>
      <c r="E29" s="426">
        <v>0.61</v>
      </c>
      <c r="F29" s="426">
        <v>0.006</v>
      </c>
      <c r="G29" s="426">
        <v>0.22</v>
      </c>
      <c r="H29" s="426">
        <v>0.007</v>
      </c>
      <c r="I29" s="1388"/>
      <c r="J29" s="1388"/>
      <c r="K29" s="220"/>
      <c r="L29" s="220"/>
      <c r="M29" s="220"/>
      <c r="N29" s="220"/>
      <c r="O29" s="220"/>
      <c r="P29" s="220"/>
      <c r="Q29" s="220"/>
    </row>
    <row r="30" spans="2:17" s="221" customFormat="1" ht="15">
      <c r="B30" s="281" t="s">
        <v>215</v>
      </c>
      <c r="C30" s="426">
        <v>0.94</v>
      </c>
      <c r="D30" s="426">
        <v>1.07</v>
      </c>
      <c r="E30" s="426">
        <v>1.54</v>
      </c>
      <c r="F30" s="426">
        <v>0.016</v>
      </c>
      <c r="G30" s="426">
        <v>0.2</v>
      </c>
      <c r="H30" s="426">
        <v>0.014</v>
      </c>
      <c r="I30" s="1388"/>
      <c r="J30" s="1388"/>
      <c r="K30" s="220"/>
      <c r="L30" s="220"/>
      <c r="M30" s="220"/>
      <c r="N30" s="220"/>
      <c r="O30" s="220"/>
      <c r="P30" s="220"/>
      <c r="Q30" s="220"/>
    </row>
    <row r="31" spans="2:17" s="221" customFormat="1" ht="15">
      <c r="B31" s="281" t="s">
        <v>216</v>
      </c>
      <c r="C31" s="426">
        <v>0.87</v>
      </c>
      <c r="D31" s="426">
        <v>1.03</v>
      </c>
      <c r="E31" s="426">
        <v>0.61</v>
      </c>
      <c r="F31" s="426">
        <v>0.006</v>
      </c>
      <c r="G31" s="426">
        <v>0.22</v>
      </c>
      <c r="H31" s="426">
        <v>0.007</v>
      </c>
      <c r="I31" s="1388"/>
      <c r="J31" s="1388"/>
      <c r="K31" s="220"/>
      <c r="L31" s="220"/>
      <c r="M31" s="220"/>
      <c r="N31" s="220"/>
      <c r="O31" s="220"/>
      <c r="P31" s="220"/>
      <c r="Q31" s="220"/>
    </row>
    <row r="32" spans="2:17" s="221" customFormat="1" ht="15">
      <c r="B32" s="281" t="s">
        <v>217</v>
      </c>
      <c r="C32" s="426">
        <v>0.94</v>
      </c>
      <c r="D32" s="426">
        <v>1.07</v>
      </c>
      <c r="E32" s="426">
        <v>1.54</v>
      </c>
      <c r="F32" s="426">
        <v>0.016</v>
      </c>
      <c r="G32" s="426">
        <v>0.2</v>
      </c>
      <c r="H32" s="426">
        <v>0.014</v>
      </c>
      <c r="I32" s="1388"/>
      <c r="J32" s="1388"/>
      <c r="K32" s="220"/>
      <c r="L32" s="220"/>
      <c r="M32" s="220"/>
      <c r="N32" s="220"/>
      <c r="O32" s="220"/>
      <c r="P32" s="220"/>
      <c r="Q32" s="220"/>
    </row>
    <row r="33" spans="2:17" s="221" customFormat="1" ht="15">
      <c r="B33" s="281" t="s">
        <v>218</v>
      </c>
      <c r="C33" s="426">
        <v>0.89</v>
      </c>
      <c r="D33" s="426">
        <v>1.51</v>
      </c>
      <c r="E33" s="426">
        <v>0.52</v>
      </c>
      <c r="F33" s="426">
        <v>0.006</v>
      </c>
      <c r="G33" s="426">
        <v>0.24</v>
      </c>
      <c r="H33" s="426">
        <v>0.009</v>
      </c>
      <c r="I33" s="1388"/>
      <c r="J33" s="1388"/>
      <c r="K33" s="220"/>
      <c r="L33" s="220"/>
      <c r="M33" s="220"/>
      <c r="N33" s="220"/>
      <c r="O33" s="220"/>
      <c r="P33" s="220"/>
      <c r="Q33" s="220"/>
    </row>
    <row r="34" spans="2:17" s="221" customFormat="1" ht="15">
      <c r="B34" s="281" t="s">
        <v>219</v>
      </c>
      <c r="C34" s="426">
        <v>0.89</v>
      </c>
      <c r="D34" s="426">
        <v>0.98</v>
      </c>
      <c r="E34" s="426">
        <v>0.59</v>
      </c>
      <c r="F34" s="426">
        <v>0.007</v>
      </c>
      <c r="G34" s="426">
        <v>0.022</v>
      </c>
      <c r="H34" s="426">
        <v>0.014</v>
      </c>
      <c r="I34" s="1388"/>
      <c r="J34" s="1388"/>
      <c r="K34" s="220"/>
      <c r="L34" s="220"/>
      <c r="M34" s="220"/>
      <c r="N34" s="220"/>
      <c r="O34" s="220"/>
      <c r="P34" s="220"/>
      <c r="Q34" s="220"/>
    </row>
    <row r="35" spans="2:17" s="221" customFormat="1" ht="15">
      <c r="B35" s="281" t="s">
        <v>220</v>
      </c>
      <c r="C35" s="426">
        <v>0.94</v>
      </c>
      <c r="D35" s="426">
        <v>1.07</v>
      </c>
      <c r="E35" s="426">
        <v>1.54</v>
      </c>
      <c r="F35" s="426">
        <v>0.016</v>
      </c>
      <c r="G35" s="426">
        <v>0.2</v>
      </c>
      <c r="H35" s="426">
        <v>0.014</v>
      </c>
      <c r="I35" s="1388"/>
      <c r="J35" s="1388"/>
      <c r="K35" s="220"/>
      <c r="L35" s="220"/>
      <c r="M35" s="220"/>
      <c r="N35" s="220"/>
      <c r="O35" s="220"/>
      <c r="P35" s="220"/>
      <c r="Q35" s="220"/>
    </row>
    <row r="36" spans="2:17" s="221" customFormat="1" ht="15">
      <c r="B36" s="281" t="s">
        <v>221</v>
      </c>
      <c r="C36" s="426">
        <v>0.94</v>
      </c>
      <c r="D36" s="426">
        <v>1.07</v>
      </c>
      <c r="E36" s="426">
        <v>1.54</v>
      </c>
      <c r="F36" s="426">
        <v>0.016</v>
      </c>
      <c r="G36" s="426">
        <v>0.2</v>
      </c>
      <c r="H36" s="426">
        <v>0.014</v>
      </c>
      <c r="I36" s="1388"/>
      <c r="J36" s="1388"/>
      <c r="K36" s="220"/>
      <c r="L36" s="220"/>
      <c r="M36" s="220"/>
      <c r="N36" s="220"/>
      <c r="O36" s="220"/>
      <c r="P36" s="220"/>
      <c r="Q36" s="220"/>
    </row>
    <row r="37" spans="2:17" s="221" customFormat="1" ht="15">
      <c r="B37" s="281" t="s">
        <v>222</v>
      </c>
      <c r="C37" s="426">
        <v>0.94</v>
      </c>
      <c r="D37" s="426">
        <v>1.07</v>
      </c>
      <c r="E37" s="426">
        <v>1.54</v>
      </c>
      <c r="F37" s="426">
        <v>0.016</v>
      </c>
      <c r="G37" s="426">
        <v>0.2</v>
      </c>
      <c r="H37" s="426">
        <v>0.014</v>
      </c>
      <c r="I37" s="1388"/>
      <c r="J37" s="1388"/>
      <c r="K37" s="220"/>
      <c r="L37" s="220"/>
      <c r="M37" s="220"/>
      <c r="N37" s="220"/>
      <c r="O37" s="220"/>
      <c r="P37" s="220"/>
      <c r="Q37" s="220"/>
    </row>
    <row r="38" spans="2:17" s="221" customFormat="1" ht="15">
      <c r="B38" s="281" t="s">
        <v>225</v>
      </c>
      <c r="C38" s="426">
        <v>0.9</v>
      </c>
      <c r="D38" s="426">
        <v>0.36</v>
      </c>
      <c r="E38" s="426">
        <v>0.68</v>
      </c>
      <c r="F38" s="426">
        <v>0.01</v>
      </c>
      <c r="G38" s="426">
        <v>0.19</v>
      </c>
      <c r="H38" s="426">
        <v>0.01</v>
      </c>
      <c r="I38" s="1388"/>
      <c r="J38" s="1388"/>
      <c r="K38" s="220"/>
      <c r="L38" s="220"/>
      <c r="M38" s="220"/>
      <c r="N38" s="220"/>
      <c r="O38" s="220"/>
      <c r="P38" s="220"/>
      <c r="Q38" s="220"/>
    </row>
    <row r="39" spans="2:17" s="221" customFormat="1" ht="15">
      <c r="B39" s="281" t="s">
        <v>226</v>
      </c>
      <c r="C39" s="426">
        <v>0.9</v>
      </c>
      <c r="D39" s="426">
        <v>0.36</v>
      </c>
      <c r="E39" s="426">
        <v>0.68</v>
      </c>
      <c r="F39" s="426">
        <v>0.01</v>
      </c>
      <c r="G39" s="426">
        <v>0.19</v>
      </c>
      <c r="H39" s="426">
        <v>0.01</v>
      </c>
      <c r="I39" s="1388"/>
      <c r="J39" s="1388"/>
      <c r="K39" s="220"/>
      <c r="L39" s="220"/>
      <c r="M39" s="220"/>
      <c r="N39" s="220"/>
      <c r="O39" s="220"/>
      <c r="P39" s="220"/>
      <c r="Q39" s="220"/>
    </row>
    <row r="40" spans="2:17" s="221" customFormat="1" ht="15">
      <c r="B40" s="281" t="s">
        <v>227</v>
      </c>
      <c r="C40" s="426">
        <v>0.9</v>
      </c>
      <c r="D40" s="426">
        <v>0.36</v>
      </c>
      <c r="E40" s="426">
        <v>0.68</v>
      </c>
      <c r="F40" s="426">
        <v>0.01</v>
      </c>
      <c r="G40" s="426">
        <v>0.19</v>
      </c>
      <c r="H40" s="426">
        <v>0.01</v>
      </c>
      <c r="I40" s="1388"/>
      <c r="J40" s="1388"/>
      <c r="K40" s="220"/>
      <c r="L40" s="220"/>
      <c r="M40" s="220"/>
      <c r="N40" s="220"/>
      <c r="O40" s="220"/>
      <c r="P40" s="220"/>
      <c r="Q40" s="220"/>
    </row>
    <row r="41" spans="2:17" s="221" customFormat="1" ht="15">
      <c r="B41" s="281" t="s">
        <v>228</v>
      </c>
      <c r="C41" s="426">
        <v>0.9</v>
      </c>
      <c r="D41" s="426">
        <v>0.36</v>
      </c>
      <c r="E41" s="426">
        <v>0.68</v>
      </c>
      <c r="F41" s="426">
        <v>0.01</v>
      </c>
      <c r="G41" s="426">
        <v>0.19</v>
      </c>
      <c r="H41" s="426">
        <v>0.01</v>
      </c>
      <c r="I41" s="1388"/>
      <c r="J41" s="1388"/>
      <c r="K41" s="220"/>
      <c r="L41" s="220"/>
      <c r="M41" s="220"/>
      <c r="N41" s="220"/>
      <c r="O41" s="220"/>
      <c r="P41" s="220"/>
      <c r="Q41" s="220"/>
    </row>
    <row r="42" spans="2:17" s="221" customFormat="1" ht="15">
      <c r="B42" s="281" t="s">
        <v>229</v>
      </c>
      <c r="C42" s="426">
        <v>0.9</v>
      </c>
      <c r="D42" s="426">
        <v>0.36</v>
      </c>
      <c r="E42" s="426">
        <v>0.68</v>
      </c>
      <c r="F42" s="426">
        <v>0.01</v>
      </c>
      <c r="G42" s="426">
        <v>0.19</v>
      </c>
      <c r="H42" s="426">
        <v>0.01</v>
      </c>
      <c r="I42" s="1388"/>
      <c r="J42" s="1388"/>
      <c r="K42" s="220"/>
      <c r="L42" s="220"/>
      <c r="M42" s="220"/>
      <c r="N42" s="220"/>
      <c r="O42" s="220"/>
      <c r="P42" s="220"/>
      <c r="Q42" s="220"/>
    </row>
    <row r="43" spans="2:17" s="221" customFormat="1" ht="15">
      <c r="B43" s="281" t="s">
        <v>230</v>
      </c>
      <c r="C43" s="426">
        <v>0.9</v>
      </c>
      <c r="D43" s="426">
        <v>0.36</v>
      </c>
      <c r="E43" s="426">
        <v>0.68</v>
      </c>
      <c r="F43" s="426">
        <v>0.01</v>
      </c>
      <c r="G43" s="426">
        <v>0.19</v>
      </c>
      <c r="H43" s="426">
        <v>0.01</v>
      </c>
      <c r="I43" s="1388"/>
      <c r="J43" s="1388"/>
      <c r="K43" s="220"/>
      <c r="L43" s="220"/>
      <c r="M43" s="220"/>
      <c r="N43" s="220"/>
      <c r="O43" s="220"/>
      <c r="P43" s="220"/>
      <c r="Q43" s="220"/>
    </row>
    <row r="44" spans="2:17" s="221" customFormat="1" ht="15">
      <c r="B44" s="281" t="s">
        <v>231</v>
      </c>
      <c r="C44" s="426">
        <v>0.9</v>
      </c>
      <c r="D44" s="426">
        <v>0.36</v>
      </c>
      <c r="E44" s="426">
        <v>0.68</v>
      </c>
      <c r="F44" s="426">
        <v>0.01</v>
      </c>
      <c r="G44" s="426">
        <v>0.19</v>
      </c>
      <c r="H44" s="426">
        <v>0.01</v>
      </c>
      <c r="I44" s="1388"/>
      <c r="J44" s="1388"/>
      <c r="K44" s="220"/>
      <c r="L44" s="220"/>
      <c r="M44" s="220"/>
      <c r="N44" s="220"/>
      <c r="O44" s="220"/>
      <c r="P44" s="220"/>
      <c r="Q44" s="220"/>
    </row>
    <row r="45" spans="2:17" s="221" customFormat="1" ht="15">
      <c r="B45" s="281" t="s">
        <v>232</v>
      </c>
      <c r="C45" s="426">
        <v>0.9</v>
      </c>
      <c r="D45" s="426">
        <v>0.36</v>
      </c>
      <c r="E45" s="426">
        <v>0.68</v>
      </c>
      <c r="F45" s="426">
        <v>0.01</v>
      </c>
      <c r="G45" s="426">
        <v>0.19</v>
      </c>
      <c r="H45" s="426">
        <v>0.01</v>
      </c>
      <c r="I45" s="1388"/>
      <c r="J45" s="1388"/>
      <c r="K45" s="220"/>
      <c r="L45" s="220"/>
      <c r="M45" s="220"/>
      <c r="N45" s="220"/>
      <c r="O45" s="220"/>
      <c r="P45" s="220"/>
      <c r="Q45" s="220"/>
    </row>
    <row r="46" spans="2:17" s="221" customFormat="1" ht="15">
      <c r="B46" s="281" t="s">
        <v>233</v>
      </c>
      <c r="C46" s="426">
        <v>0.91</v>
      </c>
      <c r="D46" s="426">
        <v>0.93</v>
      </c>
      <c r="E46" s="426">
        <v>1.35</v>
      </c>
      <c r="F46" s="426">
        <v>0.008</v>
      </c>
      <c r="G46" s="426">
        <v>0.19</v>
      </c>
      <c r="H46" s="426">
        <v>0.008</v>
      </c>
      <c r="I46" s="1388"/>
      <c r="J46" s="1388"/>
      <c r="K46" s="220"/>
      <c r="L46" s="220"/>
      <c r="M46" s="220"/>
      <c r="N46" s="220"/>
      <c r="O46" s="220"/>
      <c r="P46" s="220"/>
      <c r="Q46" s="220"/>
    </row>
    <row r="47" spans="2:17" s="221" customFormat="1" ht="15">
      <c r="B47" s="281" t="s">
        <v>204</v>
      </c>
      <c r="C47" s="426">
        <v>0.22</v>
      </c>
      <c r="D47" s="426">
        <v>0.1</v>
      </c>
      <c r="E47" s="426">
        <v>1.06</v>
      </c>
      <c r="F47" s="426">
        <v>0.019</v>
      </c>
      <c r="G47" s="426">
        <v>0.2</v>
      </c>
      <c r="H47" s="426">
        <v>0.014</v>
      </c>
      <c r="I47" s="1388"/>
      <c r="J47" s="1388"/>
      <c r="K47" s="220"/>
      <c r="L47" s="220"/>
      <c r="M47" s="220"/>
      <c r="N47" s="220"/>
      <c r="O47" s="220"/>
      <c r="P47" s="220"/>
      <c r="Q47" s="220"/>
    </row>
    <row r="48" spans="2:17" s="221" customFormat="1" ht="15">
      <c r="B48" s="281" t="s">
        <v>207</v>
      </c>
      <c r="C48" s="426">
        <v>0.22</v>
      </c>
      <c r="D48" s="426">
        <v>0.1</v>
      </c>
      <c r="E48" s="426">
        <v>1.06</v>
      </c>
      <c r="F48" s="426">
        <v>0.019</v>
      </c>
      <c r="G48" s="426">
        <v>0.2</v>
      </c>
      <c r="H48" s="426">
        <v>0.014</v>
      </c>
      <c r="I48" s="1388"/>
      <c r="J48" s="1388"/>
      <c r="K48" s="220"/>
      <c r="L48" s="220"/>
      <c r="M48" s="220"/>
      <c r="N48" s="220"/>
      <c r="O48" s="220"/>
      <c r="P48" s="220"/>
      <c r="Q48" s="220"/>
    </row>
    <row r="49" spans="2:17" s="221" customFormat="1" ht="15">
      <c r="B49" s="281" t="s">
        <v>209</v>
      </c>
      <c r="C49" s="426">
        <v>0.22</v>
      </c>
      <c r="D49" s="426">
        <v>0.1</v>
      </c>
      <c r="E49" s="426">
        <v>1.06</v>
      </c>
      <c r="F49" s="426">
        <v>0.019</v>
      </c>
      <c r="G49" s="426">
        <v>0.2</v>
      </c>
      <c r="H49" s="426">
        <v>0.014</v>
      </c>
      <c r="I49" s="1388"/>
      <c r="J49" s="1388"/>
      <c r="K49" s="220"/>
      <c r="L49" s="220"/>
      <c r="M49" s="220"/>
      <c r="N49" s="220"/>
      <c r="O49" s="220"/>
      <c r="P49" s="220"/>
      <c r="Q49" s="220"/>
    </row>
    <row r="50" spans="2:17" s="221" customFormat="1" ht="15">
      <c r="B50" s="281" t="s">
        <v>224</v>
      </c>
      <c r="C50" s="426">
        <v>0.9</v>
      </c>
      <c r="D50" s="426">
        <v>0.29</v>
      </c>
      <c r="E50" s="426">
        <v>0</v>
      </c>
      <c r="F50" s="426">
        <v>0.27</v>
      </c>
      <c r="G50" s="426">
        <v>0.4</v>
      </c>
      <c r="H50" s="426">
        <v>0.019</v>
      </c>
      <c r="I50" s="1388"/>
      <c r="J50" s="1388"/>
      <c r="K50" s="220"/>
      <c r="L50" s="220"/>
      <c r="M50" s="220"/>
      <c r="N50" s="220"/>
      <c r="O50" s="220"/>
      <c r="P50" s="220"/>
      <c r="Q50" s="220"/>
    </row>
    <row r="51" spans="2:17" s="221" customFormat="1" ht="153.75" customHeight="1">
      <c r="B51" s="1389" t="s">
        <v>1687</v>
      </c>
      <c r="C51" s="1389"/>
      <c r="D51" s="1389"/>
      <c r="E51" s="1389"/>
      <c r="F51" s="1389"/>
      <c r="G51" s="1389"/>
      <c r="H51" s="1389"/>
      <c r="I51" s="1389"/>
      <c r="J51" s="1389"/>
      <c r="K51" s="220"/>
      <c r="L51" s="220"/>
      <c r="M51" s="220"/>
      <c r="N51" s="220"/>
      <c r="O51" s="220"/>
      <c r="P51" s="220"/>
      <c r="Q51" s="220"/>
    </row>
    <row r="52" spans="8:17" ht="15">
      <c r="H52" s="53"/>
      <c r="I52" s="53"/>
      <c r="J52" s="53"/>
      <c r="K52" s="1"/>
      <c r="L52" s="1"/>
      <c r="M52" s="1"/>
      <c r="N52" s="1"/>
      <c r="O52" s="1"/>
      <c r="P52" s="1"/>
      <c r="Q52" s="1"/>
    </row>
    <row r="53" spans="2:17" ht="15">
      <c r="B53" s="336" t="s">
        <v>1681</v>
      </c>
      <c r="C53" s="334"/>
      <c r="D53" s="334"/>
      <c r="E53" s="332"/>
      <c r="F53" s="332"/>
      <c r="G53" s="332"/>
      <c r="H53" s="332"/>
      <c r="I53" s="332"/>
      <c r="J53" s="332"/>
      <c r="K53" s="1"/>
      <c r="L53" s="1"/>
      <c r="M53" s="1"/>
      <c r="N53" s="1"/>
      <c r="O53" s="1"/>
      <c r="P53" s="1"/>
      <c r="Q53" s="1"/>
    </row>
    <row r="55" spans="2:7" ht="15">
      <c r="B55" s="1111" t="s">
        <v>1682</v>
      </c>
      <c r="C55" s="291" t="s">
        <v>1683</v>
      </c>
      <c r="D55" s="1224" t="s">
        <v>132</v>
      </c>
      <c r="E55" s="1224"/>
      <c r="F55" s="1224"/>
      <c r="G55" s="1224"/>
    </row>
    <row r="56" spans="2:17" ht="25.5" customHeight="1">
      <c r="B56" s="1110" t="s">
        <v>1159</v>
      </c>
      <c r="C56" s="121">
        <v>1</v>
      </c>
      <c r="D56" s="1396" t="s">
        <v>1602</v>
      </c>
      <c r="E56" s="1397"/>
      <c r="F56" s="1397"/>
      <c r="G56" s="1398"/>
      <c r="L56" s="1"/>
      <c r="M56" s="1"/>
      <c r="N56" s="1"/>
      <c r="O56" s="1"/>
      <c r="P56" s="1"/>
      <c r="Q56" s="1"/>
    </row>
    <row r="57" spans="2:17" ht="15">
      <c r="B57" s="1112"/>
      <c r="C57" s="1113"/>
      <c r="D57" s="1114"/>
      <c r="E57" s="1114"/>
      <c r="F57" s="1114"/>
      <c r="G57" s="1114"/>
      <c r="L57" s="1"/>
      <c r="M57" s="1"/>
      <c r="N57" s="1"/>
      <c r="O57" s="1"/>
      <c r="P57" s="1"/>
      <c r="Q57" s="1"/>
    </row>
    <row r="58" spans="2:17" ht="15">
      <c r="B58" s="336" t="s">
        <v>1524</v>
      </c>
      <c r="C58" s="334"/>
      <c r="D58" s="334"/>
      <c r="E58" s="332"/>
      <c r="F58" s="332"/>
      <c r="G58" s="332"/>
      <c r="H58" s="332"/>
      <c r="I58" s="332"/>
      <c r="J58" s="332"/>
      <c r="K58" s="1"/>
      <c r="L58" s="1"/>
      <c r="M58" s="1"/>
      <c r="N58" s="1"/>
      <c r="O58" s="1"/>
      <c r="P58" s="1"/>
      <c r="Q58" s="1"/>
    </row>
    <row r="59" spans="2:17" ht="15">
      <c r="B59"/>
      <c r="C59"/>
      <c r="D59"/>
      <c r="E59"/>
      <c r="F59"/>
      <c r="G59"/>
      <c r="Q59" s="1"/>
    </row>
    <row r="60" spans="2:17" ht="15" customHeight="1">
      <c r="B60" s="291" t="s">
        <v>266</v>
      </c>
      <c r="C60" s="291" t="s">
        <v>278</v>
      </c>
      <c r="D60" s="1224" t="s">
        <v>132</v>
      </c>
      <c r="E60" s="1224"/>
      <c r="F60" s="1224"/>
      <c r="G60" s="1224"/>
      <c r="K60" s="1"/>
      <c r="L60" s="1"/>
      <c r="M60" s="1"/>
      <c r="N60" s="1"/>
      <c r="O60" s="1"/>
      <c r="P60" s="1"/>
      <c r="Q60" s="1"/>
    </row>
    <row r="61" spans="2:17" ht="59.25" customHeight="1">
      <c r="B61" s="485" t="s">
        <v>220</v>
      </c>
      <c r="C61" s="484">
        <v>25</v>
      </c>
      <c r="D61" s="1390" t="s">
        <v>1685</v>
      </c>
      <c r="E61" s="1391"/>
      <c r="F61" s="1391"/>
      <c r="G61" s="1392"/>
      <c r="K61" s="1"/>
      <c r="L61" s="1"/>
      <c r="M61" s="1"/>
      <c r="N61" s="1"/>
      <c r="O61" s="1"/>
      <c r="P61" s="1"/>
      <c r="Q61" s="1"/>
    </row>
    <row r="62" spans="2:17" ht="39.75" customHeight="1">
      <c r="B62" s="485" t="s">
        <v>221</v>
      </c>
      <c r="C62" s="484">
        <v>30</v>
      </c>
      <c r="D62" s="1393" t="s">
        <v>780</v>
      </c>
      <c r="E62" s="1394"/>
      <c r="F62" s="1394"/>
      <c r="G62" s="1395"/>
      <c r="J62" s="53"/>
      <c r="K62" s="1"/>
      <c r="L62" s="1"/>
      <c r="M62" s="1"/>
      <c r="N62" s="1"/>
      <c r="O62" s="1"/>
      <c r="P62" s="1"/>
      <c r="Q62" s="1"/>
    </row>
    <row r="63" spans="2:17" ht="36.75" customHeight="1">
      <c r="B63" s="485" t="s">
        <v>222</v>
      </c>
      <c r="C63" s="484">
        <v>50</v>
      </c>
      <c r="D63" s="1393" t="s">
        <v>781</v>
      </c>
      <c r="E63" s="1394"/>
      <c r="F63" s="1394"/>
      <c r="G63" s="1395"/>
      <c r="J63" s="53"/>
      <c r="K63" s="1"/>
      <c r="L63" s="1"/>
      <c r="M63" s="1"/>
      <c r="N63" s="1"/>
      <c r="O63" s="1"/>
      <c r="P63" s="1"/>
      <c r="Q63" s="1"/>
    </row>
    <row r="64" spans="2:17" ht="54" customHeight="1">
      <c r="B64" s="485" t="s">
        <v>224</v>
      </c>
      <c r="C64" s="484">
        <v>6</v>
      </c>
      <c r="D64" s="1390" t="s">
        <v>1684</v>
      </c>
      <c r="E64" s="1391"/>
      <c r="F64" s="1391"/>
      <c r="G64" s="1392"/>
      <c r="J64" s="53"/>
      <c r="K64" s="1"/>
      <c r="L64" s="1"/>
      <c r="M64" s="1"/>
      <c r="N64" s="1"/>
      <c r="O64" s="1"/>
      <c r="P64" s="1"/>
      <c r="Q64" s="1"/>
    </row>
  </sheetData>
  <mergeCells count="11">
    <mergeCell ref="I20:J50"/>
    <mergeCell ref="I19:J19"/>
    <mergeCell ref="B51:J51"/>
    <mergeCell ref="D64:G64"/>
    <mergeCell ref="D7:D15"/>
    <mergeCell ref="D63:G63"/>
    <mergeCell ref="D60:G60"/>
    <mergeCell ref="D61:G61"/>
    <mergeCell ref="D62:G62"/>
    <mergeCell ref="D56:G56"/>
    <mergeCell ref="D55:G55"/>
  </mergeCells>
  <hyperlinks>
    <hyperlink ref="D64" r:id="rId1" display="http://www.agrolalibertad.gob.pe/sites/default/files/Cultivo-alfalfa.pdf"/>
    <hyperlink ref="D56" r:id="rId2" display="https://www.ipcc-nggip.iges.or.jp/public/2006gl/spanish/pdf/4_Volume4/V4_11_Ch11_N2O&amp;CO2.pdf"/>
  </hyperlinks>
  <printOptions/>
  <pageMargins left="0.7" right="0.7" top="0.75" bottom="0.75" header="0.3" footer="0.3"/>
  <pageSetup horizontalDpi="90" verticalDpi="90" orientation="portrait" r:id="rId4"/>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5A7F2B"/>
  </sheetPr>
  <dimension ref="B2:L11"/>
  <sheetViews>
    <sheetView workbookViewId="0" topLeftCell="A1">
      <selection activeCell="H8" sqref="H8"/>
    </sheetView>
  </sheetViews>
  <sheetFormatPr defaultColWidth="10.8515625" defaultRowHeight="15"/>
  <cols>
    <col min="1" max="1" width="3.57421875" style="0" customWidth="1"/>
    <col min="2" max="2" width="32.140625" style="53" customWidth="1"/>
    <col min="3" max="3" width="11.7109375" style="53" customWidth="1"/>
    <col min="4" max="4" width="21.28125" style="53" customWidth="1"/>
    <col min="5" max="5" width="8.8515625" style="53" customWidth="1"/>
    <col min="6" max="10" width="8.8515625" style="0" customWidth="1"/>
  </cols>
  <sheetData>
    <row r="1" ht="15"/>
    <row r="2" spans="2:12" ht="15">
      <c r="B2" s="393" t="s">
        <v>1095</v>
      </c>
      <c r="C2" s="337"/>
      <c r="D2" s="337"/>
      <c r="E2" s="337"/>
      <c r="F2" s="394"/>
      <c r="G2" s="394"/>
      <c r="H2" s="394"/>
      <c r="I2" s="394"/>
      <c r="J2" s="394"/>
      <c r="L2" t="s">
        <v>695</v>
      </c>
    </row>
    <row r="3" spans="2:5" ht="15">
      <c r="B3"/>
      <c r="C3"/>
      <c r="D3"/>
      <c r="E3"/>
    </row>
    <row r="4" spans="2:10" ht="15">
      <c r="B4" s="396" t="s">
        <v>1096</v>
      </c>
      <c r="C4" s="332"/>
      <c r="D4" s="332"/>
      <c r="E4" s="332"/>
      <c r="F4" s="392"/>
      <c r="G4" s="392"/>
      <c r="H4" s="392"/>
      <c r="I4" s="392"/>
      <c r="J4" s="392"/>
    </row>
    <row r="5" ht="12.75">
      <c r="B5" s="325"/>
    </row>
    <row r="6" spans="2:4" ht="12.75">
      <c r="B6" s="275" t="s">
        <v>163</v>
      </c>
      <c r="C6" s="1001" t="s">
        <v>520</v>
      </c>
      <c r="D6" s="308" t="s">
        <v>132</v>
      </c>
    </row>
    <row r="7" spans="2:4" ht="42">
      <c r="B7" s="123" t="s">
        <v>1605</v>
      </c>
      <c r="C7" s="397">
        <v>0.01</v>
      </c>
      <c r="D7" s="73" t="s">
        <v>1603</v>
      </c>
    </row>
    <row r="8" spans="2:4" ht="30.75" customHeight="1">
      <c r="B8" s="123" t="s">
        <v>1606</v>
      </c>
      <c r="C8" s="397">
        <v>0.011</v>
      </c>
      <c r="D8" s="1280" t="s">
        <v>1604</v>
      </c>
    </row>
    <row r="9" spans="2:4" ht="42">
      <c r="B9" s="123" t="s">
        <v>1607</v>
      </c>
      <c r="C9" s="397">
        <v>0.11</v>
      </c>
      <c r="D9" s="1281"/>
    </row>
    <row r="10" spans="2:4" ht="67.5">
      <c r="B10" s="123" t="s">
        <v>1608</v>
      </c>
      <c r="C10" s="397">
        <v>0.21</v>
      </c>
      <c r="D10" s="1281"/>
    </row>
    <row r="11" spans="2:4" ht="53.25">
      <c r="B11" s="123" t="s">
        <v>561</v>
      </c>
      <c r="C11" s="397">
        <v>0.24</v>
      </c>
      <c r="D11" s="1282"/>
    </row>
  </sheetData>
  <mergeCells count="1">
    <mergeCell ref="D8:D11"/>
  </mergeCells>
  <printOptions/>
  <pageMargins left="0.7" right="0.7" top="0.75" bottom="0.75" header="0.3" footer="0.3"/>
  <pageSetup horizontalDpi="600" verticalDpi="600" orientation="portrait" paperSize="0" copie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5A7F2B"/>
  </sheetPr>
  <dimension ref="B1:Q38"/>
  <sheetViews>
    <sheetView workbookViewId="0" topLeftCell="A10">
      <selection activeCell="J38" sqref="J38"/>
    </sheetView>
  </sheetViews>
  <sheetFormatPr defaultColWidth="10.8515625" defaultRowHeight="15"/>
  <cols>
    <col min="1" max="1" width="4.00390625" style="0" customWidth="1"/>
    <col min="2" max="2" width="32.140625" style="53" customWidth="1"/>
    <col min="3" max="3" width="16.140625" style="53" customWidth="1"/>
    <col min="4" max="4" width="14.421875" style="53" customWidth="1"/>
    <col min="5" max="5" width="10.8515625" style="53" customWidth="1"/>
  </cols>
  <sheetData>
    <row r="1" spans="2:7" s="1" customFormat="1" ht="12.75">
      <c r="B1" s="53"/>
      <c r="C1" s="53"/>
      <c r="D1" s="53"/>
      <c r="E1" s="53"/>
      <c r="F1" s="53"/>
      <c r="G1" s="53"/>
    </row>
    <row r="2" spans="2:12" s="1" customFormat="1" ht="15">
      <c r="B2" s="386" t="s">
        <v>1144</v>
      </c>
      <c r="C2" s="387"/>
      <c r="D2" s="387"/>
      <c r="E2" s="387"/>
      <c r="F2" s="387"/>
      <c r="G2" s="387"/>
      <c r="H2" s="387"/>
      <c r="I2" s="387"/>
      <c r="J2" s="387"/>
      <c r="L2" t="s">
        <v>695</v>
      </c>
    </row>
    <row r="3" spans="2:6" s="1" customFormat="1" ht="12.75">
      <c r="B3" s="53"/>
      <c r="C3" s="53"/>
      <c r="D3" s="53"/>
      <c r="E3" s="53"/>
      <c r="F3" s="53"/>
    </row>
    <row r="4" spans="2:10" s="1" customFormat="1" ht="12.75">
      <c r="B4" s="388" t="s">
        <v>352</v>
      </c>
      <c r="C4" s="332"/>
      <c r="D4" s="332"/>
      <c r="E4" s="332"/>
      <c r="F4" s="332"/>
      <c r="G4" s="332"/>
      <c r="H4" s="398"/>
      <c r="I4" s="398"/>
      <c r="J4" s="398"/>
    </row>
    <row r="5" spans="2:7" s="1" customFormat="1" ht="12.75">
      <c r="B5" s="113"/>
      <c r="C5" s="53"/>
      <c r="D5" s="53"/>
      <c r="E5" s="53"/>
      <c r="F5" s="53"/>
      <c r="G5" s="53"/>
    </row>
    <row r="6" spans="2:6" ht="60">
      <c r="B6" s="308" t="s">
        <v>163</v>
      </c>
      <c r="C6" s="308" t="s">
        <v>1145</v>
      </c>
      <c r="D6" s="1224" t="s">
        <v>132</v>
      </c>
      <c r="E6" s="1224"/>
      <c r="F6" s="1224"/>
    </row>
    <row r="7" spans="2:6" ht="28.5" customHeight="1">
      <c r="B7" s="424" t="s">
        <v>1241</v>
      </c>
      <c r="C7" s="397">
        <f>'3C5 FE'!C7</f>
        <v>0.01</v>
      </c>
      <c r="D7" s="1309" t="s">
        <v>1609</v>
      </c>
      <c r="E7" s="1309"/>
      <c r="F7" s="1309"/>
    </row>
    <row r="9" spans="2:17" ht="15">
      <c r="B9" s="336" t="s">
        <v>1610</v>
      </c>
      <c r="C9" s="334"/>
      <c r="D9" s="334"/>
      <c r="E9" s="332"/>
      <c r="F9" s="332"/>
      <c r="G9" s="332"/>
      <c r="H9" s="332"/>
      <c r="I9" s="332"/>
      <c r="J9" s="332"/>
      <c r="K9" s="1"/>
      <c r="L9" s="1"/>
      <c r="M9" s="1"/>
      <c r="N9" s="1"/>
      <c r="O9" s="1"/>
      <c r="P9" s="1"/>
      <c r="Q9" s="1"/>
    </row>
    <row r="10" spans="2:17" ht="15">
      <c r="B10"/>
      <c r="C10"/>
      <c r="D10"/>
      <c r="E10"/>
      <c r="N10" s="1"/>
      <c r="O10" s="1"/>
      <c r="P10" s="1"/>
      <c r="Q10" s="1"/>
    </row>
    <row r="11" spans="2:10" ht="51">
      <c r="B11" s="291" t="s">
        <v>126</v>
      </c>
      <c r="C11" s="291" t="s">
        <v>134</v>
      </c>
      <c r="D11" s="291" t="s">
        <v>135</v>
      </c>
      <c r="E11" s="291" t="s">
        <v>137</v>
      </c>
      <c r="F11" s="291" t="s">
        <v>138</v>
      </c>
      <c r="G11" s="291" t="s">
        <v>139</v>
      </c>
      <c r="H11" s="1216" t="s">
        <v>1440</v>
      </c>
      <c r="I11" s="1308"/>
      <c r="J11" s="53"/>
    </row>
    <row r="12" spans="2:10" ht="15">
      <c r="B12" s="119" t="s">
        <v>118</v>
      </c>
      <c r="C12" s="118">
        <v>0.07</v>
      </c>
      <c r="D12" s="118">
        <v>0.3</v>
      </c>
      <c r="E12" s="505">
        <v>0</v>
      </c>
      <c r="F12" s="505">
        <v>0</v>
      </c>
      <c r="G12" s="505">
        <v>0</v>
      </c>
      <c r="H12" s="1176" t="s">
        <v>1611</v>
      </c>
      <c r="I12" s="1176"/>
      <c r="J12" s="53"/>
    </row>
    <row r="13" spans="2:10" ht="15">
      <c r="B13" s="119" t="s">
        <v>375</v>
      </c>
      <c r="C13" s="505">
        <v>0</v>
      </c>
      <c r="D13" s="118">
        <v>0.45</v>
      </c>
      <c r="E13" s="505">
        <v>0</v>
      </c>
      <c r="F13" s="505">
        <v>0</v>
      </c>
      <c r="G13" s="505">
        <v>0</v>
      </c>
      <c r="H13" s="1176"/>
      <c r="I13" s="1176"/>
      <c r="J13" s="53"/>
    </row>
    <row r="14" spans="2:10" ht="15">
      <c r="B14" s="119" t="s">
        <v>40</v>
      </c>
      <c r="C14" s="505">
        <v>0</v>
      </c>
      <c r="D14" s="118">
        <v>0.12</v>
      </c>
      <c r="E14" s="505">
        <v>0</v>
      </c>
      <c r="F14" s="505">
        <v>0</v>
      </c>
      <c r="G14" s="505">
        <v>0</v>
      </c>
      <c r="H14" s="1176"/>
      <c r="I14" s="1176"/>
      <c r="J14" s="53"/>
    </row>
    <row r="15" spans="2:10" ht="15">
      <c r="B15" s="119" t="s">
        <v>39</v>
      </c>
      <c r="C15" s="505">
        <v>0</v>
      </c>
      <c r="D15" s="118">
        <v>0.12</v>
      </c>
      <c r="E15" s="505">
        <v>0</v>
      </c>
      <c r="F15" s="505">
        <v>0</v>
      </c>
      <c r="G15" s="505">
        <v>0</v>
      </c>
      <c r="H15" s="1176"/>
      <c r="I15" s="1176"/>
      <c r="J15" s="53"/>
    </row>
    <row r="16" spans="2:10" ht="15">
      <c r="B16" s="119" t="s">
        <v>66</v>
      </c>
      <c r="C16" s="505">
        <v>0</v>
      </c>
      <c r="D16" s="118">
        <v>0.12</v>
      </c>
      <c r="E16" s="505">
        <v>0</v>
      </c>
      <c r="F16" s="505">
        <v>0</v>
      </c>
      <c r="G16" s="505">
        <v>0</v>
      </c>
      <c r="H16" s="1176"/>
      <c r="I16" s="1176"/>
      <c r="J16" s="53"/>
    </row>
    <row r="17" spans="2:10" ht="15">
      <c r="B17" s="119" t="s">
        <v>109</v>
      </c>
      <c r="C17" s="505">
        <v>0</v>
      </c>
      <c r="D17" s="118">
        <v>0.12</v>
      </c>
      <c r="E17" s="505">
        <v>0</v>
      </c>
      <c r="F17" s="505">
        <v>0</v>
      </c>
      <c r="G17" s="505">
        <v>0</v>
      </c>
      <c r="H17" s="1176"/>
      <c r="I17" s="1176"/>
      <c r="J17" s="53"/>
    </row>
    <row r="18" spans="2:10" ht="15">
      <c r="B18" s="119" t="s">
        <v>41</v>
      </c>
      <c r="C18" s="505">
        <v>0</v>
      </c>
      <c r="D18" s="118">
        <v>0.45</v>
      </c>
      <c r="E18" s="505">
        <v>0</v>
      </c>
      <c r="F18" s="505">
        <v>0</v>
      </c>
      <c r="G18" s="505">
        <v>0</v>
      </c>
      <c r="H18" s="1176"/>
      <c r="I18" s="1176"/>
      <c r="J18" s="53"/>
    </row>
    <row r="19" spans="2:10" ht="15">
      <c r="B19" s="119" t="s">
        <v>37</v>
      </c>
      <c r="C19" s="505">
        <v>0</v>
      </c>
      <c r="D19" s="118">
        <v>0.12</v>
      </c>
      <c r="E19" s="505">
        <v>0</v>
      </c>
      <c r="F19" s="505">
        <v>0</v>
      </c>
      <c r="G19" s="505">
        <v>0</v>
      </c>
      <c r="H19" s="1176"/>
      <c r="I19" s="1176"/>
      <c r="J19" s="53"/>
    </row>
    <row r="20" spans="2:10" ht="15">
      <c r="B20" s="119" t="s">
        <v>38</v>
      </c>
      <c r="C20" s="505">
        <v>0</v>
      </c>
      <c r="D20" s="118">
        <v>0.12</v>
      </c>
      <c r="E20" s="505">
        <v>0</v>
      </c>
      <c r="F20" s="505">
        <v>0</v>
      </c>
      <c r="G20" s="505">
        <v>0</v>
      </c>
      <c r="H20" s="1176"/>
      <c r="I20" s="1176"/>
      <c r="J20" s="53"/>
    </row>
    <row r="21" spans="2:10" ht="15">
      <c r="B21" s="119" t="s">
        <v>36</v>
      </c>
      <c r="C21" s="505">
        <v>0</v>
      </c>
      <c r="D21" s="505">
        <v>0</v>
      </c>
      <c r="E21" s="118">
        <v>0</v>
      </c>
      <c r="F21" s="118">
        <v>0.4</v>
      </c>
      <c r="G21" s="118">
        <v>0.55</v>
      </c>
      <c r="H21" s="1176"/>
      <c r="I21" s="1176"/>
      <c r="J21" s="53"/>
    </row>
    <row r="22" spans="2:10" ht="15">
      <c r="B22" s="119" t="s">
        <v>68</v>
      </c>
      <c r="C22" s="505">
        <v>0</v>
      </c>
      <c r="D22" s="118">
        <v>0.12</v>
      </c>
      <c r="E22" s="505">
        <v>0</v>
      </c>
      <c r="F22" s="505">
        <v>0</v>
      </c>
      <c r="G22" s="505">
        <v>0</v>
      </c>
      <c r="H22" s="1176"/>
      <c r="I22" s="1176"/>
      <c r="J22" s="53"/>
    </row>
    <row r="23" spans="2:10" ht="15">
      <c r="B23" s="87"/>
      <c r="F23" s="53"/>
      <c r="G23" s="53"/>
      <c r="H23" s="53"/>
      <c r="I23" s="53"/>
      <c r="J23" s="53"/>
    </row>
    <row r="24" spans="2:17" ht="15">
      <c r="B24" s="336" t="s">
        <v>341</v>
      </c>
      <c r="C24" s="334"/>
      <c r="D24" s="334"/>
      <c r="E24" s="332"/>
      <c r="F24" s="332"/>
      <c r="G24" s="332"/>
      <c r="H24" s="332"/>
      <c r="I24" s="332"/>
      <c r="J24" s="332"/>
      <c r="K24" s="1"/>
      <c r="L24" s="1"/>
      <c r="M24" s="1"/>
      <c r="N24" s="1"/>
      <c r="O24" s="1"/>
      <c r="P24" s="1"/>
      <c r="Q24" s="1"/>
    </row>
    <row r="25" spans="2:17" ht="15">
      <c r="B25"/>
      <c r="C25"/>
      <c r="D25"/>
      <c r="E25"/>
      <c r="Q25" s="1"/>
    </row>
    <row r="26" spans="2:10" ht="51">
      <c r="B26" s="291" t="s">
        <v>126</v>
      </c>
      <c r="C26" s="291" t="s">
        <v>722</v>
      </c>
      <c r="D26" s="291" t="s">
        <v>723</v>
      </c>
      <c r="E26" s="291" t="s">
        <v>724</v>
      </c>
      <c r="F26" s="291" t="s">
        <v>725</v>
      </c>
      <c r="G26" s="291" t="s">
        <v>726</v>
      </c>
      <c r="H26" s="1216" t="s">
        <v>1440</v>
      </c>
      <c r="I26" s="1308"/>
      <c r="J26" s="53"/>
    </row>
    <row r="27" spans="2:10" ht="15">
      <c r="B27" s="119" t="s">
        <v>118</v>
      </c>
      <c r="C27" s="428">
        <v>22</v>
      </c>
      <c r="D27" s="428">
        <v>40</v>
      </c>
      <c r="E27" s="428">
        <v>0</v>
      </c>
      <c r="F27" s="428">
        <v>0</v>
      </c>
      <c r="G27" s="428">
        <v>0</v>
      </c>
      <c r="H27" s="1176" t="s">
        <v>1612</v>
      </c>
      <c r="I27" s="1176"/>
      <c r="J27" s="53"/>
    </row>
    <row r="28" spans="2:10" ht="15">
      <c r="B28" s="119" t="s">
        <v>375</v>
      </c>
      <c r="C28" s="428">
        <v>0</v>
      </c>
      <c r="D28" s="428">
        <v>50</v>
      </c>
      <c r="E28" s="428">
        <v>0</v>
      </c>
      <c r="F28" s="428">
        <v>0</v>
      </c>
      <c r="G28" s="428">
        <v>0</v>
      </c>
      <c r="H28" s="1176"/>
      <c r="I28" s="1176"/>
      <c r="J28" s="53"/>
    </row>
    <row r="29" spans="2:10" ht="15">
      <c r="B29" s="119" t="s">
        <v>40</v>
      </c>
      <c r="C29" s="428">
        <v>0</v>
      </c>
      <c r="D29" s="428">
        <v>15</v>
      </c>
      <c r="E29" s="428">
        <v>0</v>
      </c>
      <c r="F29" s="428">
        <v>0</v>
      </c>
      <c r="G29" s="428">
        <v>0</v>
      </c>
      <c r="H29" s="1176"/>
      <c r="I29" s="1176"/>
      <c r="J29" s="53"/>
    </row>
    <row r="30" spans="2:10" ht="15">
      <c r="B30" s="119" t="s">
        <v>39</v>
      </c>
      <c r="C30" s="428">
        <v>0</v>
      </c>
      <c r="D30" s="428">
        <v>15</v>
      </c>
      <c r="E30" s="428">
        <v>0</v>
      </c>
      <c r="F30" s="428">
        <v>0</v>
      </c>
      <c r="G30" s="428">
        <v>0</v>
      </c>
      <c r="H30" s="1176"/>
      <c r="I30" s="1176"/>
      <c r="J30" s="53"/>
    </row>
    <row r="31" spans="2:10" ht="15">
      <c r="B31" s="119" t="s">
        <v>66</v>
      </c>
      <c r="C31" s="428">
        <v>0</v>
      </c>
      <c r="D31" s="428">
        <v>15</v>
      </c>
      <c r="E31" s="428">
        <v>0</v>
      </c>
      <c r="F31" s="428">
        <v>0</v>
      </c>
      <c r="G31" s="428">
        <v>0</v>
      </c>
      <c r="H31" s="1176"/>
      <c r="I31" s="1176"/>
      <c r="J31" s="53"/>
    </row>
    <row r="32" spans="2:10" ht="15">
      <c r="B32" s="119" t="s">
        <v>109</v>
      </c>
      <c r="C32" s="428">
        <v>0</v>
      </c>
      <c r="D32" s="428">
        <v>15</v>
      </c>
      <c r="E32" s="428">
        <v>0</v>
      </c>
      <c r="F32" s="428">
        <v>0</v>
      </c>
      <c r="G32" s="428">
        <v>0</v>
      </c>
      <c r="H32" s="1176"/>
      <c r="I32" s="1176"/>
      <c r="J32" s="53"/>
    </row>
    <row r="33" spans="2:10" ht="15">
      <c r="B33" s="119" t="s">
        <v>41</v>
      </c>
      <c r="C33" s="428">
        <v>0</v>
      </c>
      <c r="D33" s="428">
        <v>50</v>
      </c>
      <c r="E33" s="428">
        <v>0</v>
      </c>
      <c r="F33" s="428">
        <v>0</v>
      </c>
      <c r="G33" s="428">
        <v>0</v>
      </c>
      <c r="H33" s="1176"/>
      <c r="I33" s="1176"/>
      <c r="J33" s="53"/>
    </row>
    <row r="34" spans="2:10" ht="15">
      <c r="B34" s="119" t="s">
        <v>37</v>
      </c>
      <c r="C34" s="428">
        <v>0</v>
      </c>
      <c r="D34" s="428">
        <v>15</v>
      </c>
      <c r="E34" s="428">
        <v>0</v>
      </c>
      <c r="F34" s="428">
        <v>0</v>
      </c>
      <c r="G34" s="428">
        <v>0</v>
      </c>
      <c r="H34" s="1176"/>
      <c r="I34" s="1176"/>
      <c r="J34" s="53"/>
    </row>
    <row r="35" spans="2:10" ht="15">
      <c r="B35" s="119" t="s">
        <v>38</v>
      </c>
      <c r="C35" s="428">
        <v>0</v>
      </c>
      <c r="D35" s="428">
        <v>15</v>
      </c>
      <c r="E35" s="428">
        <v>0</v>
      </c>
      <c r="F35" s="428">
        <v>0</v>
      </c>
      <c r="G35" s="428">
        <v>0</v>
      </c>
      <c r="H35" s="1176"/>
      <c r="I35" s="1176"/>
      <c r="J35" s="53"/>
    </row>
    <row r="36" spans="2:10" ht="15">
      <c r="B36" s="119" t="s">
        <v>36</v>
      </c>
      <c r="C36" s="428">
        <v>0</v>
      </c>
      <c r="D36" s="428">
        <v>0</v>
      </c>
      <c r="E36" s="428">
        <v>0</v>
      </c>
      <c r="F36" s="428">
        <v>50</v>
      </c>
      <c r="G36" s="428">
        <v>55.00000000000001</v>
      </c>
      <c r="H36" s="1176"/>
      <c r="I36" s="1176"/>
      <c r="J36" s="53"/>
    </row>
    <row r="37" spans="2:10" ht="15">
      <c r="B37" s="119" t="s">
        <v>68</v>
      </c>
      <c r="C37" s="428">
        <v>0</v>
      </c>
      <c r="D37" s="428">
        <v>15</v>
      </c>
      <c r="E37" s="428">
        <v>0</v>
      </c>
      <c r="F37" s="428">
        <v>0</v>
      </c>
      <c r="G37" s="428">
        <v>0</v>
      </c>
      <c r="H37" s="1176"/>
      <c r="I37" s="1176"/>
      <c r="J37" s="53"/>
    </row>
    <row r="38" spans="2:10" ht="15">
      <c r="B38" s="87"/>
      <c r="F38" s="53"/>
      <c r="G38" s="53"/>
      <c r="H38" s="53"/>
      <c r="I38" s="53"/>
      <c r="J38" s="53"/>
    </row>
  </sheetData>
  <mergeCells count="6">
    <mergeCell ref="H27:I37"/>
    <mergeCell ref="D6:F6"/>
    <mergeCell ref="D7:F7"/>
    <mergeCell ref="H11:I11"/>
    <mergeCell ref="H12:I22"/>
    <mergeCell ref="H26:I26"/>
  </mergeCells>
  <printOptions/>
  <pageMargins left="0.7" right="0.7" top="0.75" bottom="0.75" header="0.3" footer="0.3"/>
  <pageSetup horizontalDpi="600" verticalDpi="600" orientation="portrait" paperSize="0" copie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5A7F2B"/>
  </sheetPr>
  <dimension ref="B2:L58"/>
  <sheetViews>
    <sheetView workbookViewId="0" topLeftCell="A10">
      <selection activeCell="F31" sqref="F31"/>
    </sheetView>
  </sheetViews>
  <sheetFormatPr defaultColWidth="10.8515625" defaultRowHeight="15"/>
  <cols>
    <col min="1" max="1" width="4.00390625" style="3" customWidth="1"/>
    <col min="2" max="4" width="15.7109375" style="111" customWidth="1"/>
    <col min="5" max="5" width="19.140625" style="111" bestFit="1" customWidth="1"/>
    <col min="6" max="6" width="34.00390625" style="111" bestFit="1" customWidth="1"/>
    <col min="7" max="7" width="11.421875" style="111" customWidth="1"/>
    <col min="8" max="253" width="11.421875" style="3" customWidth="1"/>
    <col min="254" max="254" width="3.28125" style="3" customWidth="1"/>
    <col min="255" max="255" width="15.8515625" style="3" customWidth="1"/>
    <col min="256" max="256" width="17.57421875" style="3" bestFit="1" customWidth="1"/>
    <col min="257" max="257" width="14.57421875" style="3" customWidth="1"/>
    <col min="258" max="258" width="13.7109375" style="3" customWidth="1"/>
    <col min="259" max="259" width="12.00390625" style="3" customWidth="1"/>
    <col min="260" max="260" width="18.8515625" style="3" customWidth="1"/>
    <col min="261" max="261" width="32.140625" style="3" bestFit="1" customWidth="1"/>
    <col min="262" max="509" width="11.421875" style="3" customWidth="1"/>
    <col min="510" max="510" width="3.28125" style="3" customWidth="1"/>
    <col min="511" max="511" width="15.8515625" style="3" customWidth="1"/>
    <col min="512" max="512" width="17.57421875" style="3" bestFit="1" customWidth="1"/>
    <col min="513" max="513" width="14.57421875" style="3" customWidth="1"/>
    <col min="514" max="514" width="13.7109375" style="3" customWidth="1"/>
    <col min="515" max="515" width="12.00390625" style="3" customWidth="1"/>
    <col min="516" max="516" width="18.8515625" style="3" customWidth="1"/>
    <col min="517" max="517" width="32.140625" style="3" bestFit="1" customWidth="1"/>
    <col min="518" max="765" width="11.421875" style="3" customWidth="1"/>
    <col min="766" max="766" width="3.28125" style="3" customWidth="1"/>
    <col min="767" max="767" width="15.8515625" style="3" customWidth="1"/>
    <col min="768" max="768" width="17.57421875" style="3" bestFit="1" customWidth="1"/>
    <col min="769" max="769" width="14.57421875" style="3" customWidth="1"/>
    <col min="770" max="770" width="13.7109375" style="3" customWidth="1"/>
    <col min="771" max="771" width="12.00390625" style="3" customWidth="1"/>
    <col min="772" max="772" width="18.8515625" style="3" customWidth="1"/>
    <col min="773" max="773" width="32.140625" style="3" bestFit="1" customWidth="1"/>
    <col min="774" max="1021" width="11.421875" style="3" customWidth="1"/>
    <col min="1022" max="1022" width="3.28125" style="3" customWidth="1"/>
    <col min="1023" max="1023" width="15.8515625" style="3" customWidth="1"/>
    <col min="1024" max="1024" width="17.57421875" style="3" bestFit="1" customWidth="1"/>
    <col min="1025" max="1025" width="14.57421875" style="3" customWidth="1"/>
    <col min="1026" max="1026" width="13.7109375" style="3" customWidth="1"/>
    <col min="1027" max="1027" width="12.00390625" style="3" customWidth="1"/>
    <col min="1028" max="1028" width="18.8515625" style="3" customWidth="1"/>
    <col min="1029" max="1029" width="32.140625" style="3" bestFit="1" customWidth="1"/>
    <col min="1030" max="1277" width="11.421875" style="3" customWidth="1"/>
    <col min="1278" max="1278" width="3.28125" style="3" customWidth="1"/>
    <col min="1279" max="1279" width="15.8515625" style="3" customWidth="1"/>
    <col min="1280" max="1280" width="17.57421875" style="3" bestFit="1" customWidth="1"/>
    <col min="1281" max="1281" width="14.57421875" style="3" customWidth="1"/>
    <col min="1282" max="1282" width="13.7109375" style="3" customWidth="1"/>
    <col min="1283" max="1283" width="12.00390625" style="3" customWidth="1"/>
    <col min="1284" max="1284" width="18.8515625" style="3" customWidth="1"/>
    <col min="1285" max="1285" width="32.140625" style="3" bestFit="1" customWidth="1"/>
    <col min="1286" max="1533" width="11.421875" style="3" customWidth="1"/>
    <col min="1534" max="1534" width="3.28125" style="3" customWidth="1"/>
    <col min="1535" max="1535" width="15.8515625" style="3" customWidth="1"/>
    <col min="1536" max="1536" width="17.57421875" style="3" bestFit="1" customWidth="1"/>
    <col min="1537" max="1537" width="14.57421875" style="3" customWidth="1"/>
    <col min="1538" max="1538" width="13.7109375" style="3" customWidth="1"/>
    <col min="1539" max="1539" width="12.00390625" style="3" customWidth="1"/>
    <col min="1540" max="1540" width="18.8515625" style="3" customWidth="1"/>
    <col min="1541" max="1541" width="32.140625" style="3" bestFit="1" customWidth="1"/>
    <col min="1542" max="1789" width="11.421875" style="3" customWidth="1"/>
    <col min="1790" max="1790" width="3.28125" style="3" customWidth="1"/>
    <col min="1791" max="1791" width="15.8515625" style="3" customWidth="1"/>
    <col min="1792" max="1792" width="17.57421875" style="3" bestFit="1" customWidth="1"/>
    <col min="1793" max="1793" width="14.57421875" style="3" customWidth="1"/>
    <col min="1794" max="1794" width="13.7109375" style="3" customWidth="1"/>
    <col min="1795" max="1795" width="12.00390625" style="3" customWidth="1"/>
    <col min="1796" max="1796" width="18.8515625" style="3" customWidth="1"/>
    <col min="1797" max="1797" width="32.140625" style="3" bestFit="1" customWidth="1"/>
    <col min="1798" max="2045" width="11.421875" style="3" customWidth="1"/>
    <col min="2046" max="2046" width="3.28125" style="3" customWidth="1"/>
    <col min="2047" max="2047" width="15.8515625" style="3" customWidth="1"/>
    <col min="2048" max="2048" width="17.57421875" style="3" bestFit="1" customWidth="1"/>
    <col min="2049" max="2049" width="14.57421875" style="3" customWidth="1"/>
    <col min="2050" max="2050" width="13.7109375" style="3" customWidth="1"/>
    <col min="2051" max="2051" width="12.00390625" style="3" customWidth="1"/>
    <col min="2052" max="2052" width="18.8515625" style="3" customWidth="1"/>
    <col min="2053" max="2053" width="32.140625" style="3" bestFit="1" customWidth="1"/>
    <col min="2054" max="2301" width="11.421875" style="3" customWidth="1"/>
    <col min="2302" max="2302" width="3.28125" style="3" customWidth="1"/>
    <col min="2303" max="2303" width="15.8515625" style="3" customWidth="1"/>
    <col min="2304" max="2304" width="17.57421875" style="3" bestFit="1" customWidth="1"/>
    <col min="2305" max="2305" width="14.57421875" style="3" customWidth="1"/>
    <col min="2306" max="2306" width="13.7109375" style="3" customWidth="1"/>
    <col min="2307" max="2307" width="12.00390625" style="3" customWidth="1"/>
    <col min="2308" max="2308" width="18.8515625" style="3" customWidth="1"/>
    <col min="2309" max="2309" width="32.140625" style="3" bestFit="1" customWidth="1"/>
    <col min="2310" max="2557" width="11.421875" style="3" customWidth="1"/>
    <col min="2558" max="2558" width="3.28125" style="3" customWidth="1"/>
    <col min="2559" max="2559" width="15.8515625" style="3" customWidth="1"/>
    <col min="2560" max="2560" width="17.57421875" style="3" bestFit="1" customWidth="1"/>
    <col min="2561" max="2561" width="14.57421875" style="3" customWidth="1"/>
    <col min="2562" max="2562" width="13.7109375" style="3" customWidth="1"/>
    <col min="2563" max="2563" width="12.00390625" style="3" customWidth="1"/>
    <col min="2564" max="2564" width="18.8515625" style="3" customWidth="1"/>
    <col min="2565" max="2565" width="32.140625" style="3" bestFit="1" customWidth="1"/>
    <col min="2566" max="2813" width="11.421875" style="3" customWidth="1"/>
    <col min="2814" max="2814" width="3.28125" style="3" customWidth="1"/>
    <col min="2815" max="2815" width="15.8515625" style="3" customWidth="1"/>
    <col min="2816" max="2816" width="17.57421875" style="3" bestFit="1" customWidth="1"/>
    <col min="2817" max="2817" width="14.57421875" style="3" customWidth="1"/>
    <col min="2818" max="2818" width="13.7109375" style="3" customWidth="1"/>
    <col min="2819" max="2819" width="12.00390625" style="3" customWidth="1"/>
    <col min="2820" max="2820" width="18.8515625" style="3" customWidth="1"/>
    <col min="2821" max="2821" width="32.140625" style="3" bestFit="1" customWidth="1"/>
    <col min="2822" max="3069" width="11.421875" style="3" customWidth="1"/>
    <col min="3070" max="3070" width="3.28125" style="3" customWidth="1"/>
    <col min="3071" max="3071" width="15.8515625" style="3" customWidth="1"/>
    <col min="3072" max="3072" width="17.57421875" style="3" bestFit="1" customWidth="1"/>
    <col min="3073" max="3073" width="14.57421875" style="3" customWidth="1"/>
    <col min="3074" max="3074" width="13.7109375" style="3" customWidth="1"/>
    <col min="3075" max="3075" width="12.00390625" style="3" customWidth="1"/>
    <col min="3076" max="3076" width="18.8515625" style="3" customWidth="1"/>
    <col min="3077" max="3077" width="32.140625" style="3" bestFit="1" customWidth="1"/>
    <col min="3078" max="3325" width="11.421875" style="3" customWidth="1"/>
    <col min="3326" max="3326" width="3.28125" style="3" customWidth="1"/>
    <col min="3327" max="3327" width="15.8515625" style="3" customWidth="1"/>
    <col min="3328" max="3328" width="17.57421875" style="3" bestFit="1" customWidth="1"/>
    <col min="3329" max="3329" width="14.57421875" style="3" customWidth="1"/>
    <col min="3330" max="3330" width="13.7109375" style="3" customWidth="1"/>
    <col min="3331" max="3331" width="12.00390625" style="3" customWidth="1"/>
    <col min="3332" max="3332" width="18.8515625" style="3" customWidth="1"/>
    <col min="3333" max="3333" width="32.140625" style="3" bestFit="1" customWidth="1"/>
    <col min="3334" max="3581" width="11.421875" style="3" customWidth="1"/>
    <col min="3582" max="3582" width="3.28125" style="3" customWidth="1"/>
    <col min="3583" max="3583" width="15.8515625" style="3" customWidth="1"/>
    <col min="3584" max="3584" width="17.57421875" style="3" bestFit="1" customWidth="1"/>
    <col min="3585" max="3585" width="14.57421875" style="3" customWidth="1"/>
    <col min="3586" max="3586" width="13.7109375" style="3" customWidth="1"/>
    <col min="3587" max="3587" width="12.00390625" style="3" customWidth="1"/>
    <col min="3588" max="3588" width="18.8515625" style="3" customWidth="1"/>
    <col min="3589" max="3589" width="32.140625" style="3" bestFit="1" customWidth="1"/>
    <col min="3590" max="3837" width="11.421875" style="3" customWidth="1"/>
    <col min="3838" max="3838" width="3.28125" style="3" customWidth="1"/>
    <col min="3839" max="3839" width="15.8515625" style="3" customWidth="1"/>
    <col min="3840" max="3840" width="17.57421875" style="3" bestFit="1" customWidth="1"/>
    <col min="3841" max="3841" width="14.57421875" style="3" customWidth="1"/>
    <col min="3842" max="3842" width="13.7109375" style="3" customWidth="1"/>
    <col min="3843" max="3843" width="12.00390625" style="3" customWidth="1"/>
    <col min="3844" max="3844" width="18.8515625" style="3" customWidth="1"/>
    <col min="3845" max="3845" width="32.140625" style="3" bestFit="1" customWidth="1"/>
    <col min="3846" max="4093" width="11.421875" style="3" customWidth="1"/>
    <col min="4094" max="4094" width="3.28125" style="3" customWidth="1"/>
    <col min="4095" max="4095" width="15.8515625" style="3" customWidth="1"/>
    <col min="4096" max="4096" width="17.57421875" style="3" bestFit="1" customWidth="1"/>
    <col min="4097" max="4097" width="14.57421875" style="3" customWidth="1"/>
    <col min="4098" max="4098" width="13.7109375" style="3" customWidth="1"/>
    <col min="4099" max="4099" width="12.00390625" style="3" customWidth="1"/>
    <col min="4100" max="4100" width="18.8515625" style="3" customWidth="1"/>
    <col min="4101" max="4101" width="32.140625" style="3" bestFit="1" customWidth="1"/>
    <col min="4102" max="4349" width="11.421875" style="3" customWidth="1"/>
    <col min="4350" max="4350" width="3.28125" style="3" customWidth="1"/>
    <col min="4351" max="4351" width="15.8515625" style="3" customWidth="1"/>
    <col min="4352" max="4352" width="17.57421875" style="3" bestFit="1" customWidth="1"/>
    <col min="4353" max="4353" width="14.57421875" style="3" customWidth="1"/>
    <col min="4354" max="4354" width="13.7109375" style="3" customWidth="1"/>
    <col min="4355" max="4355" width="12.00390625" style="3" customWidth="1"/>
    <col min="4356" max="4356" width="18.8515625" style="3" customWidth="1"/>
    <col min="4357" max="4357" width="32.140625" style="3" bestFit="1" customWidth="1"/>
    <col min="4358" max="4605" width="11.421875" style="3" customWidth="1"/>
    <col min="4606" max="4606" width="3.28125" style="3" customWidth="1"/>
    <col min="4607" max="4607" width="15.8515625" style="3" customWidth="1"/>
    <col min="4608" max="4608" width="17.57421875" style="3" bestFit="1" customWidth="1"/>
    <col min="4609" max="4609" width="14.57421875" style="3" customWidth="1"/>
    <col min="4610" max="4610" width="13.7109375" style="3" customWidth="1"/>
    <col min="4611" max="4611" width="12.00390625" style="3" customWidth="1"/>
    <col min="4612" max="4612" width="18.8515625" style="3" customWidth="1"/>
    <col min="4613" max="4613" width="32.140625" style="3" bestFit="1" customWidth="1"/>
    <col min="4614" max="4861" width="11.421875" style="3" customWidth="1"/>
    <col min="4862" max="4862" width="3.28125" style="3" customWidth="1"/>
    <col min="4863" max="4863" width="15.8515625" style="3" customWidth="1"/>
    <col min="4864" max="4864" width="17.57421875" style="3" bestFit="1" customWidth="1"/>
    <col min="4865" max="4865" width="14.57421875" style="3" customWidth="1"/>
    <col min="4866" max="4866" width="13.7109375" style="3" customWidth="1"/>
    <col min="4867" max="4867" width="12.00390625" style="3" customWidth="1"/>
    <col min="4868" max="4868" width="18.8515625" style="3" customWidth="1"/>
    <col min="4869" max="4869" width="32.140625" style="3" bestFit="1" customWidth="1"/>
    <col min="4870" max="5117" width="11.421875" style="3" customWidth="1"/>
    <col min="5118" max="5118" width="3.28125" style="3" customWidth="1"/>
    <col min="5119" max="5119" width="15.8515625" style="3" customWidth="1"/>
    <col min="5120" max="5120" width="17.57421875" style="3" bestFit="1" customWidth="1"/>
    <col min="5121" max="5121" width="14.57421875" style="3" customWidth="1"/>
    <col min="5122" max="5122" width="13.7109375" style="3" customWidth="1"/>
    <col min="5123" max="5123" width="12.00390625" style="3" customWidth="1"/>
    <col min="5124" max="5124" width="18.8515625" style="3" customWidth="1"/>
    <col min="5125" max="5125" width="32.140625" style="3" bestFit="1" customWidth="1"/>
    <col min="5126" max="5373" width="11.421875" style="3" customWidth="1"/>
    <col min="5374" max="5374" width="3.28125" style="3" customWidth="1"/>
    <col min="5375" max="5375" width="15.8515625" style="3" customWidth="1"/>
    <col min="5376" max="5376" width="17.57421875" style="3" bestFit="1" customWidth="1"/>
    <col min="5377" max="5377" width="14.57421875" style="3" customWidth="1"/>
    <col min="5378" max="5378" width="13.7109375" style="3" customWidth="1"/>
    <col min="5379" max="5379" width="12.00390625" style="3" customWidth="1"/>
    <col min="5380" max="5380" width="18.8515625" style="3" customWidth="1"/>
    <col min="5381" max="5381" width="32.140625" style="3" bestFit="1" customWidth="1"/>
    <col min="5382" max="5629" width="11.421875" style="3" customWidth="1"/>
    <col min="5630" max="5630" width="3.28125" style="3" customWidth="1"/>
    <col min="5631" max="5631" width="15.8515625" style="3" customWidth="1"/>
    <col min="5632" max="5632" width="17.57421875" style="3" bestFit="1" customWidth="1"/>
    <col min="5633" max="5633" width="14.57421875" style="3" customWidth="1"/>
    <col min="5634" max="5634" width="13.7109375" style="3" customWidth="1"/>
    <col min="5635" max="5635" width="12.00390625" style="3" customWidth="1"/>
    <col min="5636" max="5636" width="18.8515625" style="3" customWidth="1"/>
    <col min="5637" max="5637" width="32.140625" style="3" bestFit="1" customWidth="1"/>
    <col min="5638" max="5885" width="11.421875" style="3" customWidth="1"/>
    <col min="5886" max="5886" width="3.28125" style="3" customWidth="1"/>
    <col min="5887" max="5887" width="15.8515625" style="3" customWidth="1"/>
    <col min="5888" max="5888" width="17.57421875" style="3" bestFit="1" customWidth="1"/>
    <col min="5889" max="5889" width="14.57421875" style="3" customWidth="1"/>
    <col min="5890" max="5890" width="13.7109375" style="3" customWidth="1"/>
    <col min="5891" max="5891" width="12.00390625" style="3" customWidth="1"/>
    <col min="5892" max="5892" width="18.8515625" style="3" customWidth="1"/>
    <col min="5893" max="5893" width="32.140625" style="3" bestFit="1" customWidth="1"/>
    <col min="5894" max="6141" width="11.421875" style="3" customWidth="1"/>
    <col min="6142" max="6142" width="3.28125" style="3" customWidth="1"/>
    <col min="6143" max="6143" width="15.8515625" style="3" customWidth="1"/>
    <col min="6144" max="6144" width="17.57421875" style="3" bestFit="1" customWidth="1"/>
    <col min="6145" max="6145" width="14.57421875" style="3" customWidth="1"/>
    <col min="6146" max="6146" width="13.7109375" style="3" customWidth="1"/>
    <col min="6147" max="6147" width="12.00390625" style="3" customWidth="1"/>
    <col min="6148" max="6148" width="18.8515625" style="3" customWidth="1"/>
    <col min="6149" max="6149" width="32.140625" style="3" bestFit="1" customWidth="1"/>
    <col min="6150" max="6397" width="11.421875" style="3" customWidth="1"/>
    <col min="6398" max="6398" width="3.28125" style="3" customWidth="1"/>
    <col min="6399" max="6399" width="15.8515625" style="3" customWidth="1"/>
    <col min="6400" max="6400" width="17.57421875" style="3" bestFit="1" customWidth="1"/>
    <col min="6401" max="6401" width="14.57421875" style="3" customWidth="1"/>
    <col min="6402" max="6402" width="13.7109375" style="3" customWidth="1"/>
    <col min="6403" max="6403" width="12.00390625" style="3" customWidth="1"/>
    <col min="6404" max="6404" width="18.8515625" style="3" customWidth="1"/>
    <col min="6405" max="6405" width="32.140625" style="3" bestFit="1" customWidth="1"/>
    <col min="6406" max="6653" width="11.421875" style="3" customWidth="1"/>
    <col min="6654" max="6654" width="3.28125" style="3" customWidth="1"/>
    <col min="6655" max="6655" width="15.8515625" style="3" customWidth="1"/>
    <col min="6656" max="6656" width="17.57421875" style="3" bestFit="1" customWidth="1"/>
    <col min="6657" max="6657" width="14.57421875" style="3" customWidth="1"/>
    <col min="6658" max="6658" width="13.7109375" style="3" customWidth="1"/>
    <col min="6659" max="6659" width="12.00390625" style="3" customWidth="1"/>
    <col min="6660" max="6660" width="18.8515625" style="3" customWidth="1"/>
    <col min="6661" max="6661" width="32.140625" style="3" bestFit="1" customWidth="1"/>
    <col min="6662" max="6909" width="11.421875" style="3" customWidth="1"/>
    <col min="6910" max="6910" width="3.28125" style="3" customWidth="1"/>
    <col min="6911" max="6911" width="15.8515625" style="3" customWidth="1"/>
    <col min="6912" max="6912" width="17.57421875" style="3" bestFit="1" customWidth="1"/>
    <col min="6913" max="6913" width="14.57421875" style="3" customWidth="1"/>
    <col min="6914" max="6914" width="13.7109375" style="3" customWidth="1"/>
    <col min="6915" max="6915" width="12.00390625" style="3" customWidth="1"/>
    <col min="6916" max="6916" width="18.8515625" style="3" customWidth="1"/>
    <col min="6917" max="6917" width="32.140625" style="3" bestFit="1" customWidth="1"/>
    <col min="6918" max="7165" width="11.421875" style="3" customWidth="1"/>
    <col min="7166" max="7166" width="3.28125" style="3" customWidth="1"/>
    <col min="7167" max="7167" width="15.8515625" style="3" customWidth="1"/>
    <col min="7168" max="7168" width="17.57421875" style="3" bestFit="1" customWidth="1"/>
    <col min="7169" max="7169" width="14.57421875" style="3" customWidth="1"/>
    <col min="7170" max="7170" width="13.7109375" style="3" customWidth="1"/>
    <col min="7171" max="7171" width="12.00390625" style="3" customWidth="1"/>
    <col min="7172" max="7172" width="18.8515625" style="3" customWidth="1"/>
    <col min="7173" max="7173" width="32.140625" style="3" bestFit="1" customWidth="1"/>
    <col min="7174" max="7421" width="11.421875" style="3" customWidth="1"/>
    <col min="7422" max="7422" width="3.28125" style="3" customWidth="1"/>
    <col min="7423" max="7423" width="15.8515625" style="3" customWidth="1"/>
    <col min="7424" max="7424" width="17.57421875" style="3" bestFit="1" customWidth="1"/>
    <col min="7425" max="7425" width="14.57421875" style="3" customWidth="1"/>
    <col min="7426" max="7426" width="13.7109375" style="3" customWidth="1"/>
    <col min="7427" max="7427" width="12.00390625" style="3" customWidth="1"/>
    <col min="7428" max="7428" width="18.8515625" style="3" customWidth="1"/>
    <col min="7429" max="7429" width="32.140625" style="3" bestFit="1" customWidth="1"/>
    <col min="7430" max="7677" width="11.421875" style="3" customWidth="1"/>
    <col min="7678" max="7678" width="3.28125" style="3" customWidth="1"/>
    <col min="7679" max="7679" width="15.8515625" style="3" customWidth="1"/>
    <col min="7680" max="7680" width="17.57421875" style="3" bestFit="1" customWidth="1"/>
    <col min="7681" max="7681" width="14.57421875" style="3" customWidth="1"/>
    <col min="7682" max="7682" width="13.7109375" style="3" customWidth="1"/>
    <col min="7683" max="7683" width="12.00390625" style="3" customWidth="1"/>
    <col min="7684" max="7684" width="18.8515625" style="3" customWidth="1"/>
    <col min="7685" max="7685" width="32.140625" style="3" bestFit="1" customWidth="1"/>
    <col min="7686" max="7933" width="11.421875" style="3" customWidth="1"/>
    <col min="7934" max="7934" width="3.28125" style="3" customWidth="1"/>
    <col min="7935" max="7935" width="15.8515625" style="3" customWidth="1"/>
    <col min="7936" max="7936" width="17.57421875" style="3" bestFit="1" customWidth="1"/>
    <col min="7937" max="7937" width="14.57421875" style="3" customWidth="1"/>
    <col min="7938" max="7938" width="13.7109375" style="3" customWidth="1"/>
    <col min="7939" max="7939" width="12.00390625" style="3" customWidth="1"/>
    <col min="7940" max="7940" width="18.8515625" style="3" customWidth="1"/>
    <col min="7941" max="7941" width="32.140625" style="3" bestFit="1" customWidth="1"/>
    <col min="7942" max="8189" width="11.421875" style="3" customWidth="1"/>
    <col min="8190" max="8190" width="3.28125" style="3" customWidth="1"/>
    <col min="8191" max="8191" width="15.8515625" style="3" customWidth="1"/>
    <col min="8192" max="8192" width="17.57421875" style="3" bestFit="1" customWidth="1"/>
    <col min="8193" max="8193" width="14.57421875" style="3" customWidth="1"/>
    <col min="8194" max="8194" width="13.7109375" style="3" customWidth="1"/>
    <col min="8195" max="8195" width="12.00390625" style="3" customWidth="1"/>
    <col min="8196" max="8196" width="18.8515625" style="3" customWidth="1"/>
    <col min="8197" max="8197" width="32.140625" style="3" bestFit="1" customWidth="1"/>
    <col min="8198" max="8445" width="11.421875" style="3" customWidth="1"/>
    <col min="8446" max="8446" width="3.28125" style="3" customWidth="1"/>
    <col min="8447" max="8447" width="15.8515625" style="3" customWidth="1"/>
    <col min="8448" max="8448" width="17.57421875" style="3" bestFit="1" customWidth="1"/>
    <col min="8449" max="8449" width="14.57421875" style="3" customWidth="1"/>
    <col min="8450" max="8450" width="13.7109375" style="3" customWidth="1"/>
    <col min="8451" max="8451" width="12.00390625" style="3" customWidth="1"/>
    <col min="8452" max="8452" width="18.8515625" style="3" customWidth="1"/>
    <col min="8453" max="8453" width="32.140625" style="3" bestFit="1" customWidth="1"/>
    <col min="8454" max="8701" width="11.421875" style="3" customWidth="1"/>
    <col min="8702" max="8702" width="3.28125" style="3" customWidth="1"/>
    <col min="8703" max="8703" width="15.8515625" style="3" customWidth="1"/>
    <col min="8704" max="8704" width="17.57421875" style="3" bestFit="1" customWidth="1"/>
    <col min="8705" max="8705" width="14.57421875" style="3" customWidth="1"/>
    <col min="8706" max="8706" width="13.7109375" style="3" customWidth="1"/>
    <col min="8707" max="8707" width="12.00390625" style="3" customWidth="1"/>
    <col min="8708" max="8708" width="18.8515625" style="3" customWidth="1"/>
    <col min="8709" max="8709" width="32.140625" style="3" bestFit="1" customWidth="1"/>
    <col min="8710" max="8957" width="11.421875" style="3" customWidth="1"/>
    <col min="8958" max="8958" width="3.28125" style="3" customWidth="1"/>
    <col min="8959" max="8959" width="15.8515625" style="3" customWidth="1"/>
    <col min="8960" max="8960" width="17.57421875" style="3" bestFit="1" customWidth="1"/>
    <col min="8961" max="8961" width="14.57421875" style="3" customWidth="1"/>
    <col min="8962" max="8962" width="13.7109375" style="3" customWidth="1"/>
    <col min="8963" max="8963" width="12.00390625" style="3" customWidth="1"/>
    <col min="8964" max="8964" width="18.8515625" style="3" customWidth="1"/>
    <col min="8965" max="8965" width="32.140625" style="3" bestFit="1" customWidth="1"/>
    <col min="8966" max="9213" width="11.421875" style="3" customWidth="1"/>
    <col min="9214" max="9214" width="3.28125" style="3" customWidth="1"/>
    <col min="9215" max="9215" width="15.8515625" style="3" customWidth="1"/>
    <col min="9216" max="9216" width="17.57421875" style="3" bestFit="1" customWidth="1"/>
    <col min="9217" max="9217" width="14.57421875" style="3" customWidth="1"/>
    <col min="9218" max="9218" width="13.7109375" style="3" customWidth="1"/>
    <col min="9219" max="9219" width="12.00390625" style="3" customWidth="1"/>
    <col min="9220" max="9220" width="18.8515625" style="3" customWidth="1"/>
    <col min="9221" max="9221" width="32.140625" style="3" bestFit="1" customWidth="1"/>
    <col min="9222" max="9469" width="11.421875" style="3" customWidth="1"/>
    <col min="9470" max="9470" width="3.28125" style="3" customWidth="1"/>
    <col min="9471" max="9471" width="15.8515625" style="3" customWidth="1"/>
    <col min="9472" max="9472" width="17.57421875" style="3" bestFit="1" customWidth="1"/>
    <col min="9473" max="9473" width="14.57421875" style="3" customWidth="1"/>
    <col min="9474" max="9474" width="13.7109375" style="3" customWidth="1"/>
    <col min="9475" max="9475" width="12.00390625" style="3" customWidth="1"/>
    <col min="9476" max="9476" width="18.8515625" style="3" customWidth="1"/>
    <col min="9477" max="9477" width="32.140625" style="3" bestFit="1" customWidth="1"/>
    <col min="9478" max="9725" width="11.421875" style="3" customWidth="1"/>
    <col min="9726" max="9726" width="3.28125" style="3" customWidth="1"/>
    <col min="9727" max="9727" width="15.8515625" style="3" customWidth="1"/>
    <col min="9728" max="9728" width="17.57421875" style="3" bestFit="1" customWidth="1"/>
    <col min="9729" max="9729" width="14.57421875" style="3" customWidth="1"/>
    <col min="9730" max="9730" width="13.7109375" style="3" customWidth="1"/>
    <col min="9731" max="9731" width="12.00390625" style="3" customWidth="1"/>
    <col min="9732" max="9732" width="18.8515625" style="3" customWidth="1"/>
    <col min="9733" max="9733" width="32.140625" style="3" bestFit="1" customWidth="1"/>
    <col min="9734" max="9981" width="11.421875" style="3" customWidth="1"/>
    <col min="9982" max="9982" width="3.28125" style="3" customWidth="1"/>
    <col min="9983" max="9983" width="15.8515625" style="3" customWidth="1"/>
    <col min="9984" max="9984" width="17.57421875" style="3" bestFit="1" customWidth="1"/>
    <col min="9985" max="9985" width="14.57421875" style="3" customWidth="1"/>
    <col min="9986" max="9986" width="13.7109375" style="3" customWidth="1"/>
    <col min="9987" max="9987" width="12.00390625" style="3" customWidth="1"/>
    <col min="9988" max="9988" width="18.8515625" style="3" customWidth="1"/>
    <col min="9989" max="9989" width="32.140625" style="3" bestFit="1" customWidth="1"/>
    <col min="9990" max="10237" width="11.421875" style="3" customWidth="1"/>
    <col min="10238" max="10238" width="3.28125" style="3" customWidth="1"/>
    <col min="10239" max="10239" width="15.8515625" style="3" customWidth="1"/>
    <col min="10240" max="10240" width="17.57421875" style="3" bestFit="1" customWidth="1"/>
    <col min="10241" max="10241" width="14.57421875" style="3" customWidth="1"/>
    <col min="10242" max="10242" width="13.7109375" style="3" customWidth="1"/>
    <col min="10243" max="10243" width="12.00390625" style="3" customWidth="1"/>
    <col min="10244" max="10244" width="18.8515625" style="3" customWidth="1"/>
    <col min="10245" max="10245" width="32.140625" style="3" bestFit="1" customWidth="1"/>
    <col min="10246" max="10493" width="11.421875" style="3" customWidth="1"/>
    <col min="10494" max="10494" width="3.28125" style="3" customWidth="1"/>
    <col min="10495" max="10495" width="15.8515625" style="3" customWidth="1"/>
    <col min="10496" max="10496" width="17.57421875" style="3" bestFit="1" customWidth="1"/>
    <col min="10497" max="10497" width="14.57421875" style="3" customWidth="1"/>
    <col min="10498" max="10498" width="13.7109375" style="3" customWidth="1"/>
    <col min="10499" max="10499" width="12.00390625" style="3" customWidth="1"/>
    <col min="10500" max="10500" width="18.8515625" style="3" customWidth="1"/>
    <col min="10501" max="10501" width="32.140625" style="3" bestFit="1" customWidth="1"/>
    <col min="10502" max="10749" width="11.421875" style="3" customWidth="1"/>
    <col min="10750" max="10750" width="3.28125" style="3" customWidth="1"/>
    <col min="10751" max="10751" width="15.8515625" style="3" customWidth="1"/>
    <col min="10752" max="10752" width="17.57421875" style="3" bestFit="1" customWidth="1"/>
    <col min="10753" max="10753" width="14.57421875" style="3" customWidth="1"/>
    <col min="10754" max="10754" width="13.7109375" style="3" customWidth="1"/>
    <col min="10755" max="10755" width="12.00390625" style="3" customWidth="1"/>
    <col min="10756" max="10756" width="18.8515625" style="3" customWidth="1"/>
    <col min="10757" max="10757" width="32.140625" style="3" bestFit="1" customWidth="1"/>
    <col min="10758" max="11005" width="11.421875" style="3" customWidth="1"/>
    <col min="11006" max="11006" width="3.28125" style="3" customWidth="1"/>
    <col min="11007" max="11007" width="15.8515625" style="3" customWidth="1"/>
    <col min="11008" max="11008" width="17.57421875" style="3" bestFit="1" customWidth="1"/>
    <col min="11009" max="11009" width="14.57421875" style="3" customWidth="1"/>
    <col min="11010" max="11010" width="13.7109375" style="3" customWidth="1"/>
    <col min="11011" max="11011" width="12.00390625" style="3" customWidth="1"/>
    <col min="11012" max="11012" width="18.8515625" style="3" customWidth="1"/>
    <col min="11013" max="11013" width="32.140625" style="3" bestFit="1" customWidth="1"/>
    <col min="11014" max="11261" width="11.421875" style="3" customWidth="1"/>
    <col min="11262" max="11262" width="3.28125" style="3" customWidth="1"/>
    <col min="11263" max="11263" width="15.8515625" style="3" customWidth="1"/>
    <col min="11264" max="11264" width="17.57421875" style="3" bestFit="1" customWidth="1"/>
    <col min="11265" max="11265" width="14.57421875" style="3" customWidth="1"/>
    <col min="11266" max="11266" width="13.7109375" style="3" customWidth="1"/>
    <col min="11267" max="11267" width="12.00390625" style="3" customWidth="1"/>
    <col min="11268" max="11268" width="18.8515625" style="3" customWidth="1"/>
    <col min="11269" max="11269" width="32.140625" style="3" bestFit="1" customWidth="1"/>
    <col min="11270" max="11517" width="11.421875" style="3" customWidth="1"/>
    <col min="11518" max="11518" width="3.28125" style="3" customWidth="1"/>
    <col min="11519" max="11519" width="15.8515625" style="3" customWidth="1"/>
    <col min="11520" max="11520" width="17.57421875" style="3" bestFit="1" customWidth="1"/>
    <col min="11521" max="11521" width="14.57421875" style="3" customWidth="1"/>
    <col min="11522" max="11522" width="13.7109375" style="3" customWidth="1"/>
    <col min="11523" max="11523" width="12.00390625" style="3" customWidth="1"/>
    <col min="11524" max="11524" width="18.8515625" style="3" customWidth="1"/>
    <col min="11525" max="11525" width="32.140625" style="3" bestFit="1" customWidth="1"/>
    <col min="11526" max="11773" width="11.421875" style="3" customWidth="1"/>
    <col min="11774" max="11774" width="3.28125" style="3" customWidth="1"/>
    <col min="11775" max="11775" width="15.8515625" style="3" customWidth="1"/>
    <col min="11776" max="11776" width="17.57421875" style="3" bestFit="1" customWidth="1"/>
    <col min="11777" max="11777" width="14.57421875" style="3" customWidth="1"/>
    <col min="11778" max="11778" width="13.7109375" style="3" customWidth="1"/>
    <col min="11779" max="11779" width="12.00390625" style="3" customWidth="1"/>
    <col min="11780" max="11780" width="18.8515625" style="3" customWidth="1"/>
    <col min="11781" max="11781" width="32.140625" style="3" bestFit="1" customWidth="1"/>
    <col min="11782" max="12029" width="11.421875" style="3" customWidth="1"/>
    <col min="12030" max="12030" width="3.28125" style="3" customWidth="1"/>
    <col min="12031" max="12031" width="15.8515625" style="3" customWidth="1"/>
    <col min="12032" max="12032" width="17.57421875" style="3" bestFit="1" customWidth="1"/>
    <col min="12033" max="12033" width="14.57421875" style="3" customWidth="1"/>
    <col min="12034" max="12034" width="13.7109375" style="3" customWidth="1"/>
    <col min="12035" max="12035" width="12.00390625" style="3" customWidth="1"/>
    <col min="12036" max="12036" width="18.8515625" style="3" customWidth="1"/>
    <col min="12037" max="12037" width="32.140625" style="3" bestFit="1" customWidth="1"/>
    <col min="12038" max="12285" width="11.421875" style="3" customWidth="1"/>
    <col min="12286" max="12286" width="3.28125" style="3" customWidth="1"/>
    <col min="12287" max="12287" width="15.8515625" style="3" customWidth="1"/>
    <col min="12288" max="12288" width="17.57421875" style="3" bestFit="1" customWidth="1"/>
    <col min="12289" max="12289" width="14.57421875" style="3" customWidth="1"/>
    <col min="12290" max="12290" width="13.7109375" style="3" customWidth="1"/>
    <col min="12291" max="12291" width="12.00390625" style="3" customWidth="1"/>
    <col min="12292" max="12292" width="18.8515625" style="3" customWidth="1"/>
    <col min="12293" max="12293" width="32.140625" style="3" bestFit="1" customWidth="1"/>
    <col min="12294" max="12541" width="11.421875" style="3" customWidth="1"/>
    <col min="12542" max="12542" width="3.28125" style="3" customWidth="1"/>
    <col min="12543" max="12543" width="15.8515625" style="3" customWidth="1"/>
    <col min="12544" max="12544" width="17.57421875" style="3" bestFit="1" customWidth="1"/>
    <col min="12545" max="12545" width="14.57421875" style="3" customWidth="1"/>
    <col min="12546" max="12546" width="13.7109375" style="3" customWidth="1"/>
    <col min="12547" max="12547" width="12.00390625" style="3" customWidth="1"/>
    <col min="12548" max="12548" width="18.8515625" style="3" customWidth="1"/>
    <col min="12549" max="12549" width="32.140625" style="3" bestFit="1" customWidth="1"/>
    <col min="12550" max="12797" width="11.421875" style="3" customWidth="1"/>
    <col min="12798" max="12798" width="3.28125" style="3" customWidth="1"/>
    <col min="12799" max="12799" width="15.8515625" style="3" customWidth="1"/>
    <col min="12800" max="12800" width="17.57421875" style="3" bestFit="1" customWidth="1"/>
    <col min="12801" max="12801" width="14.57421875" style="3" customWidth="1"/>
    <col min="12802" max="12802" width="13.7109375" style="3" customWidth="1"/>
    <col min="12803" max="12803" width="12.00390625" style="3" customWidth="1"/>
    <col min="12804" max="12804" width="18.8515625" style="3" customWidth="1"/>
    <col min="12805" max="12805" width="32.140625" style="3" bestFit="1" customWidth="1"/>
    <col min="12806" max="13053" width="11.421875" style="3" customWidth="1"/>
    <col min="13054" max="13054" width="3.28125" style="3" customWidth="1"/>
    <col min="13055" max="13055" width="15.8515625" style="3" customWidth="1"/>
    <col min="13056" max="13056" width="17.57421875" style="3" bestFit="1" customWidth="1"/>
    <col min="13057" max="13057" width="14.57421875" style="3" customWidth="1"/>
    <col min="13058" max="13058" width="13.7109375" style="3" customWidth="1"/>
    <col min="13059" max="13059" width="12.00390625" style="3" customWidth="1"/>
    <col min="13060" max="13060" width="18.8515625" style="3" customWidth="1"/>
    <col min="13061" max="13061" width="32.140625" style="3" bestFit="1" customWidth="1"/>
    <col min="13062" max="13309" width="11.421875" style="3" customWidth="1"/>
    <col min="13310" max="13310" width="3.28125" style="3" customWidth="1"/>
    <col min="13311" max="13311" width="15.8515625" style="3" customWidth="1"/>
    <col min="13312" max="13312" width="17.57421875" style="3" bestFit="1" customWidth="1"/>
    <col min="13313" max="13313" width="14.57421875" style="3" customWidth="1"/>
    <col min="13314" max="13314" width="13.7109375" style="3" customWidth="1"/>
    <col min="13315" max="13315" width="12.00390625" style="3" customWidth="1"/>
    <col min="13316" max="13316" width="18.8515625" style="3" customWidth="1"/>
    <col min="13317" max="13317" width="32.140625" style="3" bestFit="1" customWidth="1"/>
    <col min="13318" max="13565" width="11.421875" style="3" customWidth="1"/>
    <col min="13566" max="13566" width="3.28125" style="3" customWidth="1"/>
    <col min="13567" max="13567" width="15.8515625" style="3" customWidth="1"/>
    <col min="13568" max="13568" width="17.57421875" style="3" bestFit="1" customWidth="1"/>
    <col min="13569" max="13569" width="14.57421875" style="3" customWidth="1"/>
    <col min="13570" max="13570" width="13.7109375" style="3" customWidth="1"/>
    <col min="13571" max="13571" width="12.00390625" style="3" customWidth="1"/>
    <col min="13572" max="13572" width="18.8515625" style="3" customWidth="1"/>
    <col min="13573" max="13573" width="32.140625" style="3" bestFit="1" customWidth="1"/>
    <col min="13574" max="13821" width="11.421875" style="3" customWidth="1"/>
    <col min="13822" max="13822" width="3.28125" style="3" customWidth="1"/>
    <col min="13823" max="13823" width="15.8515625" style="3" customWidth="1"/>
    <col min="13824" max="13824" width="17.57421875" style="3" bestFit="1" customWidth="1"/>
    <col min="13825" max="13825" width="14.57421875" style="3" customWidth="1"/>
    <col min="13826" max="13826" width="13.7109375" style="3" customWidth="1"/>
    <col min="13827" max="13827" width="12.00390625" style="3" customWidth="1"/>
    <col min="13828" max="13828" width="18.8515625" style="3" customWidth="1"/>
    <col min="13829" max="13829" width="32.140625" style="3" bestFit="1" customWidth="1"/>
    <col min="13830" max="14077" width="11.421875" style="3" customWidth="1"/>
    <col min="14078" max="14078" width="3.28125" style="3" customWidth="1"/>
    <col min="14079" max="14079" width="15.8515625" style="3" customWidth="1"/>
    <col min="14080" max="14080" width="17.57421875" style="3" bestFit="1" customWidth="1"/>
    <col min="14081" max="14081" width="14.57421875" style="3" customWidth="1"/>
    <col min="14082" max="14082" width="13.7109375" style="3" customWidth="1"/>
    <col min="14083" max="14083" width="12.00390625" style="3" customWidth="1"/>
    <col min="14084" max="14084" width="18.8515625" style="3" customWidth="1"/>
    <col min="14085" max="14085" width="32.140625" style="3" bestFit="1" customWidth="1"/>
    <col min="14086" max="14333" width="11.421875" style="3" customWidth="1"/>
    <col min="14334" max="14334" width="3.28125" style="3" customWidth="1"/>
    <col min="14335" max="14335" width="15.8515625" style="3" customWidth="1"/>
    <col min="14336" max="14336" width="17.57421875" style="3" bestFit="1" customWidth="1"/>
    <col min="14337" max="14337" width="14.57421875" style="3" customWidth="1"/>
    <col min="14338" max="14338" width="13.7109375" style="3" customWidth="1"/>
    <col min="14339" max="14339" width="12.00390625" style="3" customWidth="1"/>
    <col min="14340" max="14340" width="18.8515625" style="3" customWidth="1"/>
    <col min="14341" max="14341" width="32.140625" style="3" bestFit="1" customWidth="1"/>
    <col min="14342" max="14589" width="11.421875" style="3" customWidth="1"/>
    <col min="14590" max="14590" width="3.28125" style="3" customWidth="1"/>
    <col min="14591" max="14591" width="15.8515625" style="3" customWidth="1"/>
    <col min="14592" max="14592" width="17.57421875" style="3" bestFit="1" customWidth="1"/>
    <col min="14593" max="14593" width="14.57421875" style="3" customWidth="1"/>
    <col min="14594" max="14594" width="13.7109375" style="3" customWidth="1"/>
    <col min="14595" max="14595" width="12.00390625" style="3" customWidth="1"/>
    <col min="14596" max="14596" width="18.8515625" style="3" customWidth="1"/>
    <col min="14597" max="14597" width="32.140625" style="3" bestFit="1" customWidth="1"/>
    <col min="14598" max="14845" width="11.421875" style="3" customWidth="1"/>
    <col min="14846" max="14846" width="3.28125" style="3" customWidth="1"/>
    <col min="14847" max="14847" width="15.8515625" style="3" customWidth="1"/>
    <col min="14848" max="14848" width="17.57421875" style="3" bestFit="1" customWidth="1"/>
    <col min="14849" max="14849" width="14.57421875" style="3" customWidth="1"/>
    <col min="14850" max="14850" width="13.7109375" style="3" customWidth="1"/>
    <col min="14851" max="14851" width="12.00390625" style="3" customWidth="1"/>
    <col min="14852" max="14852" width="18.8515625" style="3" customWidth="1"/>
    <col min="14853" max="14853" width="32.140625" style="3" bestFit="1" customWidth="1"/>
    <col min="14854" max="15101" width="11.421875" style="3" customWidth="1"/>
    <col min="15102" max="15102" width="3.28125" style="3" customWidth="1"/>
    <col min="15103" max="15103" width="15.8515625" style="3" customWidth="1"/>
    <col min="15104" max="15104" width="17.57421875" style="3" bestFit="1" customWidth="1"/>
    <col min="15105" max="15105" width="14.57421875" style="3" customWidth="1"/>
    <col min="15106" max="15106" width="13.7109375" style="3" customWidth="1"/>
    <col min="15107" max="15107" width="12.00390625" style="3" customWidth="1"/>
    <col min="15108" max="15108" width="18.8515625" style="3" customWidth="1"/>
    <col min="15109" max="15109" width="32.140625" style="3" bestFit="1" customWidth="1"/>
    <col min="15110" max="15357" width="11.421875" style="3" customWidth="1"/>
    <col min="15358" max="15358" width="3.28125" style="3" customWidth="1"/>
    <col min="15359" max="15359" width="15.8515625" style="3" customWidth="1"/>
    <col min="15360" max="15360" width="17.57421875" style="3" bestFit="1" customWidth="1"/>
    <col min="15361" max="15361" width="14.57421875" style="3" customWidth="1"/>
    <col min="15362" max="15362" width="13.7109375" style="3" customWidth="1"/>
    <col min="15363" max="15363" width="12.00390625" style="3" customWidth="1"/>
    <col min="15364" max="15364" width="18.8515625" style="3" customWidth="1"/>
    <col min="15365" max="15365" width="32.140625" style="3" bestFit="1" customWidth="1"/>
    <col min="15366" max="15613" width="11.421875" style="3" customWidth="1"/>
    <col min="15614" max="15614" width="3.28125" style="3" customWidth="1"/>
    <col min="15615" max="15615" width="15.8515625" style="3" customWidth="1"/>
    <col min="15616" max="15616" width="17.57421875" style="3" bestFit="1" customWidth="1"/>
    <col min="15617" max="15617" width="14.57421875" style="3" customWidth="1"/>
    <col min="15618" max="15618" width="13.7109375" style="3" customWidth="1"/>
    <col min="15619" max="15619" width="12.00390625" style="3" customWidth="1"/>
    <col min="15620" max="15620" width="18.8515625" style="3" customWidth="1"/>
    <col min="15621" max="15621" width="32.140625" style="3" bestFit="1" customWidth="1"/>
    <col min="15622" max="15869" width="11.421875" style="3" customWidth="1"/>
    <col min="15870" max="15870" width="3.28125" style="3" customWidth="1"/>
    <col min="15871" max="15871" width="15.8515625" style="3" customWidth="1"/>
    <col min="15872" max="15872" width="17.57421875" style="3" bestFit="1" customWidth="1"/>
    <col min="15873" max="15873" width="14.57421875" style="3" customWidth="1"/>
    <col min="15874" max="15874" width="13.7109375" style="3" customWidth="1"/>
    <col min="15875" max="15875" width="12.00390625" style="3" customWidth="1"/>
    <col min="15876" max="15876" width="18.8515625" style="3" customWidth="1"/>
    <col min="15877" max="15877" width="32.140625" style="3" bestFit="1" customWidth="1"/>
    <col min="15878" max="16125" width="11.421875" style="3" customWidth="1"/>
    <col min="16126" max="16126" width="3.28125" style="3" customWidth="1"/>
    <col min="16127" max="16127" width="15.8515625" style="3" customWidth="1"/>
    <col min="16128" max="16128" width="17.57421875" style="3" bestFit="1" customWidth="1"/>
    <col min="16129" max="16129" width="14.57421875" style="3" customWidth="1"/>
    <col min="16130" max="16130" width="13.7109375" style="3" customWidth="1"/>
    <col min="16131" max="16131" width="12.00390625" style="3" customWidth="1"/>
    <col min="16132" max="16132" width="18.8515625" style="3" customWidth="1"/>
    <col min="16133" max="16133" width="32.140625" style="3" bestFit="1" customWidth="1"/>
    <col min="16134" max="16384" width="11.421875" style="3" customWidth="1"/>
  </cols>
  <sheetData>
    <row r="1" ht="12.75"/>
    <row r="2" spans="2:12" s="324" customFormat="1" ht="15">
      <c r="B2" s="386" t="s">
        <v>1093</v>
      </c>
      <c r="C2" s="387"/>
      <c r="D2" s="387"/>
      <c r="E2" s="387"/>
      <c r="F2" s="387"/>
      <c r="G2" s="387"/>
      <c r="H2" s="387"/>
      <c r="I2" s="387"/>
      <c r="J2" s="387"/>
      <c r="K2" s="3"/>
      <c r="L2" t="s">
        <v>695</v>
      </c>
    </row>
    <row r="3" ht="12.75"/>
    <row r="4" spans="2:10" ht="12.75">
      <c r="B4" s="388" t="s">
        <v>311</v>
      </c>
      <c r="C4" s="389"/>
      <c r="D4" s="389"/>
      <c r="E4" s="389"/>
      <c r="F4" s="390"/>
      <c r="G4" s="390"/>
      <c r="H4" s="391"/>
      <c r="I4" s="391"/>
      <c r="J4" s="391"/>
    </row>
    <row r="5" spans="2:7" ht="12.75">
      <c r="B5" s="3"/>
      <c r="C5" s="3"/>
      <c r="D5" s="3"/>
      <c r="E5" s="3"/>
      <c r="F5" s="3"/>
      <c r="G5" s="3"/>
    </row>
    <row r="6" spans="2:7" ht="60">
      <c r="B6" s="382" t="s">
        <v>312</v>
      </c>
      <c r="C6" s="383" t="s">
        <v>1094</v>
      </c>
      <c r="D6" s="382" t="s">
        <v>313</v>
      </c>
      <c r="E6" s="112"/>
      <c r="F6" s="3"/>
      <c r="G6" s="112"/>
    </row>
    <row r="7" spans="2:7" ht="89.25">
      <c r="B7" s="81" t="s">
        <v>314</v>
      </c>
      <c r="C7" s="385">
        <v>1.27</v>
      </c>
      <c r="D7" s="384" t="s">
        <v>1613</v>
      </c>
      <c r="E7" s="112"/>
      <c r="F7" s="112"/>
      <c r="G7" s="112"/>
    </row>
    <row r="9" spans="2:10" ht="15">
      <c r="B9" s="388" t="s">
        <v>698</v>
      </c>
      <c r="C9" s="389"/>
      <c r="D9" s="389"/>
      <c r="E9" s="389"/>
      <c r="F9" s="390"/>
      <c r="G9" s="390"/>
      <c r="H9" s="391"/>
      <c r="I9" s="391"/>
      <c r="J9" s="391"/>
    </row>
    <row r="10" spans="2:7" ht="15">
      <c r="B10" s="3"/>
      <c r="C10" s="3"/>
      <c r="D10" s="3"/>
      <c r="E10" s="3"/>
      <c r="F10" s="3"/>
      <c r="G10" s="3"/>
    </row>
    <row r="11" spans="2:7" ht="14.25">
      <c r="B11" s="282" t="s">
        <v>315</v>
      </c>
      <c r="C11" s="282"/>
      <c r="D11" s="282" t="s">
        <v>562</v>
      </c>
      <c r="E11" s="282" t="s">
        <v>313</v>
      </c>
      <c r="F11" s="112"/>
      <c r="G11" s="112"/>
    </row>
    <row r="12" spans="2:7" ht="15" customHeight="1">
      <c r="B12" s="1356" t="s">
        <v>302</v>
      </c>
      <c r="C12" s="1357"/>
      <c r="D12" s="284">
        <v>0</v>
      </c>
      <c r="E12" s="1399" t="s">
        <v>1614</v>
      </c>
      <c r="F12" s="112"/>
      <c r="G12"/>
    </row>
    <row r="13" spans="2:7" ht="25.5">
      <c r="B13" s="1280" t="s">
        <v>303</v>
      </c>
      <c r="C13" s="285" t="s">
        <v>304</v>
      </c>
      <c r="D13" s="284">
        <v>1</v>
      </c>
      <c r="E13" s="1400"/>
      <c r="F13" s="112"/>
      <c r="G13" s="112"/>
    </row>
    <row r="14" spans="2:7" ht="25.5">
      <c r="B14" s="1281"/>
      <c r="C14" s="286" t="s">
        <v>305</v>
      </c>
      <c r="D14" s="284">
        <v>0.71</v>
      </c>
      <c r="E14" s="1400"/>
      <c r="F14" s="112"/>
      <c r="G14" s="112"/>
    </row>
    <row r="15" spans="2:7" ht="25.5">
      <c r="B15" s="1282"/>
      <c r="C15" s="286" t="s">
        <v>306</v>
      </c>
      <c r="D15" s="284">
        <v>0.55</v>
      </c>
      <c r="E15" s="1400"/>
      <c r="F15" s="112"/>
      <c r="G15" s="112"/>
    </row>
    <row r="16" spans="2:7" ht="25.5">
      <c r="B16" s="1280" t="s">
        <v>307</v>
      </c>
      <c r="C16" s="285" t="s">
        <v>316</v>
      </c>
      <c r="D16" s="284">
        <v>0.54</v>
      </c>
      <c r="E16" s="1400"/>
      <c r="F16" s="112"/>
      <c r="G16" s="112"/>
    </row>
    <row r="17" spans="2:7" ht="25.5">
      <c r="B17" s="1281"/>
      <c r="C17" s="285" t="s">
        <v>317</v>
      </c>
      <c r="D17" s="284">
        <v>0.16</v>
      </c>
      <c r="E17" s="1400"/>
      <c r="F17" s="112"/>
      <c r="G17" s="112"/>
    </row>
    <row r="18" spans="2:7" ht="15">
      <c r="B18" s="1282"/>
      <c r="C18" s="285" t="s">
        <v>310</v>
      </c>
      <c r="D18" s="284">
        <v>0.06</v>
      </c>
      <c r="E18" s="1401"/>
      <c r="F18" s="112"/>
      <c r="G18" s="112"/>
    </row>
    <row r="19" spans="2:7" ht="15">
      <c r="B19" s="112"/>
      <c r="C19" s="112"/>
      <c r="D19" s="112"/>
      <c r="E19" s="112"/>
      <c r="F19" s="112"/>
      <c r="G19" s="112"/>
    </row>
    <row r="20" spans="2:10" ht="15">
      <c r="B20" s="388" t="s">
        <v>699</v>
      </c>
      <c r="C20" s="389"/>
      <c r="D20" s="389"/>
      <c r="E20" s="389"/>
      <c r="F20" s="390"/>
      <c r="G20" s="390"/>
      <c r="H20" s="391"/>
      <c r="I20" s="391"/>
      <c r="J20" s="391"/>
    </row>
    <row r="21" spans="2:7" ht="15">
      <c r="B21" s="3"/>
      <c r="C21" s="3"/>
      <c r="D21" s="3"/>
      <c r="E21" s="3"/>
      <c r="F21" s="3"/>
      <c r="G21" s="3"/>
    </row>
    <row r="22" spans="2:7" ht="15">
      <c r="B22" s="1414" t="s">
        <v>318</v>
      </c>
      <c r="C22" s="1415"/>
      <c r="D22" s="1418" t="s">
        <v>319</v>
      </c>
      <c r="E22" s="1419"/>
      <c r="F22" s="1413" t="s">
        <v>313</v>
      </c>
      <c r="G22" s="112"/>
    </row>
    <row r="23" spans="2:7" ht="15">
      <c r="B23" s="1416"/>
      <c r="C23" s="1417"/>
      <c r="D23" s="287" t="s">
        <v>320</v>
      </c>
      <c r="E23" s="287" t="s">
        <v>321</v>
      </c>
      <c r="F23" s="1413"/>
      <c r="G23" s="112"/>
    </row>
    <row r="24" spans="2:8" ht="15">
      <c r="B24" s="1402" t="s">
        <v>322</v>
      </c>
      <c r="C24" s="1403"/>
      <c r="D24" s="1404">
        <v>1.22</v>
      </c>
      <c r="E24" s="283">
        <v>1</v>
      </c>
      <c r="F24" s="1399" t="s">
        <v>1615</v>
      </c>
      <c r="G24" s="112"/>
      <c r="H24"/>
    </row>
    <row r="25" spans="2:7" ht="15">
      <c r="B25" s="1402" t="s">
        <v>716</v>
      </c>
      <c r="C25" s="1403"/>
      <c r="D25" s="1405"/>
      <c r="E25" s="283">
        <v>0.89</v>
      </c>
      <c r="F25" s="1400"/>
      <c r="G25" s="112"/>
    </row>
    <row r="26" spans="2:7" ht="15">
      <c r="B26" s="1402" t="s">
        <v>717</v>
      </c>
      <c r="C26" s="1403"/>
      <c r="D26" s="1405"/>
      <c r="E26" s="283">
        <v>2.41</v>
      </c>
      <c r="F26" s="1400"/>
      <c r="G26" s="112"/>
    </row>
    <row r="27" spans="2:7" ht="15">
      <c r="B27" s="1402" t="s">
        <v>323</v>
      </c>
      <c r="C27" s="1403"/>
      <c r="D27" s="1406"/>
      <c r="E27" s="283">
        <v>0.59</v>
      </c>
      <c r="F27" s="1401"/>
      <c r="G27" s="112"/>
    </row>
    <row r="28" spans="2:10" ht="15">
      <c r="B28" s="53"/>
      <c r="C28" s="53"/>
      <c r="D28" s="53"/>
      <c r="E28" s="53"/>
      <c r="F28" s="53"/>
      <c r="G28" s="53"/>
      <c r="H28" s="53"/>
      <c r="I28" s="53"/>
      <c r="J28" s="53"/>
    </row>
    <row r="29" spans="2:10" ht="15">
      <c r="B29" s="388" t="s">
        <v>324</v>
      </c>
      <c r="C29" s="389"/>
      <c r="D29" s="389"/>
      <c r="E29" s="389"/>
      <c r="F29" s="390"/>
      <c r="G29" s="390"/>
      <c r="H29" s="391"/>
      <c r="I29" s="391"/>
      <c r="J29" s="391"/>
    </row>
    <row r="30" ht="15"/>
    <row r="31" spans="2:10" ht="38.25">
      <c r="B31" s="1407" t="s">
        <v>325</v>
      </c>
      <c r="C31" s="1408"/>
      <c r="D31" s="288" t="s">
        <v>326</v>
      </c>
      <c r="E31" s="288" t="s">
        <v>313</v>
      </c>
      <c r="F31" s="53"/>
      <c r="G31" s="53"/>
      <c r="H31" s="53"/>
      <c r="I31" s="53"/>
      <c r="J31" s="53"/>
    </row>
    <row r="32" spans="2:10" ht="24.75" customHeight="1">
      <c r="B32" s="1409" t="s">
        <v>327</v>
      </c>
      <c r="C32" s="1410"/>
      <c r="D32" s="289">
        <v>1</v>
      </c>
      <c r="E32" s="1399" t="s">
        <v>1616</v>
      </c>
      <c r="F32" s="53"/>
      <c r="H32" s="53"/>
      <c r="I32" s="53"/>
      <c r="J32" s="53"/>
    </row>
    <row r="33" spans="2:10" ht="24.75" customHeight="1">
      <c r="B33" s="1409" t="s">
        <v>328</v>
      </c>
      <c r="C33" s="1410"/>
      <c r="D33" s="289">
        <v>0.19</v>
      </c>
      <c r="E33" s="1400"/>
      <c r="F33" s="53"/>
      <c r="G33" s="53"/>
      <c r="H33" s="53"/>
      <c r="I33" s="53"/>
      <c r="J33" s="53"/>
    </row>
    <row r="34" spans="2:10" ht="15">
      <c r="B34" s="1411" t="s">
        <v>329</v>
      </c>
      <c r="C34" s="1412"/>
      <c r="D34" s="289">
        <v>0.17</v>
      </c>
      <c r="E34" s="1400"/>
      <c r="F34" s="53"/>
      <c r="G34" s="53"/>
      <c r="H34" s="53"/>
      <c r="I34" s="53"/>
      <c r="J34" s="53"/>
    </row>
    <row r="35" spans="2:10" ht="15">
      <c r="B35" s="1411" t="s">
        <v>330</v>
      </c>
      <c r="C35" s="1412"/>
      <c r="D35" s="289">
        <v>0.21</v>
      </c>
      <c r="E35" s="1400"/>
      <c r="F35" s="53"/>
      <c r="G35" s="53"/>
      <c r="H35" s="53"/>
      <c r="I35" s="53"/>
      <c r="J35" s="53"/>
    </row>
    <row r="36" spans="2:10" ht="15">
      <c r="B36" s="1411" t="s">
        <v>331</v>
      </c>
      <c r="C36" s="1412"/>
      <c r="D36" s="289">
        <v>0.45</v>
      </c>
      <c r="E36" s="1401"/>
      <c r="F36" s="53"/>
      <c r="G36" s="53"/>
      <c r="H36" s="53"/>
      <c r="I36" s="53"/>
      <c r="J36" s="53"/>
    </row>
    <row r="37" ht="15">
      <c r="G37" s="112"/>
    </row>
    <row r="38" ht="15">
      <c r="G38" s="112"/>
    </row>
    <row r="39" ht="15">
      <c r="G39" s="112"/>
    </row>
    <row r="40" ht="15">
      <c r="G40" s="112"/>
    </row>
    <row r="41" ht="15">
      <c r="G41" s="112"/>
    </row>
    <row r="42" ht="15">
      <c r="G42" s="112"/>
    </row>
    <row r="43" ht="15">
      <c r="G43" s="112"/>
    </row>
    <row r="44" ht="15">
      <c r="G44" s="112"/>
    </row>
    <row r="45" ht="15">
      <c r="G45" s="112"/>
    </row>
    <row r="46" ht="15">
      <c r="G46" s="112"/>
    </row>
    <row r="47" ht="15">
      <c r="G47" s="112"/>
    </row>
    <row r="48" spans="2:7" ht="15">
      <c r="B48" s="112"/>
      <c r="C48" s="112"/>
      <c r="D48" s="112"/>
      <c r="E48" s="112"/>
      <c r="F48" s="112"/>
      <c r="G48" s="112"/>
    </row>
    <row r="49" spans="2:7" ht="15">
      <c r="B49" s="112"/>
      <c r="C49" s="112"/>
      <c r="D49" s="112"/>
      <c r="E49" s="112"/>
      <c r="F49" s="112"/>
      <c r="G49" s="112"/>
    </row>
    <row r="50" spans="2:7" ht="15">
      <c r="B50" s="112"/>
      <c r="C50" s="112"/>
      <c r="D50" s="112"/>
      <c r="E50" s="112"/>
      <c r="F50" s="112"/>
      <c r="G50" s="112"/>
    </row>
    <row r="51" spans="2:7" ht="15">
      <c r="B51" s="112"/>
      <c r="C51" s="112"/>
      <c r="D51" s="112"/>
      <c r="E51" s="112"/>
      <c r="F51" s="112"/>
      <c r="G51" s="112"/>
    </row>
    <row r="52" spans="2:7" ht="15">
      <c r="B52" s="112"/>
      <c r="C52" s="112"/>
      <c r="D52" s="112"/>
      <c r="E52" s="112"/>
      <c r="F52" s="112"/>
      <c r="G52" s="112"/>
    </row>
    <row r="53" spans="2:7" ht="15">
      <c r="B53" s="112"/>
      <c r="C53" s="112"/>
      <c r="D53" s="112"/>
      <c r="E53" s="112"/>
      <c r="F53" s="112"/>
      <c r="G53" s="112"/>
    </row>
    <row r="54" spans="2:7" ht="15">
      <c r="B54" s="112"/>
      <c r="C54" s="112"/>
      <c r="D54" s="112"/>
      <c r="E54" s="112"/>
      <c r="F54" s="112"/>
      <c r="G54" s="112"/>
    </row>
    <row r="55" spans="2:7" ht="15">
      <c r="B55" s="112"/>
      <c r="C55" s="112"/>
      <c r="D55" s="112"/>
      <c r="E55" s="112"/>
      <c r="F55" s="112"/>
      <c r="G55" s="112"/>
    </row>
    <row r="56" spans="2:7" ht="15">
      <c r="B56" s="112"/>
      <c r="C56" s="112"/>
      <c r="D56" s="112"/>
      <c r="E56" s="112"/>
      <c r="F56" s="112"/>
      <c r="G56" s="112"/>
    </row>
    <row r="57" spans="2:7" ht="15">
      <c r="B57" s="112"/>
      <c r="C57" s="112"/>
      <c r="D57" s="112"/>
      <c r="E57" s="112"/>
      <c r="F57" s="112"/>
      <c r="G57" s="112"/>
    </row>
    <row r="58" spans="2:7" ht="15">
      <c r="B58" s="112"/>
      <c r="C58" s="112"/>
      <c r="D58" s="112"/>
      <c r="E58" s="112"/>
      <c r="F58" s="112"/>
      <c r="G58" s="112"/>
    </row>
  </sheetData>
  <mergeCells count="20">
    <mergeCell ref="F22:F23"/>
    <mergeCell ref="B12:C12"/>
    <mergeCell ref="B13:B15"/>
    <mergeCell ref="B16:B18"/>
    <mergeCell ref="B22:C23"/>
    <mergeCell ref="D22:E22"/>
    <mergeCell ref="E12:E18"/>
    <mergeCell ref="E32:E36"/>
    <mergeCell ref="F24:F27"/>
    <mergeCell ref="B24:C24"/>
    <mergeCell ref="D24:D27"/>
    <mergeCell ref="B25:C25"/>
    <mergeCell ref="B26:C26"/>
    <mergeCell ref="B31:C31"/>
    <mergeCell ref="B32:C32"/>
    <mergeCell ref="B33:C33"/>
    <mergeCell ref="B34:C34"/>
    <mergeCell ref="B35:C35"/>
    <mergeCell ref="B36:C36"/>
    <mergeCell ref="B27:C27"/>
  </mergeCells>
  <printOptions/>
  <pageMargins left="0.7" right="0.7" top="0.75" bottom="0.75" header="0.3" footer="0.3"/>
  <pageSetup horizontalDpi="600" verticalDpi="600" orientation="portrait" paperSize="0" copies="0"/>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D9D9D9"/>
  </sheetPr>
  <dimension ref="A1:K98"/>
  <sheetViews>
    <sheetView workbookViewId="0" topLeftCell="A58">
      <selection activeCell="H87" sqref="H87"/>
    </sheetView>
  </sheetViews>
  <sheetFormatPr defaultColWidth="10.8515625" defaultRowHeight="15"/>
  <cols>
    <col min="1" max="1" width="12.7109375" style="53" customWidth="1"/>
    <col min="2" max="2" width="21.00390625" style="53" customWidth="1"/>
    <col min="3" max="10" width="16.7109375" style="53" customWidth="1"/>
    <col min="11" max="11" width="11.7109375" style="0" customWidth="1"/>
  </cols>
  <sheetData>
    <row r="1" spans="1:9" ht="15.75" thickBot="1">
      <c r="A1" s="1422" t="s">
        <v>0</v>
      </c>
      <c r="B1" s="1424"/>
      <c r="C1" s="1477" t="s">
        <v>381</v>
      </c>
      <c r="D1" s="1478"/>
      <c r="E1" s="1478"/>
      <c r="F1" s="1478"/>
      <c r="G1" s="1479"/>
      <c r="I1" t="s">
        <v>695</v>
      </c>
    </row>
    <row r="2" spans="1:7" ht="15.75" thickBot="1">
      <c r="A2" s="1422" t="s">
        <v>789</v>
      </c>
      <c r="B2" s="1424"/>
      <c r="C2" s="1477" t="s">
        <v>790</v>
      </c>
      <c r="D2" s="1478"/>
      <c r="E2" s="1478"/>
      <c r="F2" s="1478"/>
      <c r="G2" s="1479"/>
    </row>
    <row r="3" spans="1:7" ht="15.75" thickBot="1">
      <c r="A3" s="1422" t="s">
        <v>791</v>
      </c>
      <c r="B3" s="1424"/>
      <c r="C3" s="1477" t="s">
        <v>792</v>
      </c>
      <c r="D3" s="1478"/>
      <c r="E3" s="1478"/>
      <c r="F3" s="1478"/>
      <c r="G3" s="1479"/>
    </row>
    <row r="4" spans="1:7" ht="15.75" thickBot="1">
      <c r="A4" s="1422" t="s">
        <v>793</v>
      </c>
      <c r="B4" s="1424"/>
      <c r="C4" s="1477" t="s">
        <v>794</v>
      </c>
      <c r="D4" s="1478"/>
      <c r="E4" s="1478"/>
      <c r="F4" s="1478"/>
      <c r="G4" s="1479"/>
    </row>
    <row r="5" spans="1:7" ht="15.75" thickBot="1">
      <c r="A5" s="1471" t="s">
        <v>795</v>
      </c>
      <c r="B5" s="1472"/>
      <c r="C5" s="1433" t="s">
        <v>796</v>
      </c>
      <c r="D5" s="1434"/>
      <c r="E5" s="125" t="s">
        <v>1164</v>
      </c>
      <c r="F5" s="1433" t="s">
        <v>797</v>
      </c>
      <c r="G5" s="1434"/>
    </row>
    <row r="6" spans="1:10" s="1048" customFormat="1" ht="40.5" thickBot="1">
      <c r="A6" s="1473" t="s">
        <v>798</v>
      </c>
      <c r="B6" s="1474"/>
      <c r="C6" s="1050" t="s">
        <v>799</v>
      </c>
      <c r="D6" s="1050" t="s">
        <v>800</v>
      </c>
      <c r="E6" s="1050" t="s">
        <v>1640</v>
      </c>
      <c r="F6" s="1050" t="s">
        <v>801</v>
      </c>
      <c r="G6" s="1050" t="s">
        <v>1641</v>
      </c>
      <c r="H6" s="80"/>
      <c r="I6" s="80"/>
      <c r="J6" s="80"/>
    </row>
    <row r="7" spans="1:10" s="1048" customFormat="1" ht="16.5" thickBot="1">
      <c r="A7" s="1475"/>
      <c r="B7" s="1476"/>
      <c r="C7" s="1051" t="s">
        <v>802</v>
      </c>
      <c r="D7" s="1051" t="s">
        <v>1642</v>
      </c>
      <c r="E7" s="1051" t="s">
        <v>1621</v>
      </c>
      <c r="F7" s="1051" t="s">
        <v>1642</v>
      </c>
      <c r="G7" s="1051" t="s">
        <v>1621</v>
      </c>
      <c r="H7" s="80"/>
      <c r="I7" s="80"/>
      <c r="J7" s="80"/>
    </row>
    <row r="8" spans="1:10" s="1048" customFormat="1" ht="30.75" thickBot="1">
      <c r="A8" s="1475"/>
      <c r="B8" s="1476"/>
      <c r="C8" s="1051"/>
      <c r="D8" s="1051" t="s">
        <v>803</v>
      </c>
      <c r="E8" s="1051" t="s">
        <v>1643</v>
      </c>
      <c r="F8" s="1051" t="s">
        <v>805</v>
      </c>
      <c r="G8" s="1051" t="s">
        <v>1644</v>
      </c>
      <c r="H8" s="80"/>
      <c r="I8" s="80"/>
      <c r="J8" s="80"/>
    </row>
    <row r="9" spans="1:7" ht="15.75" thickBot="1">
      <c r="A9" s="1435" t="s">
        <v>1</v>
      </c>
      <c r="B9" s="1436"/>
      <c r="C9" s="128" t="s">
        <v>563</v>
      </c>
      <c r="D9" s="128" t="s">
        <v>564</v>
      </c>
      <c r="E9" s="128" t="s">
        <v>565</v>
      </c>
      <c r="F9" s="128" t="s">
        <v>564</v>
      </c>
      <c r="G9" s="128" t="s">
        <v>566</v>
      </c>
    </row>
    <row r="10" spans="1:7" ht="16.5" thickBot="1" thickTop="1">
      <c r="A10" s="1437" t="s">
        <v>436</v>
      </c>
      <c r="B10" s="1438"/>
      <c r="C10" s="129">
        <f>+'IP 3A1_3A2_3C6'!C38</f>
        <v>905818</v>
      </c>
      <c r="D10" s="129">
        <f>'3A1_3A2 FE'!C7</f>
        <v>87</v>
      </c>
      <c r="E10" s="129">
        <f aca="true" t="shared" si="0" ref="E10:E20">C10*D10/1000000</f>
        <v>78.806166</v>
      </c>
      <c r="F10" s="130">
        <f>'3A1_3A2 FE'!F105</f>
        <v>1.0338335073933176</v>
      </c>
      <c r="G10" s="130">
        <f aca="true" t="shared" si="1" ref="G10:G20">C10*F10/1000000</f>
        <v>0.9364650000000001</v>
      </c>
    </row>
    <row r="11" spans="1:7" ht="15.75" thickBot="1">
      <c r="A11" s="1437" t="s">
        <v>437</v>
      </c>
      <c r="B11" s="1438"/>
      <c r="C11" s="129">
        <f>+'IP 3A1_3A2_3C6'!D38</f>
        <v>4694075</v>
      </c>
      <c r="D11" s="129">
        <f>'3A1_3A2 FE'!C8</f>
        <v>56</v>
      </c>
      <c r="E11" s="129">
        <f t="shared" si="0"/>
        <v>262.8682</v>
      </c>
      <c r="F11" s="130">
        <f>'3A1_3A2 FE'!F106</f>
        <v>1</v>
      </c>
      <c r="G11" s="130">
        <f t="shared" si="1"/>
        <v>4.694075</v>
      </c>
    </row>
    <row r="12" spans="1:7" ht="15.75" thickBot="1">
      <c r="A12" s="1425" t="s">
        <v>40</v>
      </c>
      <c r="B12" s="1426"/>
      <c r="C12" s="130">
        <f>+'IP 3A1_3A2_3C6'!D8</f>
        <v>11371639</v>
      </c>
      <c r="D12" s="130">
        <f>'3A1_3A2 FE'!C9</f>
        <v>5</v>
      </c>
      <c r="E12" s="130">
        <f t="shared" si="0"/>
        <v>56.858195</v>
      </c>
      <c r="F12" s="130">
        <f>'3A1_3A2 FE'!F107</f>
        <v>0.11462935114278602</v>
      </c>
      <c r="G12" s="130">
        <f t="shared" si="1"/>
        <v>1.3035236000000001</v>
      </c>
    </row>
    <row r="13" spans="1:7" ht="15.75" thickBot="1">
      <c r="A13" s="1425" t="s">
        <v>39</v>
      </c>
      <c r="B13" s="1426"/>
      <c r="C13" s="130">
        <f>+'IP 3A1_3A2_3C6'!E8</f>
        <v>1801882</v>
      </c>
      <c r="D13" s="130">
        <f>'3A1_3A2 FE'!C10</f>
        <v>5</v>
      </c>
      <c r="E13" s="130">
        <f t="shared" si="0"/>
        <v>9.00941</v>
      </c>
      <c r="F13" s="130">
        <f>'3A1_3A2 FE'!F108</f>
        <v>0.1638888895055281</v>
      </c>
      <c r="G13" s="130">
        <f t="shared" si="1"/>
        <v>0.29530844</v>
      </c>
    </row>
    <row r="14" spans="1:7" ht="15.75" thickBot="1">
      <c r="A14" s="1425" t="s">
        <v>66</v>
      </c>
      <c r="B14" s="1426"/>
      <c r="C14" s="130">
        <f>+'IP 3A1_3A2_3C6'!F8</f>
        <v>478241.719092125</v>
      </c>
      <c r="D14" s="130">
        <f>'3A1_3A2 FE'!C11</f>
        <v>18</v>
      </c>
      <c r="E14" s="130">
        <f t="shared" si="0"/>
        <v>8.60835094365825</v>
      </c>
      <c r="F14" s="130">
        <f>'3A1_3A2 FE'!F109</f>
        <v>1.4308230855296757</v>
      </c>
      <c r="G14" s="130">
        <f t="shared" si="1"/>
        <v>0.6842792921404107</v>
      </c>
    </row>
    <row r="15" spans="1:7" ht="15.75" thickBot="1">
      <c r="A15" s="1425" t="s">
        <v>109</v>
      </c>
      <c r="B15" s="1426"/>
      <c r="C15" s="130">
        <f>+'IP 3A1_3A2_3C6'!G8</f>
        <v>541066.206435821</v>
      </c>
      <c r="D15" s="130">
        <f>'3A1_3A2 FE'!C12</f>
        <v>10</v>
      </c>
      <c r="E15" s="130">
        <f t="shared" si="0"/>
        <v>5.410662064358211</v>
      </c>
      <c r="F15" s="130">
        <f>'3A1_3A2 FE'!F110</f>
        <v>0.7968051118100634</v>
      </c>
      <c r="G15" s="130">
        <f t="shared" si="1"/>
        <v>0.43112431911574123</v>
      </c>
    </row>
    <row r="16" spans="1:7" ht="15.75" thickBot="1">
      <c r="A16" s="1425" t="s">
        <v>41</v>
      </c>
      <c r="B16" s="1426"/>
      <c r="C16" s="130">
        <f>+'IP 3A1_3A2_3C6'!H8</f>
        <v>940552.0273972602</v>
      </c>
      <c r="D16" s="130">
        <f>'3A1_3A2 FE'!C13</f>
        <v>1</v>
      </c>
      <c r="E16" s="130">
        <f t="shared" si="0"/>
        <v>0.9405520273972602</v>
      </c>
      <c r="F16" s="130">
        <f>'3A1_3A2 FE'!F111</f>
        <v>1.1075274243639317</v>
      </c>
      <c r="G16" s="130">
        <f t="shared" si="1"/>
        <v>1.0416871643835617</v>
      </c>
    </row>
    <row r="17" spans="1:7" ht="15.75" customHeight="1" thickBot="1">
      <c r="A17" s="1425" t="s">
        <v>37</v>
      </c>
      <c r="B17" s="1426"/>
      <c r="C17" s="130">
        <f>+'IP 3A1_3A2_3C6'!I8</f>
        <v>4456049</v>
      </c>
      <c r="D17" s="130">
        <f>'3A1_3A2 FE'!C14</f>
        <v>8</v>
      </c>
      <c r="E17" s="130">
        <f t="shared" si="0"/>
        <v>35.648392</v>
      </c>
      <c r="F17" s="130">
        <f>'3A1_3A2 FE'!F112</f>
        <v>0.18965204356061355</v>
      </c>
      <c r="G17" s="130">
        <f t="shared" si="1"/>
        <v>0.8450987990562285</v>
      </c>
    </row>
    <row r="18" spans="1:7" ht="15.75" thickBot="1">
      <c r="A18" s="1425" t="s">
        <v>38</v>
      </c>
      <c r="B18" s="1426"/>
      <c r="C18" s="130">
        <f>+'IP 3A1_3A2_3C6'!J8</f>
        <v>1095921</v>
      </c>
      <c r="D18" s="130">
        <f>'3A1_3A2 FE'!C15</f>
        <v>8</v>
      </c>
      <c r="E18" s="130">
        <f t="shared" si="0"/>
        <v>8.767368</v>
      </c>
      <c r="F18" s="130">
        <f>'3A1_3A2 FE'!F113</f>
        <v>0.31099786113073985</v>
      </c>
      <c r="G18" s="130">
        <f t="shared" si="1"/>
        <v>0.3408290869682616</v>
      </c>
    </row>
    <row r="19" spans="1:7" ht="15.75" thickBot="1">
      <c r="A19" s="1425" t="s">
        <v>36</v>
      </c>
      <c r="B19" s="1426"/>
      <c r="C19" s="130">
        <f>+'IP 3A1_3A2_3C6'!K8</f>
        <v>52662900.840135574</v>
      </c>
      <c r="D19" s="130"/>
      <c r="E19" s="130"/>
      <c r="F19" s="130">
        <f>'3A1_3A2 FE'!F114</f>
        <v>0.019409297951477066</v>
      </c>
      <c r="G19" s="130">
        <f t="shared" si="1"/>
        <v>1.0221499333952833</v>
      </c>
    </row>
    <row r="20" spans="1:7" ht="15.75" thickBot="1">
      <c r="A20" s="1425" t="s">
        <v>68</v>
      </c>
      <c r="B20" s="1426"/>
      <c r="C20" s="130">
        <f>+'IP 3A1_3A2_3C6'!L8</f>
        <v>3971222.8514355808</v>
      </c>
      <c r="D20" s="130">
        <f>'3A1_3A2 FE'!C16</f>
        <v>0.042624143937572384</v>
      </c>
      <c r="E20" s="130">
        <f t="shared" si="0"/>
        <v>0.16926997442776684</v>
      </c>
      <c r="F20" s="130">
        <f>'3A1_3A2 FE'!F116</f>
        <v>0.042624143937572384</v>
      </c>
      <c r="G20" s="130">
        <f t="shared" si="1"/>
        <v>0.16926997442776684</v>
      </c>
    </row>
    <row r="21" spans="1:7" ht="15.75" thickBot="1">
      <c r="A21" s="1427" t="s">
        <v>2</v>
      </c>
      <c r="B21" s="1427"/>
      <c r="C21" s="1429"/>
      <c r="D21" s="1431"/>
      <c r="E21" s="124">
        <f>SUM(E12:E20)</f>
        <v>125.41220000984148</v>
      </c>
      <c r="F21" s="1439"/>
      <c r="G21" s="124">
        <f>SUM(G10:G20)</f>
        <v>11.763810609487255</v>
      </c>
    </row>
    <row r="22" spans="1:7" ht="15.75" customHeight="1" thickBot="1">
      <c r="A22" s="1428"/>
      <c r="B22" s="1428"/>
      <c r="C22" s="1430"/>
      <c r="D22" s="1432"/>
      <c r="E22" s="131">
        <f>SUM(E10:E20)</f>
        <v>467.08656600984153</v>
      </c>
      <c r="F22" s="1440"/>
      <c r="G22" s="131"/>
    </row>
    <row r="23" spans="1:7" ht="25.5" customHeight="1" thickBot="1">
      <c r="A23" s="1450" t="s">
        <v>806</v>
      </c>
      <c r="B23" s="1451"/>
      <c r="C23" s="1451"/>
      <c r="D23" s="1451"/>
      <c r="E23" s="1451"/>
      <c r="F23" s="1451"/>
      <c r="G23" s="1452"/>
    </row>
    <row r="24" ht="15.75" thickBot="1"/>
    <row r="25" spans="1:11" ht="15.75" thickBot="1">
      <c r="A25" s="1422" t="s">
        <v>0</v>
      </c>
      <c r="B25" s="1424"/>
      <c r="C25" s="1422" t="s">
        <v>381</v>
      </c>
      <c r="D25" s="1423"/>
      <c r="E25" s="1423"/>
      <c r="F25" s="1423"/>
      <c r="G25" s="1423"/>
      <c r="H25" s="1423"/>
      <c r="I25" s="1423"/>
      <c r="J25" s="1423"/>
      <c r="K25" s="1424"/>
    </row>
    <row r="26" spans="1:11" ht="15.75" customHeight="1" thickBot="1">
      <c r="A26" s="1422" t="s">
        <v>789</v>
      </c>
      <c r="B26" s="1424"/>
      <c r="C26" s="1422" t="s">
        <v>807</v>
      </c>
      <c r="D26" s="1423"/>
      <c r="E26" s="1423"/>
      <c r="F26" s="1423"/>
      <c r="G26" s="1423"/>
      <c r="H26" s="1423"/>
      <c r="I26" s="1423"/>
      <c r="J26" s="1423"/>
      <c r="K26" s="1424"/>
    </row>
    <row r="27" spans="1:11" ht="15.75" customHeight="1" thickBot="1">
      <c r="A27" s="1422" t="s">
        <v>791</v>
      </c>
      <c r="B27" s="1424"/>
      <c r="C27" s="1422" t="s">
        <v>3</v>
      </c>
      <c r="D27" s="1423"/>
      <c r="E27" s="1423"/>
      <c r="F27" s="1423"/>
      <c r="G27" s="1423"/>
      <c r="H27" s="1423"/>
      <c r="I27" s="1423"/>
      <c r="J27" s="1423"/>
      <c r="K27" s="1424"/>
    </row>
    <row r="28" spans="1:11" ht="15.75" thickBot="1">
      <c r="A28" s="1422" t="s">
        <v>793</v>
      </c>
      <c r="B28" s="1424"/>
      <c r="C28" s="1422" t="s">
        <v>794</v>
      </c>
      <c r="D28" s="1423"/>
      <c r="E28" s="1423"/>
      <c r="F28" s="1423"/>
      <c r="G28" s="1423"/>
      <c r="H28" s="1423"/>
      <c r="I28" s="1423"/>
      <c r="J28" s="1423"/>
      <c r="K28" s="1424"/>
    </row>
    <row r="29" spans="1:11" ht="15.75" customHeight="1" thickBot="1">
      <c r="A29" s="1459" t="s">
        <v>795</v>
      </c>
      <c r="B29" s="1460"/>
      <c r="C29" s="1056" t="s">
        <v>808</v>
      </c>
      <c r="D29" s="1461" t="s">
        <v>809</v>
      </c>
      <c r="E29" s="1462"/>
      <c r="F29" s="1463"/>
      <c r="G29" s="1464" t="s">
        <v>808</v>
      </c>
      <c r="H29" s="1462"/>
      <c r="I29" s="1462"/>
      <c r="J29" s="1462"/>
      <c r="K29" s="1420" t="s">
        <v>1658</v>
      </c>
    </row>
    <row r="30" spans="1:11" s="1048" customFormat="1" ht="77.25" thickBot="1">
      <c r="A30" s="1447" t="s">
        <v>1645</v>
      </c>
      <c r="B30" s="1447" t="s">
        <v>810</v>
      </c>
      <c r="C30" s="1057" t="s">
        <v>799</v>
      </c>
      <c r="D30" s="1057" t="s">
        <v>811</v>
      </c>
      <c r="E30" s="1057" t="s">
        <v>812</v>
      </c>
      <c r="F30" s="1057" t="s">
        <v>1646</v>
      </c>
      <c r="G30" s="1057" t="s">
        <v>813</v>
      </c>
      <c r="H30" s="1057" t="s">
        <v>1647</v>
      </c>
      <c r="I30" s="1057" t="s">
        <v>1648</v>
      </c>
      <c r="J30" s="1057" t="s">
        <v>1649</v>
      </c>
      <c r="K30" s="1421"/>
    </row>
    <row r="31" spans="1:11" s="1048" customFormat="1" ht="30.75" thickBot="1">
      <c r="A31" s="1448"/>
      <c r="B31" s="1448"/>
      <c r="C31" s="359" t="s">
        <v>802</v>
      </c>
      <c r="D31" s="1058" t="s">
        <v>1653</v>
      </c>
      <c r="E31" s="359" t="s">
        <v>4</v>
      </c>
      <c r="F31" s="1058" t="s">
        <v>1654</v>
      </c>
      <c r="G31" s="359" t="s">
        <v>5</v>
      </c>
      <c r="H31" s="359" t="s">
        <v>1650</v>
      </c>
      <c r="I31" s="1058" t="s">
        <v>1655</v>
      </c>
      <c r="J31" s="359" t="s">
        <v>1651</v>
      </c>
      <c r="K31" s="1420" t="s">
        <v>1659</v>
      </c>
    </row>
    <row r="32" spans="1:11" s="1048" customFormat="1" ht="30" thickBot="1">
      <c r="A32" s="1449"/>
      <c r="B32" s="1449"/>
      <c r="C32" s="1054"/>
      <c r="D32" s="1054" t="s">
        <v>816</v>
      </c>
      <c r="E32" s="1054" t="s">
        <v>817</v>
      </c>
      <c r="F32" s="1054" t="s">
        <v>1652</v>
      </c>
      <c r="G32" s="1054" t="s">
        <v>818</v>
      </c>
      <c r="H32" s="1044" t="s">
        <v>1656</v>
      </c>
      <c r="I32" s="1054" t="s">
        <v>819</v>
      </c>
      <c r="J32" s="1044" t="s">
        <v>1657</v>
      </c>
      <c r="K32" s="1470"/>
    </row>
    <row r="33" spans="1:11" ht="15.75" thickBot="1">
      <c r="A33" s="133" t="s">
        <v>6</v>
      </c>
      <c r="B33" s="128" t="s">
        <v>1</v>
      </c>
      <c r="C33" s="1055" t="s">
        <v>568</v>
      </c>
      <c r="D33" s="1055" t="s">
        <v>569</v>
      </c>
      <c r="E33" s="1055" t="s">
        <v>7</v>
      </c>
      <c r="F33" s="1055" t="s">
        <v>570</v>
      </c>
      <c r="G33" s="1055" t="s">
        <v>571</v>
      </c>
      <c r="H33" s="1055" t="s">
        <v>572</v>
      </c>
      <c r="I33" s="1055" t="s">
        <v>573</v>
      </c>
      <c r="J33" s="1055" t="s">
        <v>574</v>
      </c>
      <c r="K33" s="1421"/>
    </row>
    <row r="34" spans="1:11" ht="16.5" customHeight="1" thickBot="1" thickTop="1">
      <c r="A34" s="1465" t="s">
        <v>783</v>
      </c>
      <c r="B34" s="172" t="s">
        <v>118</v>
      </c>
      <c r="C34" s="156">
        <f>+'IP 3A1_3A2_3C6'!C38</f>
        <v>905818</v>
      </c>
      <c r="D34" s="156">
        <f>'3A1_3A2 FE'!C151</f>
        <v>0.48</v>
      </c>
      <c r="E34" s="156">
        <f>'3A1_3A2 FE'!C134</f>
        <v>520</v>
      </c>
      <c r="F34" s="487">
        <f>D34*E34*365/1000</f>
        <v>91.104</v>
      </c>
      <c r="G34" s="156">
        <f>'IB 3A1_3A2_3C6'!D236</f>
        <v>0</v>
      </c>
      <c r="H34" s="156">
        <f>C34*F34*G34</f>
        <v>0</v>
      </c>
      <c r="I34" s="156">
        <f>+'3A1_3A2 FE'!$D$122</f>
        <v>0</v>
      </c>
      <c r="J34" s="156">
        <f>H34*I34*44/28</f>
        <v>0</v>
      </c>
      <c r="K34" s="507">
        <f>+J34*'F. de Conversión'!$D$29/'F. de Conversión'!$D$31</f>
        <v>0</v>
      </c>
    </row>
    <row r="35" spans="1:11" ht="15.75" customHeight="1" thickBot="1">
      <c r="A35" s="1453"/>
      <c r="B35" s="172" t="s">
        <v>375</v>
      </c>
      <c r="C35" s="156">
        <f>+'IP 3A1_3A2_3C6'!D38</f>
        <v>4694075</v>
      </c>
      <c r="D35" s="156">
        <f>'3A1_3A2 FE'!C152</f>
        <v>0.36</v>
      </c>
      <c r="E35" s="156">
        <f>'3A1_3A2 FE'!C135</f>
        <v>306.2140665543348</v>
      </c>
      <c r="F35" s="487">
        <f aca="true" t="shared" si="2" ref="F35:F44">D35*E35*365/1000</f>
        <v>40.2365283452396</v>
      </c>
      <c r="G35" s="156">
        <f>'IB 3A1_3A2_3C6'!D237</f>
        <v>0</v>
      </c>
      <c r="H35" s="156">
        <f aca="true" t="shared" si="3" ref="H35:H44">C35*F35*G35</f>
        <v>0</v>
      </c>
      <c r="I35" s="156">
        <f>+'3A1_3A2 FE'!$D$122</f>
        <v>0</v>
      </c>
      <c r="J35" s="156">
        <f aca="true" t="shared" si="4" ref="J35:J44">H35*I35*44/28</f>
        <v>0</v>
      </c>
      <c r="K35" s="507">
        <f>+J35*'F. de Conversión'!$D$29/'F. de Conversión'!$D$31</f>
        <v>0</v>
      </c>
    </row>
    <row r="36" spans="1:11" ht="15.75" thickBot="1">
      <c r="A36" s="1453"/>
      <c r="B36" s="172" t="s">
        <v>40</v>
      </c>
      <c r="C36" s="156">
        <f>+'IP 3A1_3A2_3C6'!D8</f>
        <v>11371639</v>
      </c>
      <c r="D36" s="156">
        <f>'3A1_3A2 FE'!C153</f>
        <v>1.17</v>
      </c>
      <c r="E36" s="156">
        <f>'3A1_3A2 FE'!C136</f>
        <v>25.61</v>
      </c>
      <c r="F36" s="487">
        <f t="shared" si="2"/>
        <v>10.936750499999999</v>
      </c>
      <c r="G36" s="156">
        <f>'IB 3A1_3A2_3C6'!D238</f>
        <v>0</v>
      </c>
      <c r="H36" s="156">
        <f t="shared" si="3"/>
        <v>0</v>
      </c>
      <c r="I36" s="156">
        <f>+'3A1_3A2 FE'!$D$122</f>
        <v>0</v>
      </c>
      <c r="J36" s="156">
        <f t="shared" si="4"/>
        <v>0</v>
      </c>
      <c r="K36" s="507">
        <f>+J36*'F. de Conversión'!$D$29/'F. de Conversión'!$D$31</f>
        <v>0</v>
      </c>
    </row>
    <row r="37" spans="1:11" ht="15.75" thickBot="1">
      <c r="A37" s="1453"/>
      <c r="B37" s="172" t="s">
        <v>39</v>
      </c>
      <c r="C37" s="156">
        <f>+'IP 3A1_3A2_3C6'!E8</f>
        <v>1801882</v>
      </c>
      <c r="D37" s="156">
        <f>'3A1_3A2 FE'!C154</f>
        <v>1.37</v>
      </c>
      <c r="E37" s="156">
        <f>'3A1_3A2 FE'!C137</f>
        <v>30</v>
      </c>
      <c r="F37" s="487">
        <f t="shared" si="2"/>
        <v>15.0015</v>
      </c>
      <c r="G37" s="156">
        <f>'IB 3A1_3A2_3C6'!D239</f>
        <v>0</v>
      </c>
      <c r="H37" s="156">
        <f t="shared" si="3"/>
        <v>0</v>
      </c>
      <c r="I37" s="156">
        <f>+'3A1_3A2 FE'!$D$122</f>
        <v>0</v>
      </c>
      <c r="J37" s="156">
        <f t="shared" si="4"/>
        <v>0</v>
      </c>
      <c r="K37" s="507">
        <f>+J37*'F. de Conversión'!$D$29/'F. de Conversión'!$D$31</f>
        <v>0</v>
      </c>
    </row>
    <row r="38" spans="1:11" ht="15.75" thickBot="1">
      <c r="A38" s="1453"/>
      <c r="B38" s="172" t="s">
        <v>66</v>
      </c>
      <c r="C38" s="156">
        <f>+'IP 3A1_3A2_3C6'!F8</f>
        <v>478241.719092125</v>
      </c>
      <c r="D38" s="156">
        <f>'3A1_3A2 FE'!C155</f>
        <v>0.46</v>
      </c>
      <c r="E38" s="156">
        <f>'3A1_3A2 FE'!C138</f>
        <v>238</v>
      </c>
      <c r="F38" s="487">
        <f t="shared" si="2"/>
        <v>39.96020000000001</v>
      </c>
      <c r="G38" s="156">
        <f>'IB 3A1_3A2_3C6'!D240</f>
        <v>0</v>
      </c>
      <c r="H38" s="156">
        <f t="shared" si="3"/>
        <v>0</v>
      </c>
      <c r="I38" s="156">
        <f>+'3A1_3A2 FE'!$D$122</f>
        <v>0</v>
      </c>
      <c r="J38" s="156">
        <f t="shared" si="4"/>
        <v>0</v>
      </c>
      <c r="K38" s="507">
        <f>+J38*'F. de Conversión'!$D$29/'F. de Conversión'!$D$31</f>
        <v>0</v>
      </c>
    </row>
    <row r="39" spans="1:11" ht="15.75" thickBot="1">
      <c r="A39" s="1453"/>
      <c r="B39" s="172" t="s">
        <v>109</v>
      </c>
      <c r="C39" s="156">
        <f>+'IP 3A1_3A2_3C6'!G8</f>
        <v>541066.206435821</v>
      </c>
      <c r="D39" s="156">
        <f>'3A1_3A2 FE'!C156</f>
        <v>0.46</v>
      </c>
      <c r="E39" s="156">
        <f>'3A1_3A2 FE'!C139</f>
        <v>130</v>
      </c>
      <c r="F39" s="487">
        <f t="shared" si="2"/>
        <v>21.827</v>
      </c>
      <c r="G39" s="156">
        <f>'IB 3A1_3A2_3C6'!D241</f>
        <v>0</v>
      </c>
      <c r="H39" s="156">
        <f t="shared" si="3"/>
        <v>0</v>
      </c>
      <c r="I39" s="156">
        <f>+'3A1_3A2 FE'!$D$122</f>
        <v>0</v>
      </c>
      <c r="J39" s="156">
        <f t="shared" si="4"/>
        <v>0</v>
      </c>
      <c r="K39" s="507">
        <f>+J39*'F. de Conversión'!$D$29/'F. de Conversión'!$D$31</f>
        <v>0</v>
      </c>
    </row>
    <row r="40" spans="1:11" ht="15.75" thickBot="1">
      <c r="A40" s="1453"/>
      <c r="B40" s="172" t="s">
        <v>41</v>
      </c>
      <c r="C40" s="156">
        <f>+'IP 3A1_3A2_3C6'!H8</f>
        <v>940552.0273972602</v>
      </c>
      <c r="D40" s="156">
        <f>'3A1_3A2 FE'!C157</f>
        <v>1.47</v>
      </c>
      <c r="E40" s="156">
        <f>'3A1_3A2 FE'!C140</f>
        <v>28</v>
      </c>
      <c r="F40" s="487">
        <f t="shared" si="2"/>
        <v>15.023399999999999</v>
      </c>
      <c r="G40" s="156">
        <f>'IB 3A1_3A2_3C6'!D242</f>
        <v>0</v>
      </c>
      <c r="H40" s="156">
        <f t="shared" si="3"/>
        <v>0</v>
      </c>
      <c r="I40" s="156">
        <f>+'3A1_3A2 FE'!$D$122</f>
        <v>0</v>
      </c>
      <c r="J40" s="156">
        <f t="shared" si="4"/>
        <v>0</v>
      </c>
      <c r="K40" s="507">
        <f>+J40*'F. de Conversión'!$D$29/'F. de Conversión'!$D$31</f>
        <v>0</v>
      </c>
    </row>
    <row r="41" spans="1:11" ht="15.75" thickBot="1">
      <c r="A41" s="1453"/>
      <c r="B41" s="172" t="s">
        <v>37</v>
      </c>
      <c r="C41" s="156">
        <f>+'IP 3A1_3A2_3C6'!I8</f>
        <v>4456049</v>
      </c>
      <c r="D41" s="156">
        <f>'3A1_3A2 FE'!C158</f>
        <v>0.82</v>
      </c>
      <c r="E41" s="156">
        <f>'3A1_3A2 FE'!C141</f>
        <v>52</v>
      </c>
      <c r="F41" s="487">
        <f t="shared" si="2"/>
        <v>15.563600000000001</v>
      </c>
      <c r="G41" s="156">
        <f>'IB 3A1_3A2_3C6'!D243</f>
        <v>0</v>
      </c>
      <c r="H41" s="156">
        <f t="shared" si="3"/>
        <v>0</v>
      </c>
      <c r="I41" s="156">
        <f>+'3A1_3A2 FE'!$D$122</f>
        <v>0</v>
      </c>
      <c r="J41" s="156">
        <f t="shared" si="4"/>
        <v>0</v>
      </c>
      <c r="K41" s="507">
        <f>+J41*'F. de Conversión'!$D$29/'F. de Conversión'!$D$31</f>
        <v>0</v>
      </c>
    </row>
    <row r="42" spans="1:11" ht="15.75" thickBot="1">
      <c r="A42" s="1453"/>
      <c r="B42" s="172" t="s">
        <v>38</v>
      </c>
      <c r="C42" s="156">
        <f>+'IP 3A1_3A2_3C6'!J8</f>
        <v>1095921</v>
      </c>
      <c r="D42" s="156">
        <f>'3A1_3A2 FE'!C159</f>
        <v>3.2524021239493717</v>
      </c>
      <c r="E42" s="156">
        <f>'3A1_3A2 FE'!C142</f>
        <v>100.1</v>
      </c>
      <c r="F42" s="487">
        <f t="shared" si="2"/>
        <v>118.83139020167621</v>
      </c>
      <c r="G42" s="156">
        <f>'IB 3A1_3A2_3C6'!D244</f>
        <v>0</v>
      </c>
      <c r="H42" s="156">
        <f t="shared" si="3"/>
        <v>0</v>
      </c>
      <c r="I42" s="156">
        <f>+'3A1_3A2 FE'!$D$122</f>
        <v>0</v>
      </c>
      <c r="J42" s="156">
        <f t="shared" si="4"/>
        <v>0</v>
      </c>
      <c r="K42" s="507">
        <f>+J42*'F. de Conversión'!$D$29/'F. de Conversión'!$D$31</f>
        <v>0</v>
      </c>
    </row>
    <row r="43" spans="1:11" ht="15.75" thickBot="1">
      <c r="A43" s="1453"/>
      <c r="B43" s="172" t="s">
        <v>36</v>
      </c>
      <c r="C43" s="156">
        <f>+'IP 3A1_3A2_3C6'!K8</f>
        <v>52662900.840135574</v>
      </c>
      <c r="D43" s="156">
        <f>'3A1_3A2 FE'!C160</f>
        <v>1.9901288046313312</v>
      </c>
      <c r="E43" s="156">
        <f>'3A1_3A2 FE'!C143</f>
        <v>3.919072164948454</v>
      </c>
      <c r="F43" s="487">
        <f t="shared" si="2"/>
        <v>2.846802317055868</v>
      </c>
      <c r="G43" s="156">
        <f>'IB 3A1_3A2_3C6'!D245</f>
        <v>0</v>
      </c>
      <c r="H43" s="156">
        <f t="shared" si="3"/>
        <v>0</v>
      </c>
      <c r="I43" s="156">
        <f>+'3A1_3A2 FE'!$D$122</f>
        <v>0</v>
      </c>
      <c r="J43" s="156">
        <f t="shared" si="4"/>
        <v>0</v>
      </c>
      <c r="K43" s="507">
        <f>+J43*'F. de Conversión'!$D$29/'F. de Conversión'!$D$31</f>
        <v>0</v>
      </c>
    </row>
    <row r="44" spans="1:11" ht="15.75" thickBot="1">
      <c r="A44" s="1454"/>
      <c r="B44" s="172" t="s">
        <v>68</v>
      </c>
      <c r="C44" s="156">
        <f>+'IP 3A1_3A2_3C6'!L8</f>
        <v>3971222.8514355808</v>
      </c>
      <c r="D44" s="156">
        <f>'3A1_3A2 FE'!C161</f>
        <v>4.315694573679203</v>
      </c>
      <c r="E44" s="156">
        <f>'3A1_3A2 FE'!C144</f>
        <v>0.6911</v>
      </c>
      <c r="F44" s="487">
        <f t="shared" si="2"/>
        <v>1.0886404297524397</v>
      </c>
      <c r="G44" s="156">
        <f>'IB 3A1_3A2_3C6'!D246</f>
        <v>1</v>
      </c>
      <c r="H44" s="156">
        <f t="shared" si="3"/>
        <v>4323233.75162954</v>
      </c>
      <c r="I44" s="156">
        <f>+'3A1_3A2 FE'!$D$122</f>
        <v>0</v>
      </c>
      <c r="J44" s="156">
        <f t="shared" si="4"/>
        <v>0</v>
      </c>
      <c r="K44" s="507">
        <f>+J44*'F. de Conversión'!$D$29/'F. de Conversión'!$D$31</f>
        <v>0</v>
      </c>
    </row>
    <row r="45" spans="1:11" ht="15.75" thickBot="1">
      <c r="A45" s="1455" t="s">
        <v>15</v>
      </c>
      <c r="B45" s="1469"/>
      <c r="C45" s="326"/>
      <c r="D45" s="174"/>
      <c r="E45" s="174"/>
      <c r="F45" s="174">
        <f>SUM(F34:F44)</f>
        <v>372.41981179372414</v>
      </c>
      <c r="G45" s="174"/>
      <c r="H45" s="137">
        <f>SUM(H34:H44)</f>
        <v>4323233.75162954</v>
      </c>
      <c r="I45" s="174"/>
      <c r="J45" s="174">
        <f>SUM(J34:J44)</f>
        <v>0</v>
      </c>
      <c r="K45" s="508">
        <f>SUM(K34:K44)</f>
        <v>0</v>
      </c>
    </row>
    <row r="46" spans="1:11" ht="16.5" customHeight="1" thickBot="1" thickTop="1">
      <c r="A46" s="1465" t="s">
        <v>152</v>
      </c>
      <c r="B46" s="172" t="s">
        <v>118</v>
      </c>
      <c r="C46" s="156">
        <f>+C34</f>
        <v>905818</v>
      </c>
      <c r="D46" s="156">
        <f>'3A1_3A2 FE'!C151</f>
        <v>0.48</v>
      </c>
      <c r="E46" s="156">
        <f>'3A1_3A2 FE'!C134</f>
        <v>520</v>
      </c>
      <c r="F46" s="487">
        <f>D46*E46*365/1000</f>
        <v>91.104</v>
      </c>
      <c r="G46" s="156">
        <f>'IB 3A1_3A2_3C6'!E236</f>
        <v>0.21</v>
      </c>
      <c r="H46" s="156">
        <f>C46*F46*G46</f>
        <v>17329965.045119997</v>
      </c>
      <c r="I46" s="156">
        <f>'3A1_3A2 FE'!$D$123</f>
        <v>0.01</v>
      </c>
      <c r="J46" s="156">
        <f>H46*I46*44/28</f>
        <v>272328.02213759994</v>
      </c>
      <c r="K46" s="507">
        <f>+J46*'F. de Conversión'!$D$29/'F. de Conversión'!$D$31</f>
        <v>0.27232802213759993</v>
      </c>
    </row>
    <row r="47" spans="1:11" ht="15.75" customHeight="1" thickBot="1">
      <c r="A47" s="1453"/>
      <c r="B47" s="172" t="s">
        <v>375</v>
      </c>
      <c r="C47" s="156">
        <f aca="true" t="shared" si="5" ref="C47:C56">+C35</f>
        <v>4694075</v>
      </c>
      <c r="D47" s="156">
        <f>'3A1_3A2 FE'!C152</f>
        <v>0.36</v>
      </c>
      <c r="E47" s="156">
        <f>'3A1_3A2 FE'!C135</f>
        <v>306.2140665543348</v>
      </c>
      <c r="F47" s="487">
        <f aca="true" t="shared" si="6" ref="F47:F56">D47*E47*365/1000</f>
        <v>40.2365283452396</v>
      </c>
      <c r="G47" s="156">
        <f>'IB 3A1_3A2_3C6'!E237</f>
        <v>0.09</v>
      </c>
      <c r="H47" s="156">
        <f aca="true" t="shared" si="7" ref="H47:H56">C47*F47*G47</f>
        <v>16998595.36129625</v>
      </c>
      <c r="I47" s="156">
        <f>'3A1_3A2 FE'!$D$123</f>
        <v>0.01</v>
      </c>
      <c r="J47" s="156">
        <f aca="true" t="shared" si="8" ref="J47:J56">H47*I47*44/28</f>
        <v>267120.78424894105</v>
      </c>
      <c r="K47" s="507">
        <f>+J47*'F. de Conversión'!$D$29/'F. de Conversión'!$D$31</f>
        <v>0.2671207842489411</v>
      </c>
    </row>
    <row r="48" spans="1:11" ht="15.75" thickBot="1">
      <c r="A48" s="1453"/>
      <c r="B48" s="172" t="s">
        <v>40</v>
      </c>
      <c r="C48" s="156">
        <f t="shared" si="5"/>
        <v>11371639</v>
      </c>
      <c r="D48" s="156">
        <f>'3A1_3A2 FE'!C153</f>
        <v>1.17</v>
      </c>
      <c r="E48" s="156">
        <f>'3A1_3A2 FE'!C136</f>
        <v>25.61</v>
      </c>
      <c r="F48" s="487">
        <f t="shared" si="6"/>
        <v>10.936750499999999</v>
      </c>
      <c r="G48" s="156">
        <f>'IB 3A1_3A2_3C6'!E238</f>
        <v>0</v>
      </c>
      <c r="H48" s="156">
        <f t="shared" si="7"/>
        <v>0</v>
      </c>
      <c r="I48" s="156">
        <f>'3A1_3A2 FE'!$D$123</f>
        <v>0.01</v>
      </c>
      <c r="J48" s="156">
        <f t="shared" si="8"/>
        <v>0</v>
      </c>
      <c r="K48" s="507">
        <f>+J48*'F. de Conversión'!$D$29/'F. de Conversión'!$D$31</f>
        <v>0</v>
      </c>
    </row>
    <row r="49" spans="1:11" ht="15.75" thickBot="1">
      <c r="A49" s="1453"/>
      <c r="B49" s="172" t="s">
        <v>39</v>
      </c>
      <c r="C49" s="156">
        <f t="shared" si="5"/>
        <v>1801882</v>
      </c>
      <c r="D49" s="156">
        <f>'3A1_3A2 FE'!C154</f>
        <v>1.37</v>
      </c>
      <c r="E49" s="156">
        <f>'3A1_3A2 FE'!C137</f>
        <v>30</v>
      </c>
      <c r="F49" s="487">
        <f t="shared" si="6"/>
        <v>15.0015</v>
      </c>
      <c r="G49" s="156">
        <f>'IB 3A1_3A2_3C6'!E239</f>
        <v>0</v>
      </c>
      <c r="H49" s="156">
        <f t="shared" si="7"/>
        <v>0</v>
      </c>
      <c r="I49" s="156">
        <f>'3A1_3A2 FE'!$D$123</f>
        <v>0.01</v>
      </c>
      <c r="J49" s="156">
        <f t="shared" si="8"/>
        <v>0</v>
      </c>
      <c r="K49" s="507">
        <f>+J49*'F. de Conversión'!$D$29/'F. de Conversión'!$D$31</f>
        <v>0</v>
      </c>
    </row>
    <row r="50" spans="1:11" ht="15.75" thickBot="1">
      <c r="A50" s="1453"/>
      <c r="B50" s="172" t="s">
        <v>66</v>
      </c>
      <c r="C50" s="156">
        <f t="shared" si="5"/>
        <v>478241.719092125</v>
      </c>
      <c r="D50" s="156">
        <f>'3A1_3A2 FE'!C155</f>
        <v>0.46</v>
      </c>
      <c r="E50" s="156">
        <f>'3A1_3A2 FE'!C138</f>
        <v>238</v>
      </c>
      <c r="F50" s="487">
        <f t="shared" si="6"/>
        <v>39.96020000000001</v>
      </c>
      <c r="G50" s="156">
        <f>'IB 3A1_3A2_3C6'!E240</f>
        <v>0</v>
      </c>
      <c r="H50" s="156">
        <f t="shared" si="7"/>
        <v>0</v>
      </c>
      <c r="I50" s="156">
        <f>'3A1_3A2 FE'!$D$123</f>
        <v>0.01</v>
      </c>
      <c r="J50" s="156">
        <f t="shared" si="8"/>
        <v>0</v>
      </c>
      <c r="K50" s="507">
        <f>+J50*'F. de Conversión'!$D$29/'F. de Conversión'!$D$31</f>
        <v>0</v>
      </c>
    </row>
    <row r="51" spans="1:11" ht="15.75" thickBot="1">
      <c r="A51" s="1453"/>
      <c r="B51" s="172" t="s">
        <v>109</v>
      </c>
      <c r="C51" s="156">
        <f t="shared" si="5"/>
        <v>541066.206435821</v>
      </c>
      <c r="D51" s="156">
        <f>'3A1_3A2 FE'!C156</f>
        <v>0.46</v>
      </c>
      <c r="E51" s="156">
        <f>'3A1_3A2 FE'!C139</f>
        <v>130</v>
      </c>
      <c r="F51" s="487">
        <f t="shared" si="6"/>
        <v>21.827</v>
      </c>
      <c r="G51" s="156">
        <f>'IB 3A1_3A2_3C6'!E241</f>
        <v>0</v>
      </c>
      <c r="H51" s="156">
        <f t="shared" si="7"/>
        <v>0</v>
      </c>
      <c r="I51" s="156">
        <f>'3A1_3A2 FE'!$D$123</f>
        <v>0.01</v>
      </c>
      <c r="J51" s="156">
        <f t="shared" si="8"/>
        <v>0</v>
      </c>
      <c r="K51" s="507">
        <f>+J51*'F. de Conversión'!$D$29/'F. de Conversión'!$D$31</f>
        <v>0</v>
      </c>
    </row>
    <row r="52" spans="1:11" ht="15.75" thickBot="1">
      <c r="A52" s="1453"/>
      <c r="B52" s="172" t="s">
        <v>41</v>
      </c>
      <c r="C52" s="156">
        <f t="shared" si="5"/>
        <v>940552.0273972602</v>
      </c>
      <c r="D52" s="156">
        <f>'3A1_3A2 FE'!C157</f>
        <v>1.47</v>
      </c>
      <c r="E52" s="156">
        <f>'3A1_3A2 FE'!C140</f>
        <v>28</v>
      </c>
      <c r="F52" s="487">
        <f t="shared" si="6"/>
        <v>15.023399999999999</v>
      </c>
      <c r="G52" s="156">
        <f>'IB 3A1_3A2_3C6'!E242</f>
        <v>0.33</v>
      </c>
      <c r="H52" s="156">
        <f t="shared" si="7"/>
        <v>4662995.478371999</v>
      </c>
      <c r="I52" s="156">
        <f>'3A1_3A2 FE'!$D$123</f>
        <v>0.01</v>
      </c>
      <c r="J52" s="156">
        <f t="shared" si="8"/>
        <v>73275.64323156</v>
      </c>
      <c r="K52" s="507">
        <f>+J52*'F. de Conversión'!$D$29/'F. de Conversión'!$D$31</f>
        <v>0.07327564323156</v>
      </c>
    </row>
    <row r="53" spans="1:11" ht="15.75" thickBot="1">
      <c r="A53" s="1453"/>
      <c r="B53" s="172" t="s">
        <v>37</v>
      </c>
      <c r="C53" s="156">
        <f t="shared" si="5"/>
        <v>4456049</v>
      </c>
      <c r="D53" s="156">
        <f>'3A1_3A2 FE'!C160</f>
        <v>1.9901288046313312</v>
      </c>
      <c r="E53" s="156">
        <f>'3A1_3A2 FE'!C141</f>
        <v>52</v>
      </c>
      <c r="F53" s="487">
        <f t="shared" si="6"/>
        <v>37.772644711902664</v>
      </c>
      <c r="G53" s="156">
        <f>'IB 3A1_3A2_3C6'!E243</f>
        <v>0.11</v>
      </c>
      <c r="H53" s="156">
        <f t="shared" si="7"/>
        <v>18514843.12654121</v>
      </c>
      <c r="I53" s="156">
        <f>'3A1_3A2 FE'!$D$123</f>
        <v>0.01</v>
      </c>
      <c r="J53" s="156">
        <f t="shared" si="8"/>
        <v>290947.5348456476</v>
      </c>
      <c r="K53" s="507">
        <f>+J53*'F. de Conversión'!$D$29/'F. de Conversión'!$D$31</f>
        <v>0.29094753484564756</v>
      </c>
    </row>
    <row r="54" spans="1:11" ht="15.75" thickBot="1">
      <c r="A54" s="1453"/>
      <c r="B54" s="172" t="s">
        <v>38</v>
      </c>
      <c r="C54" s="156">
        <f t="shared" si="5"/>
        <v>1095921</v>
      </c>
      <c r="D54" s="156">
        <f>'3A1_3A2 FE'!C159</f>
        <v>3.2524021239493717</v>
      </c>
      <c r="E54" s="156">
        <f>'3A1_3A2 FE'!C142</f>
        <v>100.1</v>
      </c>
      <c r="F54" s="487">
        <f t="shared" si="6"/>
        <v>118.83139020167621</v>
      </c>
      <c r="G54" s="156">
        <f>'IB 3A1_3A2_3C6'!E244</f>
        <v>0.11</v>
      </c>
      <c r="H54" s="156">
        <f t="shared" si="7"/>
        <v>14325279.757933233</v>
      </c>
      <c r="I54" s="156">
        <f>'3A1_3A2 FE'!$D$123</f>
        <v>0.01</v>
      </c>
      <c r="J54" s="156">
        <f t="shared" si="8"/>
        <v>225111.53905323654</v>
      </c>
      <c r="K54" s="507">
        <f>+J54*'F. de Conversión'!$D$29/'F. de Conversión'!$D$31</f>
        <v>0.22511153905323655</v>
      </c>
    </row>
    <row r="55" spans="1:11" ht="15.75" thickBot="1">
      <c r="A55" s="1453"/>
      <c r="B55" s="172" t="s">
        <v>36</v>
      </c>
      <c r="C55" s="156">
        <f t="shared" si="5"/>
        <v>52662900.840135574</v>
      </c>
      <c r="D55" s="156">
        <f>'3A1_3A2 FE'!C158</f>
        <v>0.82</v>
      </c>
      <c r="E55" s="156">
        <f>'3A1_3A2 FE'!C143</f>
        <v>3.919072164948454</v>
      </c>
      <c r="F55" s="487">
        <f t="shared" si="6"/>
        <v>1.1729782989690722</v>
      </c>
      <c r="G55" s="156">
        <f>'IB 3A1_3A2_3C6'!E245</f>
        <v>0</v>
      </c>
      <c r="H55" s="156">
        <f t="shared" si="7"/>
        <v>0</v>
      </c>
      <c r="I55" s="156">
        <f>'3A1_3A2 FE'!$D$123</f>
        <v>0.01</v>
      </c>
      <c r="J55" s="156">
        <f t="shared" si="8"/>
        <v>0</v>
      </c>
      <c r="K55" s="507">
        <f>+J55*'F. de Conversión'!$D$29/'F. de Conversión'!$D$31</f>
        <v>0</v>
      </c>
    </row>
    <row r="56" spans="1:11" ht="15.75" thickBot="1">
      <c r="A56" s="1454"/>
      <c r="B56" s="172" t="s">
        <v>68</v>
      </c>
      <c r="C56" s="156">
        <f t="shared" si="5"/>
        <v>3971222.8514355808</v>
      </c>
      <c r="D56" s="156">
        <f>'3A1_3A2 FE'!C161</f>
        <v>4.315694573679203</v>
      </c>
      <c r="E56" s="156">
        <f>'3A1_3A2 FE'!C144</f>
        <v>0.6911</v>
      </c>
      <c r="F56" s="487">
        <f t="shared" si="6"/>
        <v>1.0886404297524397</v>
      </c>
      <c r="G56" s="156">
        <f>'IB 3A1_3A2_3C6'!E246</f>
        <v>0</v>
      </c>
      <c r="H56" s="156">
        <f t="shared" si="7"/>
        <v>0</v>
      </c>
      <c r="I56" s="156">
        <f>'3A1_3A2 FE'!$D$123</f>
        <v>0.01</v>
      </c>
      <c r="J56" s="156">
        <f t="shared" si="8"/>
        <v>0</v>
      </c>
      <c r="K56" s="507">
        <f>+J56*'F. de Conversión'!$D$29/'F. de Conversión'!$D$31</f>
        <v>0</v>
      </c>
    </row>
    <row r="57" spans="1:11" ht="15.75" thickBot="1">
      <c r="A57" s="1455" t="s">
        <v>15</v>
      </c>
      <c r="B57" s="1469"/>
      <c r="C57" s="326"/>
      <c r="D57" s="174"/>
      <c r="E57" s="174"/>
      <c r="F57" s="174">
        <f>SUM(F46:F56)</f>
        <v>392.95503248754</v>
      </c>
      <c r="G57" s="174"/>
      <c r="H57" s="137">
        <f>SUM(H46:H56)</f>
        <v>71831678.76926269</v>
      </c>
      <c r="I57" s="174"/>
      <c r="J57" s="174">
        <f>SUM(J46:J56)</f>
        <v>1128783.5235169851</v>
      </c>
      <c r="K57" s="508">
        <f>SUM(K46:K56)</f>
        <v>1.1287835235169852</v>
      </c>
    </row>
    <row r="58" spans="1:11" ht="16.5" customHeight="1" thickBot="1" thickTop="1">
      <c r="A58" s="1465" t="s">
        <v>137</v>
      </c>
      <c r="B58" s="172" t="s">
        <v>118</v>
      </c>
      <c r="C58" s="156">
        <f>+C34</f>
        <v>905818</v>
      </c>
      <c r="D58" s="156">
        <f>'3A1_3A2 FE'!C151</f>
        <v>0.48</v>
      </c>
      <c r="E58" s="156">
        <f>'3A1_3A2 FE'!C134</f>
        <v>520</v>
      </c>
      <c r="F58" s="487">
        <f>D58*E58*365/1000</f>
        <v>91.104</v>
      </c>
      <c r="G58" s="156">
        <f>'IB 3A1_3A2_3C6'!G236</f>
        <v>0</v>
      </c>
      <c r="H58" s="156">
        <f>C58*F58*G58</f>
        <v>0</v>
      </c>
      <c r="I58" s="156">
        <f>'3A1_3A2 FE'!$D$125</f>
        <v>0.02</v>
      </c>
      <c r="J58" s="156">
        <f>H58*I58*44/28</f>
        <v>0</v>
      </c>
      <c r="K58" s="507">
        <f>+J58*'F. de Conversión'!$D$29/'F. de Conversión'!$D$31</f>
        <v>0</v>
      </c>
    </row>
    <row r="59" spans="1:11" ht="15.75" customHeight="1" thickBot="1">
      <c r="A59" s="1453"/>
      <c r="B59" s="172" t="s">
        <v>375</v>
      </c>
      <c r="C59" s="156">
        <f aca="true" t="shared" si="9" ref="C59:C68">+C35</f>
        <v>4694075</v>
      </c>
      <c r="D59" s="156">
        <f>'3A1_3A2 FE'!C152</f>
        <v>0.36</v>
      </c>
      <c r="E59" s="156">
        <f>'3A1_3A2 FE'!C135</f>
        <v>306.2140665543348</v>
      </c>
      <c r="F59" s="487">
        <f aca="true" t="shared" si="10" ref="F59:F68">D59*E59*365/1000</f>
        <v>40.2365283452396</v>
      </c>
      <c r="G59" s="156">
        <f>'IB 3A1_3A2_3C6'!G237</f>
        <v>0</v>
      </c>
      <c r="H59" s="156">
        <f aca="true" t="shared" si="11" ref="H59:H68">C59*F59*G59</f>
        <v>0</v>
      </c>
      <c r="I59" s="156">
        <f>'3A1_3A2 FE'!$D$125</f>
        <v>0.02</v>
      </c>
      <c r="J59" s="156">
        <f aca="true" t="shared" si="12" ref="J59:J68">H59*I59*44/28</f>
        <v>0</v>
      </c>
      <c r="K59" s="507">
        <f>+J59*'F. de Conversión'!$D$29/'F. de Conversión'!$D$31</f>
        <v>0</v>
      </c>
    </row>
    <row r="60" spans="1:11" ht="15.75" thickBot="1">
      <c r="A60" s="1453"/>
      <c r="B60" s="172" t="s">
        <v>40</v>
      </c>
      <c r="C60" s="156">
        <f t="shared" si="9"/>
        <v>11371639</v>
      </c>
      <c r="D60" s="156">
        <f>'3A1_3A2 FE'!C153</f>
        <v>1.17</v>
      </c>
      <c r="E60" s="156">
        <f>'3A1_3A2 FE'!C136</f>
        <v>25.61</v>
      </c>
      <c r="F60" s="487">
        <f t="shared" si="10"/>
        <v>10.936750499999999</v>
      </c>
      <c r="G60" s="156">
        <f>'IB 3A1_3A2_3C6'!G238</f>
        <v>0</v>
      </c>
      <c r="H60" s="156">
        <f t="shared" si="11"/>
        <v>0</v>
      </c>
      <c r="I60" s="156">
        <f>'3A1_3A2 FE'!$D$125</f>
        <v>0.02</v>
      </c>
      <c r="J60" s="156">
        <f t="shared" si="12"/>
        <v>0</v>
      </c>
      <c r="K60" s="507">
        <f>+J60*'F. de Conversión'!$D$29/'F. de Conversión'!$D$31</f>
        <v>0</v>
      </c>
    </row>
    <row r="61" spans="1:11" ht="15.75" thickBot="1">
      <c r="A61" s="1453"/>
      <c r="B61" s="172" t="s">
        <v>39</v>
      </c>
      <c r="C61" s="156">
        <f t="shared" si="9"/>
        <v>1801882</v>
      </c>
      <c r="D61" s="156">
        <f>'3A1_3A2 FE'!C154</f>
        <v>1.37</v>
      </c>
      <c r="E61" s="156">
        <f>'3A1_3A2 FE'!C137</f>
        <v>30</v>
      </c>
      <c r="F61" s="487">
        <f t="shared" si="10"/>
        <v>15.0015</v>
      </c>
      <c r="G61" s="156">
        <f>'IB 3A1_3A2_3C6'!G239</f>
        <v>0</v>
      </c>
      <c r="H61" s="156">
        <f t="shared" si="11"/>
        <v>0</v>
      </c>
      <c r="I61" s="156">
        <f>'3A1_3A2 FE'!$D$125</f>
        <v>0.02</v>
      </c>
      <c r="J61" s="156">
        <f t="shared" si="12"/>
        <v>0</v>
      </c>
      <c r="K61" s="507">
        <f>+J61*'F. de Conversión'!$D$29/'F. de Conversión'!$D$31</f>
        <v>0</v>
      </c>
    </row>
    <row r="62" spans="1:11" ht="15.75" thickBot="1">
      <c r="A62" s="1453"/>
      <c r="B62" s="172" t="s">
        <v>66</v>
      </c>
      <c r="C62" s="156">
        <f t="shared" si="9"/>
        <v>478241.719092125</v>
      </c>
      <c r="D62" s="156">
        <f>'3A1_3A2 FE'!C155</f>
        <v>0.46</v>
      </c>
      <c r="E62" s="156">
        <f>'3A1_3A2 FE'!C138</f>
        <v>238</v>
      </c>
      <c r="F62" s="487">
        <f t="shared" si="10"/>
        <v>39.96020000000001</v>
      </c>
      <c r="G62" s="156">
        <f>'IB 3A1_3A2_3C6'!G240</f>
        <v>0</v>
      </c>
      <c r="H62" s="156">
        <f t="shared" si="11"/>
        <v>0</v>
      </c>
      <c r="I62" s="156">
        <f>'3A1_3A2 FE'!$D$125</f>
        <v>0.02</v>
      </c>
      <c r="J62" s="156">
        <f t="shared" si="12"/>
        <v>0</v>
      </c>
      <c r="K62" s="507">
        <f>+J62*'F. de Conversión'!$D$29/'F. de Conversión'!$D$31</f>
        <v>0</v>
      </c>
    </row>
    <row r="63" spans="1:11" ht="15.75" thickBot="1">
      <c r="A63" s="1453"/>
      <c r="B63" s="172" t="s">
        <v>109</v>
      </c>
      <c r="C63" s="156">
        <f t="shared" si="9"/>
        <v>541066.206435821</v>
      </c>
      <c r="D63" s="156">
        <f>'3A1_3A2 FE'!C156</f>
        <v>0.46</v>
      </c>
      <c r="E63" s="156">
        <f>'3A1_3A2 FE'!C139</f>
        <v>130</v>
      </c>
      <c r="F63" s="487">
        <f t="shared" si="10"/>
        <v>21.827</v>
      </c>
      <c r="G63" s="156">
        <f>'IB 3A1_3A2_3C6'!G241</f>
        <v>0</v>
      </c>
      <c r="H63" s="156">
        <f t="shared" si="11"/>
        <v>0</v>
      </c>
      <c r="I63" s="156">
        <f>'3A1_3A2 FE'!$D$125</f>
        <v>0.02</v>
      </c>
      <c r="J63" s="156">
        <f t="shared" si="12"/>
        <v>0</v>
      </c>
      <c r="K63" s="507">
        <f>+J63*'F. de Conversión'!$D$29/'F. de Conversión'!$D$31</f>
        <v>0</v>
      </c>
    </row>
    <row r="64" spans="1:11" ht="15.75" thickBot="1">
      <c r="A64" s="1453"/>
      <c r="B64" s="172" t="s">
        <v>41</v>
      </c>
      <c r="C64" s="156">
        <f t="shared" si="9"/>
        <v>940552.0273972602</v>
      </c>
      <c r="D64" s="156">
        <f>'3A1_3A2 FE'!C157</f>
        <v>1.47</v>
      </c>
      <c r="E64" s="156">
        <f>'3A1_3A2 FE'!C140</f>
        <v>28</v>
      </c>
      <c r="F64" s="487">
        <f t="shared" si="10"/>
        <v>15.023399999999999</v>
      </c>
      <c r="G64" s="156">
        <f>'IB 3A1_3A2_3C6'!G242</f>
        <v>0</v>
      </c>
      <c r="H64" s="156">
        <f t="shared" si="11"/>
        <v>0</v>
      </c>
      <c r="I64" s="156">
        <f>'3A1_3A2 FE'!$D$125</f>
        <v>0.02</v>
      </c>
      <c r="J64" s="156">
        <f t="shared" si="12"/>
        <v>0</v>
      </c>
      <c r="K64" s="507">
        <f>+J64*'F. de Conversión'!$D$29/'F. de Conversión'!$D$31</f>
        <v>0</v>
      </c>
    </row>
    <row r="65" spans="1:11" ht="15.75" thickBot="1">
      <c r="A65" s="1453"/>
      <c r="B65" s="172" t="s">
        <v>37</v>
      </c>
      <c r="C65" s="156">
        <f t="shared" si="9"/>
        <v>4456049</v>
      </c>
      <c r="D65" s="156">
        <f>'3A1_3A2 FE'!C160</f>
        <v>1.9901288046313312</v>
      </c>
      <c r="E65" s="156">
        <f>'3A1_3A2 FE'!C141</f>
        <v>52</v>
      </c>
      <c r="F65" s="487">
        <f t="shared" si="10"/>
        <v>37.772644711902664</v>
      </c>
      <c r="G65" s="156">
        <f>'IB 3A1_3A2_3C6'!G243</f>
        <v>0</v>
      </c>
      <c r="H65" s="156">
        <f t="shared" si="11"/>
        <v>0</v>
      </c>
      <c r="I65" s="156">
        <f>'3A1_3A2 FE'!$D$125</f>
        <v>0.02</v>
      </c>
      <c r="J65" s="156">
        <f t="shared" si="12"/>
        <v>0</v>
      </c>
      <c r="K65" s="507">
        <f>+J65*'F. de Conversión'!$D$29/'F. de Conversión'!$D$31</f>
        <v>0</v>
      </c>
    </row>
    <row r="66" spans="1:11" ht="15.75" thickBot="1">
      <c r="A66" s="1453"/>
      <c r="B66" s="172" t="s">
        <v>38</v>
      </c>
      <c r="C66" s="156">
        <f t="shared" si="9"/>
        <v>1095921</v>
      </c>
      <c r="D66" s="156">
        <f>'3A1_3A2 FE'!C159</f>
        <v>3.2524021239493717</v>
      </c>
      <c r="E66" s="156">
        <f>'3A1_3A2 FE'!C142</f>
        <v>100.1</v>
      </c>
      <c r="F66" s="487">
        <f t="shared" si="10"/>
        <v>118.83139020167621</v>
      </c>
      <c r="G66" s="156">
        <f>'IB 3A1_3A2_3C6'!G244</f>
        <v>0</v>
      </c>
      <c r="H66" s="156">
        <f t="shared" si="11"/>
        <v>0</v>
      </c>
      <c r="I66" s="156">
        <f>'3A1_3A2 FE'!$D$125</f>
        <v>0.02</v>
      </c>
      <c r="J66" s="156">
        <f t="shared" si="12"/>
        <v>0</v>
      </c>
      <c r="K66" s="507">
        <f>+J66*'F. de Conversión'!$D$29/'F. de Conversión'!$D$31</f>
        <v>0</v>
      </c>
    </row>
    <row r="67" spans="1:11" ht="15.75" thickBot="1">
      <c r="A67" s="1453"/>
      <c r="B67" s="172" t="s">
        <v>36</v>
      </c>
      <c r="C67" s="156">
        <f t="shared" si="9"/>
        <v>52662900.840135574</v>
      </c>
      <c r="D67" s="156">
        <f>'3A1_3A2 FE'!C158</f>
        <v>0.82</v>
      </c>
      <c r="E67" s="156">
        <f>'3A1_3A2 FE'!C143</f>
        <v>3.919072164948454</v>
      </c>
      <c r="F67" s="487">
        <f t="shared" si="10"/>
        <v>1.1729782989690722</v>
      </c>
      <c r="G67" s="156">
        <f>'IB 3A1_3A2_3C6'!G245</f>
        <v>0</v>
      </c>
      <c r="H67" s="156">
        <f t="shared" si="11"/>
        <v>0</v>
      </c>
      <c r="I67" s="156">
        <f>'3A1_3A2 FE'!$D$125</f>
        <v>0.02</v>
      </c>
      <c r="J67" s="156">
        <f t="shared" si="12"/>
        <v>0</v>
      </c>
      <c r="K67" s="507">
        <f>+J67*'F. de Conversión'!$D$29/'F. de Conversión'!$D$31</f>
        <v>0</v>
      </c>
    </row>
    <row r="68" spans="1:11" ht="15.75" thickBot="1">
      <c r="A68" s="1454"/>
      <c r="B68" s="172" t="s">
        <v>68</v>
      </c>
      <c r="C68" s="156">
        <f t="shared" si="9"/>
        <v>3971222.8514355808</v>
      </c>
      <c r="D68" s="156">
        <f>'3A1_3A2 FE'!C161</f>
        <v>4.315694573679203</v>
      </c>
      <c r="E68" s="156">
        <f>'3A1_3A2 FE'!C144</f>
        <v>0.6911</v>
      </c>
      <c r="F68" s="487">
        <f t="shared" si="10"/>
        <v>1.0886404297524397</v>
      </c>
      <c r="G68" s="156">
        <f>'IB 3A1_3A2_3C6'!G246</f>
        <v>0</v>
      </c>
      <c r="H68" s="156">
        <f t="shared" si="11"/>
        <v>0</v>
      </c>
      <c r="I68" s="156">
        <f>'3A1_3A2 FE'!$D$125</f>
        <v>0.02</v>
      </c>
      <c r="J68" s="156">
        <f t="shared" si="12"/>
        <v>0</v>
      </c>
      <c r="K68" s="507">
        <f>+J68*'F. de Conversión'!$D$29/'F. de Conversión'!$D$31</f>
        <v>0</v>
      </c>
    </row>
    <row r="69" spans="1:11" ht="15.75" thickBot="1">
      <c r="A69" s="1455" t="s">
        <v>15</v>
      </c>
      <c r="B69" s="1469"/>
      <c r="C69" s="326"/>
      <c r="D69" s="174"/>
      <c r="E69" s="174"/>
      <c r="F69" s="174">
        <f>SUM(F58:F68)</f>
        <v>392.95503248754</v>
      </c>
      <c r="G69" s="174"/>
      <c r="H69" s="137">
        <f>SUM(H58:H68)</f>
        <v>0</v>
      </c>
      <c r="I69" s="174"/>
      <c r="J69" s="174">
        <f>SUM(J58:J68)</f>
        <v>0</v>
      </c>
      <c r="K69" s="508">
        <f>SUM(K58:K68)</f>
        <v>0</v>
      </c>
    </row>
    <row r="70" spans="1:11" ht="16.5" customHeight="1" thickBot="1">
      <c r="A70" s="1453" t="s">
        <v>138</v>
      </c>
      <c r="B70" s="172" t="s">
        <v>118</v>
      </c>
      <c r="C70" s="156">
        <f>+C34</f>
        <v>905818</v>
      </c>
      <c r="D70" s="156">
        <f>'3A1_3A2 FE'!C151</f>
        <v>0.48</v>
      </c>
      <c r="E70" s="156">
        <f>'3A1_3A2 FE'!C134</f>
        <v>520</v>
      </c>
      <c r="F70" s="487">
        <f>D70*E70*365/1000</f>
        <v>91.104</v>
      </c>
      <c r="G70" s="156">
        <f>'IB 3A1_3A2_3C6'!H236</f>
        <v>0</v>
      </c>
      <c r="H70" s="156">
        <f>C70*F70*G70</f>
        <v>0</v>
      </c>
      <c r="I70" s="600">
        <f>'3A1_3A2 FE'!$D$126</f>
        <v>0.001</v>
      </c>
      <c r="J70" s="156">
        <f>H70*I70*44/28</f>
        <v>0</v>
      </c>
      <c r="K70" s="507">
        <f>+J70*'F. de Conversión'!$D$29/'F. de Conversión'!$D$31</f>
        <v>0</v>
      </c>
    </row>
    <row r="71" spans="1:11" ht="15.75" customHeight="1" thickBot="1">
      <c r="A71" s="1453"/>
      <c r="B71" s="172" t="s">
        <v>375</v>
      </c>
      <c r="C71" s="156">
        <f aca="true" t="shared" si="13" ref="C71:C80">+C35</f>
        <v>4694075</v>
      </c>
      <c r="D71" s="156">
        <f>'3A1_3A2 FE'!C152</f>
        <v>0.36</v>
      </c>
      <c r="E71" s="156">
        <f>'3A1_3A2 FE'!C135</f>
        <v>306.2140665543348</v>
      </c>
      <c r="F71" s="487">
        <f aca="true" t="shared" si="14" ref="F71:F80">D71*E71*365/1000</f>
        <v>40.2365283452396</v>
      </c>
      <c r="G71" s="156">
        <f>'IB 3A1_3A2_3C6'!H237</f>
        <v>0</v>
      </c>
      <c r="H71" s="156">
        <f aca="true" t="shared" si="15" ref="H71:H80">C71*F71*G71</f>
        <v>0</v>
      </c>
      <c r="I71" s="600">
        <f>'3A1_3A2 FE'!$D$126</f>
        <v>0.001</v>
      </c>
      <c r="J71" s="156">
        <f aca="true" t="shared" si="16" ref="J71:J80">H71*I71*44/28</f>
        <v>0</v>
      </c>
      <c r="K71" s="507">
        <f>+J71*'F. de Conversión'!$D$29/'F. de Conversión'!$D$31</f>
        <v>0</v>
      </c>
    </row>
    <row r="72" spans="1:11" ht="15.75" thickBot="1">
      <c r="A72" s="1453"/>
      <c r="B72" s="172" t="s">
        <v>40</v>
      </c>
      <c r="C72" s="156">
        <f t="shared" si="13"/>
        <v>11371639</v>
      </c>
      <c r="D72" s="156">
        <f>'3A1_3A2 FE'!C153</f>
        <v>1.17</v>
      </c>
      <c r="E72" s="156">
        <f>'3A1_3A2 FE'!C136</f>
        <v>25.61</v>
      </c>
      <c r="F72" s="487">
        <f t="shared" si="14"/>
        <v>10.936750499999999</v>
      </c>
      <c r="G72" s="156">
        <f>'IB 3A1_3A2_3C6'!H238</f>
        <v>0</v>
      </c>
      <c r="H72" s="156">
        <f t="shared" si="15"/>
        <v>0</v>
      </c>
      <c r="I72" s="600">
        <f>'3A1_3A2 FE'!$D$126</f>
        <v>0.001</v>
      </c>
      <c r="J72" s="156">
        <f t="shared" si="16"/>
        <v>0</v>
      </c>
      <c r="K72" s="507">
        <f>+J72*'F. de Conversión'!$D$29/'F. de Conversión'!$D$31</f>
        <v>0</v>
      </c>
    </row>
    <row r="73" spans="1:11" ht="15.75" thickBot="1">
      <c r="A73" s="1453"/>
      <c r="B73" s="172" t="s">
        <v>39</v>
      </c>
      <c r="C73" s="156">
        <f t="shared" si="13"/>
        <v>1801882</v>
      </c>
      <c r="D73" s="156">
        <f>'3A1_3A2 FE'!C154</f>
        <v>1.37</v>
      </c>
      <c r="E73" s="156">
        <f>'3A1_3A2 FE'!C137</f>
        <v>30</v>
      </c>
      <c r="F73" s="487">
        <f t="shared" si="14"/>
        <v>15.0015</v>
      </c>
      <c r="G73" s="156">
        <f>'IB 3A1_3A2_3C6'!H239</f>
        <v>0</v>
      </c>
      <c r="H73" s="156">
        <f t="shared" si="15"/>
        <v>0</v>
      </c>
      <c r="I73" s="600">
        <f>'3A1_3A2 FE'!$D$126</f>
        <v>0.001</v>
      </c>
      <c r="J73" s="156">
        <f t="shared" si="16"/>
        <v>0</v>
      </c>
      <c r="K73" s="507">
        <f>+J73*'F. de Conversión'!$D$29/'F. de Conversión'!$D$31</f>
        <v>0</v>
      </c>
    </row>
    <row r="74" spans="1:11" ht="15.75" thickBot="1">
      <c r="A74" s="1453"/>
      <c r="B74" s="172" t="s">
        <v>66</v>
      </c>
      <c r="C74" s="156">
        <f t="shared" si="13"/>
        <v>478241.719092125</v>
      </c>
      <c r="D74" s="156">
        <f>'3A1_3A2 FE'!C155</f>
        <v>0.46</v>
      </c>
      <c r="E74" s="156">
        <f>'3A1_3A2 FE'!C138</f>
        <v>238</v>
      </c>
      <c r="F74" s="487">
        <f t="shared" si="14"/>
        <v>39.96020000000001</v>
      </c>
      <c r="G74" s="156">
        <f>'IB 3A1_3A2_3C6'!H240</f>
        <v>0</v>
      </c>
      <c r="H74" s="156">
        <f t="shared" si="15"/>
        <v>0</v>
      </c>
      <c r="I74" s="600">
        <f>'3A1_3A2 FE'!$D$126</f>
        <v>0.001</v>
      </c>
      <c r="J74" s="156">
        <f t="shared" si="16"/>
        <v>0</v>
      </c>
      <c r="K74" s="507">
        <f>+J74*'F. de Conversión'!$D$29/'F. de Conversión'!$D$31</f>
        <v>0</v>
      </c>
    </row>
    <row r="75" spans="1:11" ht="15.75" thickBot="1">
      <c r="A75" s="1453"/>
      <c r="B75" s="172" t="s">
        <v>109</v>
      </c>
      <c r="C75" s="156">
        <f t="shared" si="13"/>
        <v>541066.206435821</v>
      </c>
      <c r="D75" s="156">
        <f>'3A1_3A2 FE'!C156</f>
        <v>0.46</v>
      </c>
      <c r="E75" s="156">
        <f>'3A1_3A2 FE'!C139</f>
        <v>130</v>
      </c>
      <c r="F75" s="487">
        <f t="shared" si="14"/>
        <v>21.827</v>
      </c>
      <c r="G75" s="156">
        <f>'IB 3A1_3A2_3C6'!H241</f>
        <v>0</v>
      </c>
      <c r="H75" s="156">
        <f t="shared" si="15"/>
        <v>0</v>
      </c>
      <c r="I75" s="600">
        <f>'3A1_3A2 FE'!$D$126</f>
        <v>0.001</v>
      </c>
      <c r="J75" s="156">
        <f t="shared" si="16"/>
        <v>0</v>
      </c>
      <c r="K75" s="507">
        <f>+J75*'F. de Conversión'!$D$29/'F. de Conversión'!$D$31</f>
        <v>0</v>
      </c>
    </row>
    <row r="76" spans="1:11" ht="15.75" thickBot="1">
      <c r="A76" s="1453"/>
      <c r="B76" s="172" t="s">
        <v>41</v>
      </c>
      <c r="C76" s="156">
        <f t="shared" si="13"/>
        <v>940552.0273972602</v>
      </c>
      <c r="D76" s="156">
        <f>'3A1_3A2 FE'!C157</f>
        <v>1.47</v>
      </c>
      <c r="E76" s="156">
        <f>'3A1_3A2 FE'!C140</f>
        <v>28</v>
      </c>
      <c r="F76" s="487">
        <f t="shared" si="14"/>
        <v>15.023399999999999</v>
      </c>
      <c r="G76" s="156">
        <f>'IB 3A1_3A2_3C6'!H242</f>
        <v>0</v>
      </c>
      <c r="H76" s="156">
        <f t="shared" si="15"/>
        <v>0</v>
      </c>
      <c r="I76" s="600">
        <f>'3A1_3A2 FE'!$D$126</f>
        <v>0.001</v>
      </c>
      <c r="J76" s="156">
        <f t="shared" si="16"/>
        <v>0</v>
      </c>
      <c r="K76" s="507">
        <f>+J76*'F. de Conversión'!$D$29/'F. de Conversión'!$D$31</f>
        <v>0</v>
      </c>
    </row>
    <row r="77" spans="1:11" ht="15.75" thickBot="1">
      <c r="A77" s="1453"/>
      <c r="B77" s="172" t="s">
        <v>37</v>
      </c>
      <c r="C77" s="156">
        <f t="shared" si="13"/>
        <v>4456049</v>
      </c>
      <c r="D77" s="156">
        <f>'3A1_3A2 FE'!C160</f>
        <v>1.9901288046313312</v>
      </c>
      <c r="E77" s="156">
        <f>'3A1_3A2 FE'!C141</f>
        <v>52</v>
      </c>
      <c r="F77" s="487">
        <f t="shared" si="14"/>
        <v>37.772644711902664</v>
      </c>
      <c r="G77" s="156">
        <f>'IB 3A1_3A2_3C6'!H243</f>
        <v>0</v>
      </c>
      <c r="H77" s="156">
        <f t="shared" si="15"/>
        <v>0</v>
      </c>
      <c r="I77" s="600">
        <f>'3A1_3A2 FE'!$D$126</f>
        <v>0.001</v>
      </c>
      <c r="J77" s="156">
        <f t="shared" si="16"/>
        <v>0</v>
      </c>
      <c r="K77" s="507">
        <f>+J77*'F. de Conversión'!$D$29/'F. de Conversión'!$D$31</f>
        <v>0</v>
      </c>
    </row>
    <row r="78" spans="1:11" ht="15.75" thickBot="1">
      <c r="A78" s="1453"/>
      <c r="B78" s="172" t="s">
        <v>38</v>
      </c>
      <c r="C78" s="156">
        <f t="shared" si="13"/>
        <v>1095921</v>
      </c>
      <c r="D78" s="156">
        <f>'3A1_3A2 FE'!C159</f>
        <v>3.2524021239493717</v>
      </c>
      <c r="E78" s="156">
        <f>'3A1_3A2 FE'!C142</f>
        <v>100.1</v>
      </c>
      <c r="F78" s="487">
        <f t="shared" si="14"/>
        <v>118.83139020167621</v>
      </c>
      <c r="G78" s="156">
        <f>'IB 3A1_3A2_3C6'!H244</f>
        <v>0</v>
      </c>
      <c r="H78" s="156">
        <f t="shared" si="15"/>
        <v>0</v>
      </c>
      <c r="I78" s="600">
        <f>'3A1_3A2 FE'!$D$126</f>
        <v>0.001</v>
      </c>
      <c r="J78" s="156">
        <f t="shared" si="16"/>
        <v>0</v>
      </c>
      <c r="K78" s="507">
        <f>+J78*'F. de Conversión'!$D$29/'F. de Conversión'!$D$31</f>
        <v>0</v>
      </c>
    </row>
    <row r="79" spans="1:11" ht="15.75" thickBot="1">
      <c r="A79" s="1453"/>
      <c r="B79" s="172" t="s">
        <v>36</v>
      </c>
      <c r="C79" s="156">
        <f t="shared" si="13"/>
        <v>52662900.840135574</v>
      </c>
      <c r="D79" s="156">
        <f>'3A1_3A2 FE'!C158</f>
        <v>0.82</v>
      </c>
      <c r="E79" s="156">
        <f>'3A1_3A2 FE'!C143</f>
        <v>3.919072164948454</v>
      </c>
      <c r="F79" s="487">
        <f t="shared" si="14"/>
        <v>1.1729782989690722</v>
      </c>
      <c r="G79" s="156">
        <f>'IB 3A1_3A2_3C6'!H245</f>
        <v>0.9</v>
      </c>
      <c r="H79" s="156">
        <f t="shared" si="15"/>
        <v>55595195.86161523</v>
      </c>
      <c r="I79" s="600">
        <f>'3A1_3A2 FE'!$D$126</f>
        <v>0.001</v>
      </c>
      <c r="J79" s="156">
        <f>H79*I79*44/28</f>
        <v>87363.87921110964</v>
      </c>
      <c r="K79" s="507">
        <f>+J79*'F. de Conversión'!$D$29/'F. de Conversión'!$D$31</f>
        <v>0.08736387921110964</v>
      </c>
    </row>
    <row r="80" spans="1:11" ht="15.75" thickBot="1">
      <c r="A80" s="1454"/>
      <c r="B80" s="172" t="s">
        <v>68</v>
      </c>
      <c r="C80" s="156">
        <f t="shared" si="13"/>
        <v>3971222.8514355808</v>
      </c>
      <c r="D80" s="156">
        <f>'3A1_3A2 FE'!C161</f>
        <v>4.315694573679203</v>
      </c>
      <c r="E80" s="156">
        <f>'3A1_3A2 FE'!C144</f>
        <v>0.6911</v>
      </c>
      <c r="F80" s="487">
        <f t="shared" si="14"/>
        <v>1.0886404297524397</v>
      </c>
      <c r="G80" s="156">
        <f>'IB 3A1_3A2_3C6'!H246</f>
        <v>0</v>
      </c>
      <c r="H80" s="156">
        <f t="shared" si="15"/>
        <v>0</v>
      </c>
      <c r="I80" s="600">
        <f>'3A1_3A2 FE'!$D$126</f>
        <v>0.001</v>
      </c>
      <c r="J80" s="156">
        <f t="shared" si="16"/>
        <v>0</v>
      </c>
      <c r="K80" s="507">
        <f>+J80*'F. de Conversión'!$D$29/'F. de Conversión'!$D$31</f>
        <v>0</v>
      </c>
    </row>
    <row r="81" spans="1:11" ht="15.75" thickBot="1">
      <c r="A81" s="1455" t="s">
        <v>15</v>
      </c>
      <c r="B81" s="1456"/>
      <c r="C81" s="326"/>
      <c r="D81" s="174"/>
      <c r="E81" s="174"/>
      <c r="F81" s="174">
        <f>SUM(F70:F80)</f>
        <v>392.95503248754</v>
      </c>
      <c r="G81" s="174"/>
      <c r="H81" s="137">
        <f>SUM(H70:H80)</f>
        <v>55595195.86161523</v>
      </c>
      <c r="I81" s="174"/>
      <c r="J81" s="174">
        <f>SUM(J70:J80)</f>
        <v>87363.87921110964</v>
      </c>
      <c r="K81" s="508">
        <f>SUM(K70:K80)</f>
        <v>0.08736387921110964</v>
      </c>
    </row>
    <row r="82" spans="1:11" ht="16.5" customHeight="1" thickBot="1">
      <c r="A82" s="1453" t="s">
        <v>139</v>
      </c>
      <c r="B82" s="172" t="s">
        <v>118</v>
      </c>
      <c r="C82" s="156">
        <f>+C34</f>
        <v>905818</v>
      </c>
      <c r="D82" s="156">
        <f>'3A1_3A2 FE'!C151</f>
        <v>0.48</v>
      </c>
      <c r="E82" s="156">
        <f>'3A1_3A2 FE'!C134</f>
        <v>520</v>
      </c>
      <c r="F82" s="487">
        <f>D82*E82*365/1000</f>
        <v>91.104</v>
      </c>
      <c r="G82" s="156">
        <f>'IB 3A1_3A2_3C6'!I236</f>
        <v>0</v>
      </c>
      <c r="H82" s="156">
        <f>C82*F82*G82</f>
        <v>0</v>
      </c>
      <c r="I82" s="600">
        <f>'3A1_3A2 FE'!$D$127</f>
        <v>0.001</v>
      </c>
      <c r="J82" s="156">
        <f>H82*I82*44/28</f>
        <v>0</v>
      </c>
      <c r="K82" s="507">
        <f>+J82*'F. de Conversión'!$D$29/'F. de Conversión'!$D$31</f>
        <v>0</v>
      </c>
    </row>
    <row r="83" spans="1:11" ht="15.75" customHeight="1" thickBot="1">
      <c r="A83" s="1453"/>
      <c r="B83" s="172" t="s">
        <v>375</v>
      </c>
      <c r="C83" s="156">
        <f aca="true" t="shared" si="17" ref="C83:C92">+C35</f>
        <v>4694075</v>
      </c>
      <c r="D83" s="156">
        <f>'3A1_3A2 FE'!C152</f>
        <v>0.36</v>
      </c>
      <c r="E83" s="156">
        <f>'3A1_3A2 FE'!C135</f>
        <v>306.2140665543348</v>
      </c>
      <c r="F83" s="487">
        <f aca="true" t="shared" si="18" ref="F83:F92">D83*E83*365/1000</f>
        <v>40.2365283452396</v>
      </c>
      <c r="G83" s="156">
        <f>'IB 3A1_3A2_3C6'!I237</f>
        <v>0</v>
      </c>
      <c r="H83" s="156">
        <f aca="true" t="shared" si="19" ref="H83:H92">C83*F83*G83</f>
        <v>0</v>
      </c>
      <c r="I83" s="600">
        <f>'3A1_3A2 FE'!$D$127</f>
        <v>0.001</v>
      </c>
      <c r="J83" s="156">
        <f aca="true" t="shared" si="20" ref="J83:J92">H83*I83*44/28</f>
        <v>0</v>
      </c>
      <c r="K83" s="507">
        <f>+J83*'F. de Conversión'!$D$29/'F. de Conversión'!$D$31</f>
        <v>0</v>
      </c>
    </row>
    <row r="84" spans="1:11" ht="15.75" thickBot="1">
      <c r="A84" s="1453"/>
      <c r="B84" s="172" t="s">
        <v>40</v>
      </c>
      <c r="C84" s="156">
        <f t="shared" si="17"/>
        <v>11371639</v>
      </c>
      <c r="D84" s="156">
        <f>'3A1_3A2 FE'!C153</f>
        <v>1.17</v>
      </c>
      <c r="E84" s="156">
        <f>'3A1_3A2 FE'!C136</f>
        <v>25.61</v>
      </c>
      <c r="F84" s="487">
        <f t="shared" si="18"/>
        <v>10.936750499999999</v>
      </c>
      <c r="G84" s="156">
        <f>'IB 3A1_3A2_3C6'!I238</f>
        <v>0</v>
      </c>
      <c r="H84" s="156">
        <f t="shared" si="19"/>
        <v>0</v>
      </c>
      <c r="I84" s="600">
        <f>'3A1_3A2 FE'!$D$127</f>
        <v>0.001</v>
      </c>
      <c r="J84" s="156">
        <f t="shared" si="20"/>
        <v>0</v>
      </c>
      <c r="K84" s="507">
        <f>+J84*'F. de Conversión'!$D$29/'F. de Conversión'!$D$31</f>
        <v>0</v>
      </c>
    </row>
    <row r="85" spans="1:11" ht="15.75" thickBot="1">
      <c r="A85" s="1453"/>
      <c r="B85" s="172" t="s">
        <v>39</v>
      </c>
      <c r="C85" s="156">
        <f t="shared" si="17"/>
        <v>1801882</v>
      </c>
      <c r="D85" s="156">
        <f>'3A1_3A2 FE'!C154</f>
        <v>1.37</v>
      </c>
      <c r="E85" s="156">
        <f>'3A1_3A2 FE'!C137</f>
        <v>30</v>
      </c>
      <c r="F85" s="487">
        <f t="shared" si="18"/>
        <v>15.0015</v>
      </c>
      <c r="G85" s="156">
        <f>'IB 3A1_3A2_3C6'!I239</f>
        <v>0</v>
      </c>
      <c r="H85" s="156">
        <f t="shared" si="19"/>
        <v>0</v>
      </c>
      <c r="I85" s="600">
        <f>'3A1_3A2 FE'!$D$127</f>
        <v>0.001</v>
      </c>
      <c r="J85" s="156">
        <f t="shared" si="20"/>
        <v>0</v>
      </c>
      <c r="K85" s="507">
        <f>+J85*'F. de Conversión'!$D$29/'F. de Conversión'!$D$31</f>
        <v>0</v>
      </c>
    </row>
    <row r="86" spans="1:11" ht="15.75" thickBot="1">
      <c r="A86" s="1453"/>
      <c r="B86" s="172" t="s">
        <v>66</v>
      </c>
      <c r="C86" s="156">
        <f t="shared" si="17"/>
        <v>478241.719092125</v>
      </c>
      <c r="D86" s="156">
        <f>'3A1_3A2 FE'!C155</f>
        <v>0.46</v>
      </c>
      <c r="E86" s="156">
        <f>'3A1_3A2 FE'!C138</f>
        <v>238</v>
      </c>
      <c r="F86" s="487">
        <f t="shared" si="18"/>
        <v>39.96020000000001</v>
      </c>
      <c r="G86" s="156">
        <f>'IB 3A1_3A2_3C6'!I240</f>
        <v>0</v>
      </c>
      <c r="H86" s="156">
        <f t="shared" si="19"/>
        <v>0</v>
      </c>
      <c r="I86" s="600">
        <f>'3A1_3A2 FE'!$D$127</f>
        <v>0.001</v>
      </c>
      <c r="J86" s="156">
        <f t="shared" si="20"/>
        <v>0</v>
      </c>
      <c r="K86" s="507">
        <f>+J86*'F. de Conversión'!$D$29/'F. de Conversión'!$D$31</f>
        <v>0</v>
      </c>
    </row>
    <row r="87" spans="1:11" ht="15.75" thickBot="1">
      <c r="A87" s="1453"/>
      <c r="B87" s="172" t="s">
        <v>109</v>
      </c>
      <c r="C87" s="156">
        <f t="shared" si="17"/>
        <v>541066.206435821</v>
      </c>
      <c r="D87" s="156">
        <f>'3A1_3A2 FE'!C156</f>
        <v>0.46</v>
      </c>
      <c r="E87" s="156">
        <f>'3A1_3A2 FE'!C139</f>
        <v>130</v>
      </c>
      <c r="F87" s="487">
        <f t="shared" si="18"/>
        <v>21.827</v>
      </c>
      <c r="G87" s="156">
        <f>'IB 3A1_3A2_3C6'!I241</f>
        <v>0</v>
      </c>
      <c r="H87" s="156">
        <f t="shared" si="19"/>
        <v>0</v>
      </c>
      <c r="I87" s="600">
        <f>'3A1_3A2 FE'!$D$127</f>
        <v>0.001</v>
      </c>
      <c r="J87" s="156">
        <f t="shared" si="20"/>
        <v>0</v>
      </c>
      <c r="K87" s="507">
        <f>+J87*'F. de Conversión'!$D$29/'F. de Conversión'!$D$31</f>
        <v>0</v>
      </c>
    </row>
    <row r="88" spans="1:11" ht="15.75" thickBot="1">
      <c r="A88" s="1453"/>
      <c r="B88" s="172" t="s">
        <v>41</v>
      </c>
      <c r="C88" s="156">
        <f t="shared" si="17"/>
        <v>940552.0273972602</v>
      </c>
      <c r="D88" s="156">
        <f>'3A1_3A2 FE'!C157</f>
        <v>1.47</v>
      </c>
      <c r="E88" s="156">
        <f>'3A1_3A2 FE'!C140</f>
        <v>28</v>
      </c>
      <c r="F88" s="487">
        <f t="shared" si="18"/>
        <v>15.023399999999999</v>
      </c>
      <c r="G88" s="156">
        <f>'IB 3A1_3A2_3C6'!I242</f>
        <v>0</v>
      </c>
      <c r="H88" s="156">
        <f t="shared" si="19"/>
        <v>0</v>
      </c>
      <c r="I88" s="600">
        <f>'3A1_3A2 FE'!$D$127</f>
        <v>0.001</v>
      </c>
      <c r="J88" s="156">
        <f t="shared" si="20"/>
        <v>0</v>
      </c>
      <c r="K88" s="507">
        <f>+J88*'F. de Conversión'!$D$29/'F. de Conversión'!$D$31</f>
        <v>0</v>
      </c>
    </row>
    <row r="89" spans="1:11" ht="15.75" thickBot="1">
      <c r="A89" s="1453"/>
      <c r="B89" s="172" t="s">
        <v>37</v>
      </c>
      <c r="C89" s="156">
        <f t="shared" si="17"/>
        <v>4456049</v>
      </c>
      <c r="D89" s="156">
        <f>'3A1_3A2 FE'!C160</f>
        <v>1.9901288046313312</v>
      </c>
      <c r="E89" s="156">
        <f>'3A1_3A2 FE'!C141</f>
        <v>52</v>
      </c>
      <c r="F89" s="487">
        <f t="shared" si="18"/>
        <v>37.772644711902664</v>
      </c>
      <c r="G89" s="156">
        <f>'IB 3A1_3A2_3C6'!I243</f>
        <v>0</v>
      </c>
      <c r="H89" s="156">
        <f t="shared" si="19"/>
        <v>0</v>
      </c>
      <c r="I89" s="600">
        <f>'3A1_3A2 FE'!$D$127</f>
        <v>0.001</v>
      </c>
      <c r="J89" s="156">
        <f t="shared" si="20"/>
        <v>0</v>
      </c>
      <c r="K89" s="507">
        <f>+J89*'F. de Conversión'!$D$29/'F. de Conversión'!$D$31</f>
        <v>0</v>
      </c>
    </row>
    <row r="90" spans="1:11" ht="15.75" thickBot="1">
      <c r="A90" s="1453"/>
      <c r="B90" s="172" t="s">
        <v>38</v>
      </c>
      <c r="C90" s="156">
        <f t="shared" si="17"/>
        <v>1095921</v>
      </c>
      <c r="D90" s="156">
        <f>'3A1_3A2 FE'!C159</f>
        <v>3.2524021239493717</v>
      </c>
      <c r="E90" s="156">
        <f>'3A1_3A2 FE'!C142</f>
        <v>100.1</v>
      </c>
      <c r="F90" s="487">
        <f t="shared" si="18"/>
        <v>118.83139020167621</v>
      </c>
      <c r="G90" s="156">
        <f>'IB 3A1_3A2_3C6'!I244</f>
        <v>0</v>
      </c>
      <c r="H90" s="156">
        <f t="shared" si="19"/>
        <v>0</v>
      </c>
      <c r="I90" s="600">
        <f>'3A1_3A2 FE'!$D$127</f>
        <v>0.001</v>
      </c>
      <c r="J90" s="156">
        <f t="shared" si="20"/>
        <v>0</v>
      </c>
      <c r="K90" s="507">
        <f>+J90*'F. de Conversión'!$D$29/'F. de Conversión'!$D$31</f>
        <v>0</v>
      </c>
    </row>
    <row r="91" spans="1:11" ht="15.75" thickBot="1">
      <c r="A91" s="1453"/>
      <c r="B91" s="172" t="s">
        <v>36</v>
      </c>
      <c r="C91" s="156">
        <f t="shared" si="17"/>
        <v>52662900.840135574</v>
      </c>
      <c r="D91" s="156">
        <f>'3A1_3A2 FE'!C158</f>
        <v>0.82</v>
      </c>
      <c r="E91" s="156">
        <f>'3A1_3A2 FE'!C143</f>
        <v>3.919072164948454</v>
      </c>
      <c r="F91" s="487">
        <f t="shared" si="18"/>
        <v>1.1729782989690722</v>
      </c>
      <c r="G91" s="156">
        <f>'IB 3A1_3A2_3C6'!I245</f>
        <v>0.1</v>
      </c>
      <c r="H91" s="156">
        <f t="shared" si="19"/>
        <v>6177243.9846239155</v>
      </c>
      <c r="I91" s="600">
        <f>'3A1_3A2 FE'!$D$127</f>
        <v>0.001</v>
      </c>
      <c r="J91" s="156">
        <f t="shared" si="20"/>
        <v>9707.097690123295</v>
      </c>
      <c r="K91" s="507">
        <f>+J91*'F. de Conversión'!$D$29/'F. de Conversión'!$D$31</f>
        <v>0.009707097690123295</v>
      </c>
    </row>
    <row r="92" spans="1:11" ht="15.75" thickBot="1">
      <c r="A92" s="1454"/>
      <c r="B92" s="172" t="s">
        <v>68</v>
      </c>
      <c r="C92" s="156">
        <f t="shared" si="17"/>
        <v>3971222.8514355808</v>
      </c>
      <c r="D92" s="156">
        <f>'3A1_3A2 FE'!C161</f>
        <v>4.315694573679203</v>
      </c>
      <c r="E92" s="156">
        <f>'3A1_3A2 FE'!C144</f>
        <v>0.6911</v>
      </c>
      <c r="F92" s="487">
        <f t="shared" si="18"/>
        <v>1.0886404297524397</v>
      </c>
      <c r="G92" s="156">
        <f>'IB 3A1_3A2_3C6'!I246</f>
        <v>0</v>
      </c>
      <c r="H92" s="156">
        <f t="shared" si="19"/>
        <v>0</v>
      </c>
      <c r="I92" s="600">
        <f>'3A1_3A2 FE'!$D$127</f>
        <v>0.001</v>
      </c>
      <c r="J92" s="156">
        <f t="shared" si="20"/>
        <v>0</v>
      </c>
      <c r="K92" s="507">
        <f>+J92*'F. de Conversión'!$D$29/'F. de Conversión'!$D$31</f>
        <v>0</v>
      </c>
    </row>
    <row r="93" spans="1:11" ht="15.75" thickBot="1">
      <c r="A93" s="1457" t="s">
        <v>15</v>
      </c>
      <c r="B93" s="1458"/>
      <c r="C93" s="135"/>
      <c r="D93" s="136"/>
      <c r="E93" s="136"/>
      <c r="F93" s="137">
        <f>SUM(F82:F92)</f>
        <v>392.95503248754</v>
      </c>
      <c r="G93" s="136"/>
      <c r="H93" s="137">
        <f>SUM(H82:H92)</f>
        <v>6177243.9846239155</v>
      </c>
      <c r="I93" s="136"/>
      <c r="J93" s="137">
        <f>SUM(J82:J92)</f>
        <v>9707.097690123295</v>
      </c>
      <c r="K93" s="509">
        <f>SUM(K82:K92)</f>
        <v>0.009707097690123295</v>
      </c>
    </row>
    <row r="94" spans="1:11" ht="15.75" thickBot="1">
      <c r="A94" s="1457" t="s">
        <v>2</v>
      </c>
      <c r="B94" s="1458"/>
      <c r="C94" s="135"/>
      <c r="D94" s="136"/>
      <c r="E94" s="136"/>
      <c r="F94" s="137">
        <f>SUM(F57,F69,F81,F93)</f>
        <v>1571.82012995016</v>
      </c>
      <c r="G94" s="136"/>
      <c r="H94" s="138">
        <f>SUM(H45,H57,H69,H81,H93)</f>
        <v>137927352.36713138</v>
      </c>
      <c r="I94" s="136"/>
      <c r="J94" s="138">
        <f>SUM(J45,J57,J69,J81,J93)</f>
        <v>1225854.500418218</v>
      </c>
      <c r="K94" s="138">
        <f>SUM(K45,K57,K69,K81,K93)</f>
        <v>1.225854500418218</v>
      </c>
    </row>
    <row r="95" spans="1:10" ht="26.25" customHeight="1">
      <c r="A95" s="1466" t="s">
        <v>820</v>
      </c>
      <c r="B95" s="1467"/>
      <c r="C95" s="1467"/>
      <c r="D95" s="1467"/>
      <c r="E95" s="1467"/>
      <c r="F95" s="1467"/>
      <c r="G95" s="1467"/>
      <c r="H95" s="1467"/>
      <c r="I95" s="1467"/>
      <c r="J95" s="1468"/>
    </row>
    <row r="96" spans="1:10" ht="15.75">
      <c r="A96" s="1441" t="s">
        <v>821</v>
      </c>
      <c r="B96" s="1442"/>
      <c r="C96" s="1442"/>
      <c r="D96" s="1442"/>
      <c r="E96" s="1442"/>
      <c r="F96" s="1442"/>
      <c r="G96" s="1442"/>
      <c r="H96" s="1442"/>
      <c r="I96" s="1442"/>
      <c r="J96" s="1443"/>
    </row>
    <row r="97" spans="1:10" ht="15.75">
      <c r="A97" s="1441" t="s">
        <v>822</v>
      </c>
      <c r="B97" s="1442"/>
      <c r="C97" s="1442"/>
      <c r="D97" s="1442"/>
      <c r="E97" s="1442"/>
      <c r="F97" s="1442"/>
      <c r="G97" s="1442"/>
      <c r="H97" s="1442"/>
      <c r="I97" s="1442"/>
      <c r="J97" s="1443"/>
    </row>
    <row r="98" spans="1:10" ht="16.5" thickBot="1">
      <c r="A98" s="1444" t="s">
        <v>823</v>
      </c>
      <c r="B98" s="1445"/>
      <c r="C98" s="1445"/>
      <c r="D98" s="1445"/>
      <c r="E98" s="1445"/>
      <c r="F98" s="1445"/>
      <c r="G98" s="1445"/>
      <c r="H98" s="1445"/>
      <c r="I98" s="1445"/>
      <c r="J98" s="1446"/>
    </row>
  </sheetData>
  <mergeCells count="59">
    <mergeCell ref="K31:K33"/>
    <mergeCell ref="A1:B1"/>
    <mergeCell ref="A2:B2"/>
    <mergeCell ref="A3:B3"/>
    <mergeCell ref="A4:B4"/>
    <mergeCell ref="A5:B5"/>
    <mergeCell ref="A6:B8"/>
    <mergeCell ref="A25:B25"/>
    <mergeCell ref="A26:B26"/>
    <mergeCell ref="C1:G1"/>
    <mergeCell ref="C2:G2"/>
    <mergeCell ref="C3:G3"/>
    <mergeCell ref="C4:G4"/>
    <mergeCell ref="C5:D5"/>
    <mergeCell ref="A27:B27"/>
    <mergeCell ref="A28:B28"/>
    <mergeCell ref="A95:J95"/>
    <mergeCell ref="A69:B69"/>
    <mergeCell ref="A46:A56"/>
    <mergeCell ref="A57:B57"/>
    <mergeCell ref="A34:A44"/>
    <mergeCell ref="A45:B45"/>
    <mergeCell ref="F21:F22"/>
    <mergeCell ref="A97:J97"/>
    <mergeCell ref="A98:J98"/>
    <mergeCell ref="A30:A32"/>
    <mergeCell ref="B30:B32"/>
    <mergeCell ref="A23:G23"/>
    <mergeCell ref="A96:J96"/>
    <mergeCell ref="A70:A80"/>
    <mergeCell ref="A81:B81"/>
    <mergeCell ref="A82:A92"/>
    <mergeCell ref="A93:B93"/>
    <mergeCell ref="A94:B94"/>
    <mergeCell ref="A29:B29"/>
    <mergeCell ref="D29:F29"/>
    <mergeCell ref="G29:J29"/>
    <mergeCell ref="A58:A68"/>
    <mergeCell ref="A18:B18"/>
    <mergeCell ref="A21:B22"/>
    <mergeCell ref="C21:C22"/>
    <mergeCell ref="D21:D22"/>
    <mergeCell ref="F5:G5"/>
    <mergeCell ref="A9:B9"/>
    <mergeCell ref="A12:B12"/>
    <mergeCell ref="A19:B19"/>
    <mergeCell ref="A20:B20"/>
    <mergeCell ref="A10:B10"/>
    <mergeCell ref="A11:B11"/>
    <mergeCell ref="A13:B13"/>
    <mergeCell ref="A14:B14"/>
    <mergeCell ref="A15:B15"/>
    <mergeCell ref="A16:B16"/>
    <mergeCell ref="A17:B17"/>
    <mergeCell ref="K29:K30"/>
    <mergeCell ref="C25:K25"/>
    <mergeCell ref="C26:K26"/>
    <mergeCell ref="C27:K27"/>
    <mergeCell ref="C28:K28"/>
  </mergeCells>
  <printOptions/>
  <pageMargins left="0.7" right="0.7" top="0.75" bottom="0.75" header="0.3" footer="0.3"/>
  <pageSetup horizontalDpi="300" verticalDpi="300" orientation="portrait" r:id="rId4"/>
  <drawing r:id="rId3"/>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D9D9D9"/>
  </sheetPr>
  <dimension ref="B2:U18"/>
  <sheetViews>
    <sheetView workbookViewId="0" topLeftCell="A1">
      <selection activeCell="I20" sqref="I20"/>
    </sheetView>
  </sheetViews>
  <sheetFormatPr defaultColWidth="10.8515625" defaultRowHeight="15"/>
  <cols>
    <col min="1" max="1" width="3.28125" style="0" customWidth="1"/>
    <col min="2" max="2" width="15.8515625" style="53" customWidth="1"/>
    <col min="3" max="3" width="33.7109375" style="53" customWidth="1"/>
    <col min="4" max="7" width="19.00390625" style="53" customWidth="1"/>
    <col min="8" max="8" width="12.140625" style="53" customWidth="1"/>
    <col min="9" max="9" width="16.7109375" style="53" customWidth="1"/>
    <col min="10" max="15" width="10.8515625" style="53" customWidth="1"/>
    <col min="16" max="17" width="12.28125" style="53" bestFit="1" customWidth="1"/>
    <col min="18" max="18" width="16.00390625" style="53" customWidth="1"/>
    <col min="19" max="19" width="12.00390625" style="53" bestFit="1" customWidth="1"/>
    <col min="20" max="21" width="10.8515625" style="53" customWidth="1"/>
  </cols>
  <sheetData>
    <row r="1" ht="15.75" thickBot="1"/>
    <row r="2" spans="2:9" s="53" customFormat="1" ht="15" customHeight="1" thickBot="1">
      <c r="B2" s="1422" t="s">
        <v>0</v>
      </c>
      <c r="C2" s="1424"/>
      <c r="D2" s="1482" t="s">
        <v>381</v>
      </c>
      <c r="E2" s="1483"/>
      <c r="F2" s="1483"/>
      <c r="G2" s="1484"/>
      <c r="I2" t="s">
        <v>695</v>
      </c>
    </row>
    <row r="3" spans="2:7" s="53" customFormat="1" ht="15" customHeight="1" thickBot="1">
      <c r="B3" s="1422" t="s">
        <v>789</v>
      </c>
      <c r="C3" s="1424"/>
      <c r="D3" s="1482" t="s">
        <v>1085</v>
      </c>
      <c r="E3" s="1483"/>
      <c r="F3" s="1483"/>
      <c r="G3" s="1484"/>
    </row>
    <row r="4" spans="2:7" s="53" customFormat="1" ht="13.5" thickBot="1">
      <c r="B4" s="1422" t="s">
        <v>791</v>
      </c>
      <c r="C4" s="1424"/>
      <c r="D4" s="1482" t="s">
        <v>786</v>
      </c>
      <c r="E4" s="1483"/>
      <c r="F4" s="1483"/>
      <c r="G4" s="1484"/>
    </row>
    <row r="5" spans="2:7" s="53" customFormat="1" ht="13.5" thickBot="1">
      <c r="B5" s="1422" t="s">
        <v>793</v>
      </c>
      <c r="C5" s="1424"/>
      <c r="D5" s="1482" t="s">
        <v>794</v>
      </c>
      <c r="E5" s="1483"/>
      <c r="F5" s="1483"/>
      <c r="G5" s="1484"/>
    </row>
    <row r="6" spans="2:7" s="70" customFormat="1" ht="40.5" thickBot="1">
      <c r="B6" s="1490" t="s">
        <v>363</v>
      </c>
      <c r="C6" s="1491"/>
      <c r="D6" s="358" t="s">
        <v>799</v>
      </c>
      <c r="E6" s="358" t="s">
        <v>1617</v>
      </c>
      <c r="F6" s="361" t="s">
        <v>1620</v>
      </c>
      <c r="G6" s="359" t="s">
        <v>1620</v>
      </c>
    </row>
    <row r="7" spans="2:7" s="70" customFormat="1" ht="27" customHeight="1" thickBot="1">
      <c r="B7" s="1492"/>
      <c r="C7" s="1493"/>
      <c r="D7" s="1041" t="s">
        <v>802</v>
      </c>
      <c r="E7" s="1042" t="s">
        <v>1618</v>
      </c>
      <c r="F7" s="361" t="s">
        <v>1619</v>
      </c>
      <c r="G7" s="359" t="s">
        <v>1621</v>
      </c>
    </row>
    <row r="8" spans="2:7" s="70" customFormat="1" ht="29.25" customHeight="1" thickBot="1">
      <c r="B8" s="1492"/>
      <c r="C8" s="1493"/>
      <c r="D8" s="1002" t="s">
        <v>1622</v>
      </c>
      <c r="E8" s="1002" t="s">
        <v>1622</v>
      </c>
      <c r="F8" s="359"/>
      <c r="G8" s="1043" t="s">
        <v>804</v>
      </c>
    </row>
    <row r="9" spans="2:7" s="70" customFormat="1" ht="15.75" customHeight="1" thickBot="1">
      <c r="B9" s="1494"/>
      <c r="C9" s="1495"/>
      <c r="D9" s="128" t="s">
        <v>563</v>
      </c>
      <c r="E9" s="128" t="s">
        <v>564</v>
      </c>
      <c r="F9" s="128" t="s">
        <v>565</v>
      </c>
      <c r="G9" s="128" t="s">
        <v>565</v>
      </c>
    </row>
    <row r="10" spans="2:21" s="2" customFormat="1" ht="15.75" thickBot="1">
      <c r="B10" s="362" t="s">
        <v>1086</v>
      </c>
      <c r="C10" s="360" t="s">
        <v>364</v>
      </c>
      <c r="D10" s="366">
        <f>+'IP 3A1_3A2_3C6'!F67</f>
        <v>905818</v>
      </c>
      <c r="E10" s="367">
        <f>+'3A1_3A2 FE'!O91*12</f>
        <v>105.19424906452318</v>
      </c>
      <c r="F10" s="368">
        <f>+D10*E10</f>
        <v>95286844.29912825</v>
      </c>
      <c r="G10" s="369">
        <f>+F10*'F. de Conversión'!$D$29/'F. de Conversión'!$D$31</f>
        <v>95.28684429912825</v>
      </c>
      <c r="P10" s="64"/>
      <c r="Q10" s="64"/>
      <c r="R10" s="64"/>
      <c r="S10" s="70"/>
      <c r="T10" s="70"/>
      <c r="U10" s="70"/>
    </row>
    <row r="11" spans="2:21" s="2" customFormat="1" ht="15.75" thickBot="1">
      <c r="B11" s="1488" t="s">
        <v>15</v>
      </c>
      <c r="C11" s="1489"/>
      <c r="D11" s="370"/>
      <c r="E11" s="371"/>
      <c r="F11" s="372"/>
      <c r="G11" s="371"/>
      <c r="T11" s="70"/>
      <c r="U11" s="70"/>
    </row>
    <row r="12" spans="2:8" ht="15.75" thickBot="1">
      <c r="B12" s="1485" t="s">
        <v>375</v>
      </c>
      <c r="C12" s="360" t="s">
        <v>365</v>
      </c>
      <c r="D12" s="373">
        <f>+'IP 3A1_3A2_3C6'!F68</f>
        <v>1313208.3637848527</v>
      </c>
      <c r="E12" s="374">
        <f>+'3A1_3A2 FE'!O92*12</f>
        <v>79.91156363761961</v>
      </c>
      <c r="F12" s="375">
        <f aca="true" t="shared" si="0" ref="F12:F17">+D12*E12</f>
        <v>104940533.73204757</v>
      </c>
      <c r="G12" s="376">
        <f>+F12*'F. de Conversión'!$D$29/'F. de Conversión'!$D$31</f>
        <v>104.94053373204758</v>
      </c>
      <c r="H12" s="2"/>
    </row>
    <row r="13" spans="2:8" ht="15.75" thickBot="1">
      <c r="B13" s="1486"/>
      <c r="C13" s="360" t="s">
        <v>366</v>
      </c>
      <c r="D13" s="377">
        <f>+'IP 3A1_3A2_3C6'!F69</f>
        <v>767249.4343267336</v>
      </c>
      <c r="E13" s="378">
        <f>+'3A1_3A2 FE'!O93*12</f>
        <v>95.96334574433432</v>
      </c>
      <c r="F13" s="379">
        <f t="shared" si="0"/>
        <v>73627822.73844126</v>
      </c>
      <c r="G13" s="369">
        <f>+F13*'F. de Conversión'!$D$29/'F. de Conversión'!$D$31</f>
        <v>73.62782273844125</v>
      </c>
      <c r="H13" s="2"/>
    </row>
    <row r="14" spans="2:8" ht="15.75" thickBot="1">
      <c r="B14" s="1486"/>
      <c r="C14" s="360" t="s">
        <v>457</v>
      </c>
      <c r="D14" s="373">
        <f>+'IP 3A1_3A2_3C6'!F70</f>
        <v>254173.13018221981</v>
      </c>
      <c r="E14" s="374">
        <f>+'3A1_3A2 FE'!O94*12</f>
        <v>76.6931539613669</v>
      </c>
      <c r="F14" s="375">
        <f t="shared" si="0"/>
        <v>19493339.005907536</v>
      </c>
      <c r="G14" s="376">
        <f>+F14*'F. de Conversión'!$D$29/'F. de Conversión'!$D$31</f>
        <v>19.493339005907536</v>
      </c>
      <c r="H14" s="2"/>
    </row>
    <row r="15" spans="2:7" ht="15.75" thickBot="1">
      <c r="B15" s="1486"/>
      <c r="C15" s="360" t="s">
        <v>458</v>
      </c>
      <c r="D15" s="377">
        <f>+'IP 3A1_3A2_3C6'!F71</f>
        <v>670156.8192086602</v>
      </c>
      <c r="E15" s="378">
        <f>+'3A1_3A2 FE'!O95*12</f>
        <v>87.07608308718785</v>
      </c>
      <c r="F15" s="379">
        <f t="shared" si="0"/>
        <v>58354630.87085882</v>
      </c>
      <c r="G15" s="369">
        <f>+F15*'F. de Conversión'!$D$29/'F. de Conversión'!$D$31</f>
        <v>58.35463087085882</v>
      </c>
    </row>
    <row r="16" spans="2:7" ht="15.75" thickBot="1">
      <c r="B16" s="1486"/>
      <c r="C16" s="360" t="s">
        <v>367</v>
      </c>
      <c r="D16" s="373">
        <f>+'IP 3A1_3A2_3C6'!F72</f>
        <v>435481.382531537</v>
      </c>
      <c r="E16" s="374">
        <f>+'3A1_3A2 FE'!O96*12</f>
        <v>89.80712431305149</v>
      </c>
      <c r="F16" s="375">
        <f t="shared" si="0"/>
        <v>39109330.65702927</v>
      </c>
      <c r="G16" s="376">
        <f>+F16*'F. de Conversión'!$D$29/'F. de Conversión'!$D$31</f>
        <v>39.109330657029275</v>
      </c>
    </row>
    <row r="17" spans="2:7" ht="15.75" thickBot="1">
      <c r="B17" s="1487"/>
      <c r="C17" s="360" t="s">
        <v>735</v>
      </c>
      <c r="D17" s="377">
        <f>+'IP 3A1_3A2_3C6'!F73</f>
        <v>1253805.8699659966</v>
      </c>
      <c r="E17" s="378">
        <f>+'3A1_3A2 FE'!O97*12</f>
        <v>27.862228522041395</v>
      </c>
      <c r="F17" s="379">
        <f t="shared" si="0"/>
        <v>34933825.67126951</v>
      </c>
      <c r="G17" s="369">
        <f>+F17*'F. de Conversión'!$D$29/'F. de Conversión'!$D$31</f>
        <v>34.93382567126952</v>
      </c>
    </row>
    <row r="18" spans="2:14" ht="15.75" thickBot="1">
      <c r="B18" s="1480" t="s">
        <v>428</v>
      </c>
      <c r="C18" s="1481"/>
      <c r="D18" s="363">
        <f>SUM(D12:D17)</f>
        <v>4694075</v>
      </c>
      <c r="E18" s="364">
        <f>(E12*D12+E13*D13+E14*D14+E15*D15+E16*D16+E17*D17)/D18</f>
        <v>70.39927625262784</v>
      </c>
      <c r="F18" s="365">
        <f>SUM(F12:F17)</f>
        <v>330459482.67555404</v>
      </c>
      <c r="G18" s="364">
        <f>+F18*'F. de Conversión'!$D$29/'F. de Conversión'!$D$31</f>
        <v>330.459482675554</v>
      </c>
      <c r="J18" s="141"/>
      <c r="K18" s="141"/>
      <c r="L18" s="141"/>
      <c r="M18" s="141"/>
      <c r="N18" s="141"/>
    </row>
  </sheetData>
  <mergeCells count="12">
    <mergeCell ref="B2:C2"/>
    <mergeCell ref="D2:G2"/>
    <mergeCell ref="B3:C3"/>
    <mergeCell ref="D3:G3"/>
    <mergeCell ref="B4:C4"/>
    <mergeCell ref="D4:G4"/>
    <mergeCell ref="B18:C18"/>
    <mergeCell ref="B5:C5"/>
    <mergeCell ref="D5:G5"/>
    <mergeCell ref="B12:B17"/>
    <mergeCell ref="B11:C11"/>
    <mergeCell ref="B6:C9"/>
  </mergeCells>
  <printOptions/>
  <pageMargins left="0.7" right="0.7" top="0.75" bottom="0.75" header="0.3" footer="0.3"/>
  <pageSetup horizontalDpi="300" verticalDpi="300" orientation="portrait" r:id="rId4"/>
  <drawing r:id="rId3"/>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D9D9D9"/>
  </sheetPr>
  <dimension ref="B2:S99"/>
  <sheetViews>
    <sheetView workbookViewId="0" topLeftCell="A1">
      <selection activeCell="A1" sqref="A1:A1048576"/>
    </sheetView>
  </sheetViews>
  <sheetFormatPr defaultColWidth="10.8515625" defaultRowHeight="15"/>
  <cols>
    <col min="1" max="1" width="3.57421875" style="0" customWidth="1"/>
    <col min="2" max="5" width="12.7109375" style="53" customWidth="1"/>
    <col min="6" max="6" width="15.421875" style="53" customWidth="1"/>
    <col min="7" max="7" width="12.7109375" style="53" customWidth="1"/>
    <col min="8" max="8" width="16.7109375" style="53" customWidth="1"/>
    <col min="9" max="9" width="12.28125" style="53" customWidth="1"/>
    <col min="10" max="13" width="18.28125" style="53" customWidth="1"/>
    <col min="14" max="14" width="12.57421875" style="53" bestFit="1" customWidth="1"/>
    <col min="15" max="18" width="10.8515625" style="53" customWidth="1"/>
  </cols>
  <sheetData>
    <row r="1" ht="15.75" thickBot="1"/>
    <row r="2" spans="2:19" ht="15.75" thickBot="1">
      <c r="B2" s="1422" t="s">
        <v>0</v>
      </c>
      <c r="C2" s="1424"/>
      <c r="D2" s="1477" t="s">
        <v>381</v>
      </c>
      <c r="E2" s="1478"/>
      <c r="F2" s="1478"/>
      <c r="G2" s="1478"/>
      <c r="H2" s="1478"/>
      <c r="I2" s="1478"/>
      <c r="J2" s="1478"/>
      <c r="K2" s="1478"/>
      <c r="L2" s="1478"/>
      <c r="M2" s="1479"/>
      <c r="S2" t="s">
        <v>695</v>
      </c>
    </row>
    <row r="3" spans="2:13" ht="15.75" thickBot="1">
      <c r="B3" s="1422" t="s">
        <v>789</v>
      </c>
      <c r="C3" s="1424"/>
      <c r="D3" s="1477" t="s">
        <v>824</v>
      </c>
      <c r="E3" s="1478"/>
      <c r="F3" s="1478"/>
      <c r="G3" s="1478"/>
      <c r="H3" s="1478"/>
      <c r="I3" s="1478"/>
      <c r="J3" s="1478"/>
      <c r="K3" s="1478"/>
      <c r="L3" s="1478"/>
      <c r="M3" s="1479"/>
    </row>
    <row r="4" spans="2:13" ht="15.75" customHeight="1" thickBot="1">
      <c r="B4" s="1422" t="s">
        <v>791</v>
      </c>
      <c r="C4" s="1424"/>
      <c r="D4" s="1477" t="s">
        <v>13</v>
      </c>
      <c r="E4" s="1478"/>
      <c r="F4" s="1478"/>
      <c r="G4" s="1478"/>
      <c r="H4" s="1478"/>
      <c r="I4" s="1478"/>
      <c r="J4" s="1478"/>
      <c r="K4" s="1478"/>
      <c r="L4" s="1478"/>
      <c r="M4" s="1479"/>
    </row>
    <row r="5" spans="2:13" ht="15.75" thickBot="1">
      <c r="B5" s="1422" t="s">
        <v>793</v>
      </c>
      <c r="C5" s="1424"/>
      <c r="D5" s="1477" t="s">
        <v>825</v>
      </c>
      <c r="E5" s="1478"/>
      <c r="F5" s="1478"/>
      <c r="G5" s="1478"/>
      <c r="H5" s="1478"/>
      <c r="I5" s="1478"/>
      <c r="J5" s="1478"/>
      <c r="K5" s="1478"/>
      <c r="L5" s="1478"/>
      <c r="M5" s="1479"/>
    </row>
    <row r="6" spans="2:17" ht="15.75" customHeight="1" thickBot="1">
      <c r="B6" s="1511" t="s">
        <v>826</v>
      </c>
      <c r="C6" s="1512"/>
      <c r="D6" s="125" t="s">
        <v>827</v>
      </c>
      <c r="E6" s="1433" t="s">
        <v>828</v>
      </c>
      <c r="F6" s="1513"/>
      <c r="G6" s="1513"/>
      <c r="H6" s="1513"/>
      <c r="I6" s="1513"/>
      <c r="J6" s="1513"/>
      <c r="K6" s="1513"/>
      <c r="L6" s="1513"/>
      <c r="M6" s="1513"/>
      <c r="N6" s="1496" t="s">
        <v>839</v>
      </c>
      <c r="O6" s="1496" t="s">
        <v>836</v>
      </c>
      <c r="P6" s="1496" t="s">
        <v>1627</v>
      </c>
      <c r="Q6" s="1496" t="s">
        <v>841</v>
      </c>
    </row>
    <row r="7" spans="2:18" s="1047" customFormat="1" ht="54" thickBot="1">
      <c r="B7" s="1503" t="s">
        <v>829</v>
      </c>
      <c r="C7" s="1504"/>
      <c r="D7" s="1474" t="s">
        <v>1623</v>
      </c>
      <c r="E7" s="1044" t="s">
        <v>831</v>
      </c>
      <c r="F7" s="1044" t="s">
        <v>1624</v>
      </c>
      <c r="G7" s="1044" t="s">
        <v>1625</v>
      </c>
      <c r="H7" s="1503" t="s">
        <v>834</v>
      </c>
      <c r="I7" s="1504"/>
      <c r="J7" s="1044" t="s">
        <v>1626</v>
      </c>
      <c r="K7" s="1044" t="s">
        <v>836</v>
      </c>
      <c r="L7" s="1044" t="s">
        <v>1627</v>
      </c>
      <c r="M7" s="1045" t="s">
        <v>1628</v>
      </c>
      <c r="N7" s="1497"/>
      <c r="O7" s="1497"/>
      <c r="P7" s="1497"/>
      <c r="Q7" s="1497"/>
      <c r="R7" s="1046"/>
    </row>
    <row r="8" spans="2:18" s="1048" customFormat="1" ht="27.75" customHeight="1">
      <c r="B8" s="1447" t="s">
        <v>842</v>
      </c>
      <c r="C8" s="1447" t="s">
        <v>843</v>
      </c>
      <c r="D8" s="1476"/>
      <c r="E8" s="1447" t="s">
        <v>9</v>
      </c>
      <c r="F8" s="1447" t="s">
        <v>1629</v>
      </c>
      <c r="G8" s="1447" t="s">
        <v>5</v>
      </c>
      <c r="H8" s="1473" t="s">
        <v>1630</v>
      </c>
      <c r="I8" s="1474"/>
      <c r="J8" s="1447" t="s">
        <v>1631</v>
      </c>
      <c r="K8" s="1447" t="s">
        <v>847</v>
      </c>
      <c r="L8" s="1447" t="s">
        <v>1632</v>
      </c>
      <c r="M8" s="1447" t="s">
        <v>849</v>
      </c>
      <c r="N8" s="1496" t="s">
        <v>1633</v>
      </c>
      <c r="O8" s="1496" t="s">
        <v>429</v>
      </c>
      <c r="P8" s="1496" t="s">
        <v>585</v>
      </c>
      <c r="Q8" s="1496" t="s">
        <v>1634</v>
      </c>
      <c r="R8" s="80"/>
    </row>
    <row r="9" spans="2:18" s="1048" customFormat="1" ht="15.75" customHeight="1" thickBot="1">
      <c r="B9" s="1448"/>
      <c r="C9" s="1448"/>
      <c r="D9" s="1476"/>
      <c r="E9" s="1449"/>
      <c r="F9" s="1449"/>
      <c r="G9" s="1449"/>
      <c r="H9" s="1507"/>
      <c r="I9" s="1508"/>
      <c r="J9" s="1449"/>
      <c r="K9" s="1449"/>
      <c r="L9" s="1449"/>
      <c r="M9" s="1449"/>
      <c r="N9" s="1501"/>
      <c r="O9" s="1501"/>
      <c r="P9" s="1501"/>
      <c r="Q9" s="1501"/>
      <c r="R9" s="80"/>
    </row>
    <row r="10" spans="2:18" s="1048" customFormat="1" ht="15">
      <c r="B10" s="1448"/>
      <c r="C10" s="1448"/>
      <c r="D10" s="1476"/>
      <c r="E10" s="1447"/>
      <c r="F10" s="1447" t="s">
        <v>851</v>
      </c>
      <c r="G10" s="1447" t="s">
        <v>852</v>
      </c>
      <c r="H10" s="1473" t="s">
        <v>853</v>
      </c>
      <c r="I10" s="1474"/>
      <c r="J10" s="1049" t="s">
        <v>1635</v>
      </c>
      <c r="K10" s="1049" t="s">
        <v>1636</v>
      </c>
      <c r="L10" s="1049" t="s">
        <v>1637</v>
      </c>
      <c r="M10" s="1049" t="s">
        <v>1638</v>
      </c>
      <c r="N10" s="1501"/>
      <c r="O10" s="1501"/>
      <c r="P10" s="1501"/>
      <c r="Q10" s="1501"/>
      <c r="R10" s="80"/>
    </row>
    <row r="11" spans="2:18" s="1048" customFormat="1" ht="16.5" thickBot="1">
      <c r="B11" s="1448"/>
      <c r="C11" s="1448"/>
      <c r="D11" s="1476"/>
      <c r="E11" s="1449"/>
      <c r="F11" s="1449"/>
      <c r="G11" s="1449"/>
      <c r="H11" s="1507"/>
      <c r="I11" s="1508"/>
      <c r="J11" s="1044" t="s">
        <v>1639</v>
      </c>
      <c r="K11" s="1044" t="s">
        <v>1639</v>
      </c>
      <c r="L11" s="1044" t="s">
        <v>1639</v>
      </c>
      <c r="M11" s="1044" t="s">
        <v>1639</v>
      </c>
      <c r="N11" s="1501"/>
      <c r="O11" s="1501"/>
      <c r="P11" s="1501"/>
      <c r="Q11" s="1501"/>
      <c r="R11" s="80"/>
    </row>
    <row r="12" spans="2:18" s="1048" customFormat="1" ht="15.75" thickBot="1">
      <c r="B12" s="1506"/>
      <c r="C12" s="1506"/>
      <c r="D12" s="1505"/>
      <c r="E12" s="128" t="s">
        <v>10</v>
      </c>
      <c r="F12" s="128" t="s">
        <v>579</v>
      </c>
      <c r="G12" s="128" t="s">
        <v>580</v>
      </c>
      <c r="H12" s="1509" t="s">
        <v>581</v>
      </c>
      <c r="I12" s="1510"/>
      <c r="J12" s="128" t="s">
        <v>858</v>
      </c>
      <c r="K12" s="128" t="s">
        <v>859</v>
      </c>
      <c r="L12" s="128" t="s">
        <v>860</v>
      </c>
      <c r="M12" s="128" t="s">
        <v>861</v>
      </c>
      <c r="N12" s="1502"/>
      <c r="O12" s="1502"/>
      <c r="P12" s="1502"/>
      <c r="Q12" s="1502"/>
      <c r="R12" s="80"/>
    </row>
    <row r="13" spans="2:17" ht="16.5" thickBot="1" thickTop="1">
      <c r="B13" s="1514" t="s">
        <v>862</v>
      </c>
      <c r="C13" s="1514" t="s">
        <v>862</v>
      </c>
      <c r="D13" s="1516" t="s">
        <v>257</v>
      </c>
      <c r="E13" s="1519">
        <f>+'IP 3C1'!E7</f>
        <v>82148.9928</v>
      </c>
      <c r="F13" s="1519">
        <f>'IP 3C1'!J36</f>
        <v>6.5</v>
      </c>
      <c r="G13" s="1519">
        <f>'3C1 FE'!$D$35</f>
        <v>1</v>
      </c>
      <c r="H13" s="961" t="s">
        <v>582</v>
      </c>
      <c r="I13" s="962">
        <f>+'3C1 FE'!$C$7</f>
        <v>2.7</v>
      </c>
      <c r="J13" s="962">
        <f>E13*G13*F13*I13*(10^(-3))</f>
        <v>1441.7148236400003</v>
      </c>
      <c r="K13" s="963"/>
      <c r="L13" s="963"/>
      <c r="M13" s="963"/>
      <c r="N13" s="963">
        <f>+J13*'F. de Conversión'!$C$19/'F. de Conversión'!$D$31</f>
        <v>1.4417148236400004</v>
      </c>
      <c r="O13" s="963"/>
      <c r="P13" s="963"/>
      <c r="Q13" s="963"/>
    </row>
    <row r="14" spans="2:17" ht="15.75" thickBot="1">
      <c r="B14" s="1515"/>
      <c r="C14" s="1515"/>
      <c r="D14" s="1517"/>
      <c r="E14" s="1520"/>
      <c r="F14" s="1520"/>
      <c r="G14" s="1520"/>
      <c r="H14" s="961" t="s">
        <v>12</v>
      </c>
      <c r="I14" s="962">
        <f>'3C1 FE'!$C$8</f>
        <v>92</v>
      </c>
      <c r="J14" s="963"/>
      <c r="K14" s="962">
        <f>E13*G13*F13*I14*(10^(-3))</f>
        <v>49125.097694400014</v>
      </c>
      <c r="L14" s="963"/>
      <c r="M14" s="963"/>
      <c r="N14" s="963"/>
      <c r="O14" s="963">
        <f>+K14*'F. de Conversión'!$C$19/'F. de Conversión'!$D$31</f>
        <v>49.12509769440002</v>
      </c>
      <c r="P14" s="963"/>
      <c r="Q14" s="963"/>
    </row>
    <row r="15" spans="2:17" ht="15.75" thickBot="1">
      <c r="B15" s="1515"/>
      <c r="C15" s="1515"/>
      <c r="D15" s="1517"/>
      <c r="E15" s="1520"/>
      <c r="F15" s="1520"/>
      <c r="G15" s="1520"/>
      <c r="H15" s="961" t="s">
        <v>583</v>
      </c>
      <c r="I15" s="962">
        <f>'3C1 FE'!$C$9</f>
        <v>0.07</v>
      </c>
      <c r="J15" s="963"/>
      <c r="K15" s="963"/>
      <c r="L15" s="962">
        <f>E13*G13*F13*I15*(10^(-3))</f>
        <v>37.37779172400001</v>
      </c>
      <c r="M15" s="963"/>
      <c r="N15" s="963"/>
      <c r="O15" s="963"/>
      <c r="P15" s="963">
        <f>+L15*'F. de Conversión'!$C$19/'F. de Conversión'!$D$31</f>
        <v>0.03737779172400001</v>
      </c>
      <c r="Q15" s="963"/>
    </row>
    <row r="16" spans="2:17" ht="15.75" thickBot="1">
      <c r="B16" s="1515"/>
      <c r="C16" s="1515"/>
      <c r="D16" s="1518"/>
      <c r="E16" s="1521"/>
      <c r="F16" s="1521"/>
      <c r="G16" s="1521"/>
      <c r="H16" s="961" t="s">
        <v>584</v>
      </c>
      <c r="I16" s="962">
        <f>'3C1 FE'!$C$10</f>
        <v>2.5</v>
      </c>
      <c r="J16" s="963"/>
      <c r="K16" s="963"/>
      <c r="L16" s="963"/>
      <c r="M16" s="962">
        <f>E13*G13*F13*I16*(10^(-3))</f>
        <v>1334.9211330000005</v>
      </c>
      <c r="N16" s="963"/>
      <c r="O16" s="963"/>
      <c r="P16" s="963"/>
      <c r="Q16" s="963">
        <f>+M16*'F. de Conversión'!$C$19/'F. de Conversión'!$D$31</f>
        <v>1.3349211330000004</v>
      </c>
    </row>
    <row r="17" spans="2:17" ht="16.5" customHeight="1" thickBot="1" thickTop="1">
      <c r="B17" s="1514" t="s">
        <v>862</v>
      </c>
      <c r="C17" s="1514" t="s">
        <v>862</v>
      </c>
      <c r="D17" s="1516" t="s">
        <v>205</v>
      </c>
      <c r="E17" s="1519">
        <f>'IP 3C1'!H7</f>
        <v>82880.26000000001</v>
      </c>
      <c r="F17" s="1519">
        <f>'IP 3C1'!J37</f>
        <v>5.5</v>
      </c>
      <c r="G17" s="1519">
        <f>'3C1 FE'!$D$35</f>
        <v>1</v>
      </c>
      <c r="H17" s="961" t="s">
        <v>582</v>
      </c>
      <c r="I17" s="962">
        <f>+'3C1 FE'!$C$7</f>
        <v>2.7</v>
      </c>
      <c r="J17" s="962">
        <f>E17*G17*F17*I17*(10^(-3))</f>
        <v>1230.7718610000004</v>
      </c>
      <c r="K17" s="963"/>
      <c r="L17" s="963"/>
      <c r="M17" s="963"/>
      <c r="N17" s="963">
        <f>+J17*'F. de Conversión'!$C$19/'F. de Conversión'!$D$31</f>
        <v>1.2307718610000005</v>
      </c>
      <c r="O17" s="963"/>
      <c r="P17" s="963"/>
      <c r="Q17" s="963"/>
    </row>
    <row r="18" spans="2:17" ht="15.75" thickBot="1">
      <c r="B18" s="1515"/>
      <c r="C18" s="1515"/>
      <c r="D18" s="1517"/>
      <c r="E18" s="1520"/>
      <c r="F18" s="1520"/>
      <c r="G18" s="1520"/>
      <c r="H18" s="961" t="s">
        <v>12</v>
      </c>
      <c r="I18" s="962">
        <f>'3C1 FE'!$C$8</f>
        <v>92</v>
      </c>
      <c r="J18" s="963"/>
      <c r="K18" s="962">
        <f>E17*G17*F17*I18*(10^(-3))</f>
        <v>41937.41156</v>
      </c>
      <c r="L18" s="963"/>
      <c r="M18" s="963"/>
      <c r="N18" s="963"/>
      <c r="O18" s="963">
        <f>+K18*'F. de Conversión'!$C$19/'F. de Conversión'!$D$31</f>
        <v>41.93741156</v>
      </c>
      <c r="P18" s="963"/>
      <c r="Q18" s="963"/>
    </row>
    <row r="19" spans="2:17" ht="15.75" thickBot="1">
      <c r="B19" s="1515"/>
      <c r="C19" s="1515"/>
      <c r="D19" s="1517"/>
      <c r="E19" s="1520"/>
      <c r="F19" s="1520"/>
      <c r="G19" s="1520"/>
      <c r="H19" s="961" t="s">
        <v>583</v>
      </c>
      <c r="I19" s="962">
        <f>'3C1 FE'!$C$9</f>
        <v>0.07</v>
      </c>
      <c r="J19" s="963"/>
      <c r="K19" s="963"/>
      <c r="L19" s="962">
        <f>E17*G17*F17*I19*(10^(-3))</f>
        <v>31.908900100000007</v>
      </c>
      <c r="M19" s="963"/>
      <c r="N19" s="963"/>
      <c r="O19" s="963"/>
      <c r="P19" s="963">
        <f>+L19*'F. de Conversión'!$C$19/'F. de Conversión'!$D$31</f>
        <v>0.03190890010000001</v>
      </c>
      <c r="Q19" s="963"/>
    </row>
    <row r="20" spans="2:17" ht="15.75" thickBot="1">
      <c r="B20" s="1534"/>
      <c r="C20" s="1534"/>
      <c r="D20" s="1535"/>
      <c r="E20" s="1521"/>
      <c r="F20" s="1521"/>
      <c r="G20" s="1521"/>
      <c r="H20" s="961" t="s">
        <v>584</v>
      </c>
      <c r="I20" s="962">
        <f>'3C1 FE'!$C$10</f>
        <v>2.5</v>
      </c>
      <c r="J20" s="963"/>
      <c r="K20" s="963"/>
      <c r="L20" s="963"/>
      <c r="M20" s="962">
        <f>E17*G17*F17*I20*(10^(-3))</f>
        <v>1139.6035750000003</v>
      </c>
      <c r="N20" s="963"/>
      <c r="O20" s="963"/>
      <c r="P20" s="963"/>
      <c r="Q20" s="963">
        <f>+M20*'F. de Conversión'!$C$19/'F. de Conversión'!$D$31</f>
        <v>1.1396035750000002</v>
      </c>
    </row>
    <row r="21" spans="2:17" ht="16.5" customHeight="1" thickBot="1" thickTop="1">
      <c r="B21" s="1514" t="s">
        <v>862</v>
      </c>
      <c r="C21" s="1514" t="s">
        <v>862</v>
      </c>
      <c r="D21" s="1516" t="s">
        <v>212</v>
      </c>
      <c r="E21" s="1519">
        <f>'IP 3C1'!K7</f>
        <v>7549.684</v>
      </c>
      <c r="F21" s="1519">
        <f>'IP 3C1'!J38</f>
        <v>0.2809395409927091</v>
      </c>
      <c r="G21" s="1519">
        <f>'3C1 FE'!$D$35</f>
        <v>1</v>
      </c>
      <c r="H21" s="961" t="s">
        <v>582</v>
      </c>
      <c r="I21" s="962">
        <f>+'3C1 FE'!$C$7</f>
        <v>2.7</v>
      </c>
      <c r="J21" s="962">
        <f>E21*G21*F21*I21*(10^(-3))</f>
        <v>5.726712845520001</v>
      </c>
      <c r="K21" s="963"/>
      <c r="L21" s="963"/>
      <c r="M21" s="963"/>
      <c r="N21" s="963">
        <f>+J21*'F. de Conversión'!$C$19/'F. de Conversión'!$D$31</f>
        <v>0.0057267128455200005</v>
      </c>
      <c r="O21" s="963"/>
      <c r="P21" s="963"/>
      <c r="Q21" s="963"/>
    </row>
    <row r="22" spans="2:17" ht="15.75" thickBot="1">
      <c r="B22" s="1515"/>
      <c r="C22" s="1515"/>
      <c r="D22" s="1517"/>
      <c r="E22" s="1520"/>
      <c r="F22" s="1520"/>
      <c r="G22" s="1520"/>
      <c r="H22" s="961" t="s">
        <v>12</v>
      </c>
      <c r="I22" s="962">
        <f>'3C1 FE'!$C$8</f>
        <v>92</v>
      </c>
      <c r="J22" s="963"/>
      <c r="K22" s="962">
        <f>E21*G21*F21*I22*(10^(-3))</f>
        <v>195.1324376992</v>
      </c>
      <c r="L22" s="963"/>
      <c r="M22" s="963"/>
      <c r="N22" s="963"/>
      <c r="O22" s="963">
        <f>+K22*'F. de Conversión'!$C$19/'F. de Conversión'!$D$31</f>
        <v>0.1951324376992</v>
      </c>
      <c r="P22" s="963"/>
      <c r="Q22" s="963"/>
    </row>
    <row r="23" spans="2:17" ht="15.75" thickBot="1">
      <c r="B23" s="1515"/>
      <c r="C23" s="1515"/>
      <c r="D23" s="1517"/>
      <c r="E23" s="1520"/>
      <c r="F23" s="1520"/>
      <c r="G23" s="1520"/>
      <c r="H23" s="961" t="s">
        <v>583</v>
      </c>
      <c r="I23" s="962">
        <f>'3C1 FE'!$C$9</f>
        <v>0.07</v>
      </c>
      <c r="J23" s="963"/>
      <c r="K23" s="963"/>
      <c r="L23" s="962">
        <f>E21*G21*F21*I23*(10^(-3))</f>
        <v>0.14847033303200002</v>
      </c>
      <c r="M23" s="963"/>
      <c r="N23" s="963"/>
      <c r="O23" s="963"/>
      <c r="P23" s="964">
        <f>+L23*'F. de Conversión'!$C$19/'F. de Conversión'!$D$31</f>
        <v>0.00014847033303200003</v>
      </c>
      <c r="Q23" s="963"/>
    </row>
    <row r="24" spans="2:17" ht="15.75" thickBot="1">
      <c r="B24" s="1534"/>
      <c r="C24" s="1534"/>
      <c r="D24" s="1535"/>
      <c r="E24" s="1521"/>
      <c r="F24" s="1521"/>
      <c r="G24" s="1521"/>
      <c r="H24" s="961" t="s">
        <v>584</v>
      </c>
      <c r="I24" s="962">
        <f>'3C1 FE'!$C$10</f>
        <v>2.5</v>
      </c>
      <c r="J24" s="963"/>
      <c r="K24" s="963"/>
      <c r="L24" s="963"/>
      <c r="M24" s="962">
        <f>E21*G21*F21*I24*(10^(-3))</f>
        <v>5.302511894</v>
      </c>
      <c r="N24" s="963"/>
      <c r="O24" s="963"/>
      <c r="P24" s="963"/>
      <c r="Q24" s="965">
        <f>+M24*'F. de Conversión'!$C$19/'F. de Conversión'!$D$31</f>
        <v>0.005302511894</v>
      </c>
    </row>
    <row r="25" spans="2:17" ht="15.75" thickBot="1">
      <c r="B25" s="1522" t="s">
        <v>2</v>
      </c>
      <c r="C25" s="1523"/>
      <c r="D25" s="1524"/>
      <c r="E25" s="1531"/>
      <c r="F25" s="1531"/>
      <c r="G25" s="1531"/>
      <c r="H25" s="1498" t="s">
        <v>582</v>
      </c>
      <c r="I25" s="1499"/>
      <c r="J25" s="963">
        <f>SUM(J$13:J$24)</f>
        <v>2678.213397485521</v>
      </c>
      <c r="K25" s="963"/>
      <c r="L25" s="963"/>
      <c r="M25" s="963"/>
      <c r="N25" s="966">
        <f>SUM(N$13:N$24)</f>
        <v>2.678213397485521</v>
      </c>
      <c r="O25" s="966"/>
      <c r="P25" s="966"/>
      <c r="Q25" s="966"/>
    </row>
    <row r="26" spans="2:17" ht="15.75" thickBot="1">
      <c r="B26" s="1525"/>
      <c r="C26" s="1526"/>
      <c r="D26" s="1527"/>
      <c r="E26" s="1532"/>
      <c r="F26" s="1532"/>
      <c r="G26" s="1532"/>
      <c r="H26" s="1498" t="s">
        <v>12</v>
      </c>
      <c r="I26" s="1500"/>
      <c r="J26" s="963"/>
      <c r="K26" s="963">
        <f>SUM(K$13:K$24)</f>
        <v>91257.6416920992</v>
      </c>
      <c r="L26" s="963"/>
      <c r="M26" s="963"/>
      <c r="N26" s="966"/>
      <c r="O26" s="966">
        <f>SUM(O$21:O$24)</f>
        <v>0.1951324376992</v>
      </c>
      <c r="P26" s="966"/>
      <c r="Q26" s="966"/>
    </row>
    <row r="27" spans="2:17" ht="15.75" thickBot="1">
      <c r="B27" s="1525"/>
      <c r="C27" s="1526"/>
      <c r="D27" s="1527"/>
      <c r="E27" s="1532"/>
      <c r="F27" s="1532"/>
      <c r="G27" s="1532"/>
      <c r="H27" s="1498" t="s">
        <v>583</v>
      </c>
      <c r="I27" s="1500"/>
      <c r="J27" s="963"/>
      <c r="K27" s="963"/>
      <c r="L27" s="963">
        <f>SUM(L$13:L$24)</f>
        <v>69.43516215703201</v>
      </c>
      <c r="M27" s="963"/>
      <c r="N27" s="966"/>
      <c r="O27" s="966"/>
      <c r="P27" s="966">
        <f>SUM(P$13:P$24)</f>
        <v>0.06943516215703202</v>
      </c>
      <c r="Q27" s="966"/>
    </row>
    <row r="28" spans="2:17" ht="15.75" thickBot="1">
      <c r="B28" s="1528"/>
      <c r="C28" s="1529"/>
      <c r="D28" s="1530"/>
      <c r="E28" s="1533"/>
      <c r="F28" s="1533"/>
      <c r="G28" s="1533"/>
      <c r="H28" s="1498" t="s">
        <v>584</v>
      </c>
      <c r="I28" s="1500"/>
      <c r="J28" s="963"/>
      <c r="K28" s="963"/>
      <c r="L28" s="963"/>
      <c r="M28" s="963">
        <f>SUM(M$13:M$24)</f>
        <v>2479.827219894001</v>
      </c>
      <c r="N28" s="966"/>
      <c r="O28" s="966"/>
      <c r="P28" s="966"/>
      <c r="Q28" s="966">
        <f>SUM(Q$13:Q$24)</f>
        <v>2.4798272198940006</v>
      </c>
    </row>
    <row r="29" spans="2:13" ht="15.75" customHeight="1">
      <c r="B29" s="1441" t="s">
        <v>863</v>
      </c>
      <c r="C29" s="1442"/>
      <c r="D29" s="1442"/>
      <c r="E29" s="1442"/>
      <c r="F29" s="1442"/>
      <c r="G29" s="1442"/>
      <c r="H29" s="1442"/>
      <c r="I29" s="1442"/>
      <c r="J29" s="1442"/>
      <c r="K29" s="1442"/>
      <c r="L29" s="1442"/>
      <c r="M29" s="1538"/>
    </row>
    <row r="30" spans="2:13" ht="15.75" customHeight="1" thickBot="1">
      <c r="B30" s="1539" t="s">
        <v>864</v>
      </c>
      <c r="C30" s="1540"/>
      <c r="D30" s="1540"/>
      <c r="E30" s="1540"/>
      <c r="F30" s="1540"/>
      <c r="G30" s="1540"/>
      <c r="H30" s="1540"/>
      <c r="I30" s="1540"/>
      <c r="J30" s="1540"/>
      <c r="K30" s="1540"/>
      <c r="L30" s="1540"/>
      <c r="M30" s="1541"/>
    </row>
    <row r="31" spans="2:13" ht="15.75">
      <c r="B31" s="146"/>
      <c r="C31" s="146"/>
      <c r="D31" s="146"/>
      <c r="E31" s="146"/>
      <c r="F31" s="146"/>
      <c r="G31" s="146"/>
      <c r="H31" s="146"/>
      <c r="I31" s="146"/>
      <c r="J31" s="146"/>
      <c r="K31" s="146"/>
      <c r="L31" s="146"/>
      <c r="M31" s="146"/>
    </row>
    <row r="32" ht="15.75" thickBot="1"/>
    <row r="33" spans="2:17" ht="15.75" thickBot="1">
      <c r="B33" s="1422" t="s">
        <v>0</v>
      </c>
      <c r="C33" s="1424"/>
      <c r="D33" s="1422" t="s">
        <v>381</v>
      </c>
      <c r="E33" s="1423"/>
      <c r="F33" s="1423"/>
      <c r="G33" s="1423"/>
      <c r="H33" s="1423"/>
      <c r="I33" s="1423"/>
      <c r="J33" s="1423"/>
      <c r="K33" s="1423"/>
      <c r="L33" s="1423"/>
      <c r="M33" s="1423"/>
      <c r="N33" s="1423"/>
      <c r="O33" s="1423"/>
      <c r="P33" s="1423"/>
      <c r="Q33" s="1424"/>
    </row>
    <row r="34" spans="2:17" ht="15.75" customHeight="1" thickBot="1">
      <c r="B34" s="1422" t="s">
        <v>789</v>
      </c>
      <c r="C34" s="1424"/>
      <c r="D34" s="1422" t="s">
        <v>865</v>
      </c>
      <c r="E34" s="1423"/>
      <c r="F34" s="1423"/>
      <c r="G34" s="1423"/>
      <c r="H34" s="1423"/>
      <c r="I34" s="1423"/>
      <c r="J34" s="1423"/>
      <c r="K34" s="1423"/>
      <c r="L34" s="1423"/>
      <c r="M34" s="1423"/>
      <c r="N34" s="1423"/>
      <c r="O34" s="1423"/>
      <c r="P34" s="1423"/>
      <c r="Q34" s="1424"/>
    </row>
    <row r="35" spans="2:17" ht="15.75" customHeight="1" thickBot="1">
      <c r="B35" s="1422" t="s">
        <v>791</v>
      </c>
      <c r="C35" s="1424"/>
      <c r="D35" s="1422" t="s">
        <v>13</v>
      </c>
      <c r="E35" s="1423"/>
      <c r="F35" s="1423"/>
      <c r="G35" s="1423"/>
      <c r="H35" s="1423"/>
      <c r="I35" s="1423"/>
      <c r="J35" s="1423"/>
      <c r="K35" s="1423"/>
      <c r="L35" s="1423"/>
      <c r="M35" s="1423"/>
      <c r="N35" s="1423"/>
      <c r="O35" s="1423"/>
      <c r="P35" s="1423"/>
      <c r="Q35" s="1424"/>
    </row>
    <row r="36" spans="2:17" ht="15.75" thickBot="1">
      <c r="B36" s="1422" t="s">
        <v>793</v>
      </c>
      <c r="C36" s="1424"/>
      <c r="D36" s="1422" t="s">
        <v>866</v>
      </c>
      <c r="E36" s="1423"/>
      <c r="F36" s="1423"/>
      <c r="G36" s="1423"/>
      <c r="H36" s="1423"/>
      <c r="I36" s="1423"/>
      <c r="J36" s="1423"/>
      <c r="K36" s="1423"/>
      <c r="L36" s="1423"/>
      <c r="M36" s="1423"/>
      <c r="N36" s="1423"/>
      <c r="O36" s="1423"/>
      <c r="P36" s="1423"/>
      <c r="Q36" s="1424"/>
    </row>
    <row r="37" spans="2:17" ht="15.75" customHeight="1" thickBot="1">
      <c r="B37" s="1536" t="s">
        <v>795</v>
      </c>
      <c r="C37" s="1537"/>
      <c r="D37" s="125" t="s">
        <v>867</v>
      </c>
      <c r="E37" s="1433" t="s">
        <v>828</v>
      </c>
      <c r="F37" s="1513"/>
      <c r="G37" s="1513"/>
      <c r="H37" s="1513"/>
      <c r="I37" s="1513"/>
      <c r="J37" s="1513"/>
      <c r="K37" s="1513"/>
      <c r="L37" s="1513"/>
      <c r="M37" s="1513"/>
      <c r="N37" s="1496" t="s">
        <v>839</v>
      </c>
      <c r="O37" s="1496" t="s">
        <v>836</v>
      </c>
      <c r="P37" s="1496" t="s">
        <v>840</v>
      </c>
      <c r="Q37" s="1496" t="s">
        <v>841</v>
      </c>
    </row>
    <row r="38" spans="2:18" s="1048" customFormat="1" ht="54" thickBot="1">
      <c r="B38" s="1503" t="s">
        <v>829</v>
      </c>
      <c r="C38" s="1504"/>
      <c r="D38" s="1474" t="s">
        <v>1623</v>
      </c>
      <c r="E38" s="1050" t="s">
        <v>831</v>
      </c>
      <c r="F38" s="1050" t="s">
        <v>1624</v>
      </c>
      <c r="G38" s="1050" t="s">
        <v>1625</v>
      </c>
      <c r="H38" s="1542" t="s">
        <v>834</v>
      </c>
      <c r="I38" s="1543"/>
      <c r="J38" s="1050" t="s">
        <v>1626</v>
      </c>
      <c r="K38" s="1050" t="s">
        <v>836</v>
      </c>
      <c r="L38" s="1050" t="s">
        <v>1627</v>
      </c>
      <c r="M38" s="1052" t="s">
        <v>1628</v>
      </c>
      <c r="N38" s="1497"/>
      <c r="O38" s="1497"/>
      <c r="P38" s="1497"/>
      <c r="Q38" s="1497"/>
      <c r="R38" s="80"/>
    </row>
    <row r="39" spans="2:18" s="1048" customFormat="1" ht="15" customHeight="1" thickBot="1">
      <c r="B39" s="1447" t="s">
        <v>842</v>
      </c>
      <c r="C39" s="1447" t="s">
        <v>843</v>
      </c>
      <c r="D39" s="1476"/>
      <c r="E39" s="359" t="s">
        <v>9</v>
      </c>
      <c r="F39" s="359" t="s">
        <v>1629</v>
      </c>
      <c r="G39" s="359" t="s">
        <v>5</v>
      </c>
      <c r="H39" s="1503" t="s">
        <v>1630</v>
      </c>
      <c r="I39" s="1504"/>
      <c r="J39" s="359" t="s">
        <v>1631</v>
      </c>
      <c r="K39" s="359" t="s">
        <v>847</v>
      </c>
      <c r="L39" s="359" t="s">
        <v>1632</v>
      </c>
      <c r="M39" s="359" t="s">
        <v>849</v>
      </c>
      <c r="N39" s="1496" t="s">
        <v>1633</v>
      </c>
      <c r="O39" s="1496" t="s">
        <v>429</v>
      </c>
      <c r="P39" s="1496" t="s">
        <v>585</v>
      </c>
      <c r="Q39" s="1496" t="s">
        <v>1634</v>
      </c>
      <c r="R39" s="80"/>
    </row>
    <row r="40" spans="2:18" s="1048" customFormat="1" ht="15">
      <c r="B40" s="1448"/>
      <c r="C40" s="1448"/>
      <c r="D40" s="1476"/>
      <c r="E40" s="1448"/>
      <c r="F40" s="1448" t="s">
        <v>851</v>
      </c>
      <c r="G40" s="1448" t="s">
        <v>852</v>
      </c>
      <c r="H40" s="1475" t="s">
        <v>853</v>
      </c>
      <c r="I40" s="1476"/>
      <c r="J40" s="1049" t="s">
        <v>1635</v>
      </c>
      <c r="K40" s="1049" t="s">
        <v>1636</v>
      </c>
      <c r="L40" s="1049" t="s">
        <v>1637</v>
      </c>
      <c r="M40" s="1049" t="s">
        <v>1638</v>
      </c>
      <c r="N40" s="1501"/>
      <c r="O40" s="1501"/>
      <c r="P40" s="1501"/>
      <c r="Q40" s="1501"/>
      <c r="R40" s="80"/>
    </row>
    <row r="41" spans="2:18" s="1048" customFormat="1" ht="16.5" thickBot="1">
      <c r="B41" s="1448"/>
      <c r="C41" s="1448"/>
      <c r="D41" s="1476"/>
      <c r="E41" s="1449"/>
      <c r="F41" s="1449"/>
      <c r="G41" s="1449"/>
      <c r="H41" s="1507"/>
      <c r="I41" s="1508"/>
      <c r="J41" s="1044" t="s">
        <v>1639</v>
      </c>
      <c r="K41" s="1044" t="s">
        <v>1639</v>
      </c>
      <c r="L41" s="1044" t="s">
        <v>1639</v>
      </c>
      <c r="M41" s="1044" t="s">
        <v>1639</v>
      </c>
      <c r="N41" s="1501"/>
      <c r="O41" s="1501"/>
      <c r="P41" s="1501"/>
      <c r="Q41" s="1501"/>
      <c r="R41" s="80"/>
    </row>
    <row r="42" spans="2:17" ht="15.75" thickBot="1">
      <c r="B42" s="1506"/>
      <c r="C42" s="1506"/>
      <c r="D42" s="1505"/>
      <c r="E42" s="128" t="s">
        <v>10</v>
      </c>
      <c r="F42" s="128" t="s">
        <v>579</v>
      </c>
      <c r="G42" s="128" t="s">
        <v>580</v>
      </c>
      <c r="H42" s="1509" t="s">
        <v>581</v>
      </c>
      <c r="I42" s="1510"/>
      <c r="J42" s="128" t="s">
        <v>858</v>
      </c>
      <c r="K42" s="128" t="s">
        <v>859</v>
      </c>
      <c r="L42" s="128" t="s">
        <v>860</v>
      </c>
      <c r="M42" s="128" t="s">
        <v>861</v>
      </c>
      <c r="N42" s="1502"/>
      <c r="O42" s="1502"/>
      <c r="P42" s="1502"/>
      <c r="Q42" s="1502"/>
    </row>
    <row r="43" spans="2:17" ht="16.5" thickBot="1" thickTop="1">
      <c r="B43" s="1514" t="s">
        <v>1006</v>
      </c>
      <c r="C43" s="1514" t="s">
        <v>862</v>
      </c>
      <c r="D43" s="1514" t="s">
        <v>11</v>
      </c>
      <c r="E43" s="1548">
        <v>0</v>
      </c>
      <c r="F43" s="1548">
        <f>+'3C1 FE'!$D$19</f>
        <v>6.5</v>
      </c>
      <c r="G43" s="1548">
        <f>'3C1 FE'!D35</f>
        <v>1</v>
      </c>
      <c r="H43" s="144" t="s">
        <v>582</v>
      </c>
      <c r="I43" s="145">
        <f>'3C1 FE'!$C$7</f>
        <v>2.7</v>
      </c>
      <c r="J43" s="967">
        <f>E43*G43*F43*I43*(10^(-3))</f>
        <v>0</v>
      </c>
      <c r="K43" s="968"/>
      <c r="L43" s="968"/>
      <c r="M43" s="968"/>
      <c r="N43" s="968">
        <f>+J43*'F. de Conversión'!$C$19/'F. de Conversión'!$D$31</f>
        <v>0</v>
      </c>
      <c r="O43" s="968"/>
      <c r="P43" s="968"/>
      <c r="Q43" s="968"/>
    </row>
    <row r="44" spans="2:17" ht="15.75" thickBot="1">
      <c r="B44" s="1515"/>
      <c r="C44" s="1515"/>
      <c r="D44" s="1515"/>
      <c r="E44" s="1549"/>
      <c r="F44" s="1549"/>
      <c r="G44" s="1549"/>
      <c r="H44" s="144" t="s">
        <v>12</v>
      </c>
      <c r="I44" s="145">
        <f>'3C1 FE'!$C$8</f>
        <v>92</v>
      </c>
      <c r="J44" s="968"/>
      <c r="K44" s="967">
        <f>E43*G43*F43*I44*(10^(-3))</f>
        <v>0</v>
      </c>
      <c r="L44" s="968"/>
      <c r="M44" s="968"/>
      <c r="N44" s="968"/>
      <c r="O44" s="968">
        <f>+K44*'F. de Conversión'!$C$19/'F. de Conversión'!$D$31</f>
        <v>0</v>
      </c>
      <c r="P44" s="968"/>
      <c r="Q44" s="968"/>
    </row>
    <row r="45" spans="2:17" ht="15.75" thickBot="1">
      <c r="B45" s="1515"/>
      <c r="C45" s="1515"/>
      <c r="D45" s="1515"/>
      <c r="E45" s="1549"/>
      <c r="F45" s="1549"/>
      <c r="G45" s="1549"/>
      <c r="H45" s="144" t="s">
        <v>583</v>
      </c>
      <c r="I45" s="145">
        <f>'3C1 FE'!$C$9</f>
        <v>0.07</v>
      </c>
      <c r="J45" s="968"/>
      <c r="K45" s="968"/>
      <c r="L45" s="967">
        <f>E43*G43*F43*I45*(10^(-3))</f>
        <v>0</v>
      </c>
      <c r="M45" s="968"/>
      <c r="N45" s="968"/>
      <c r="O45" s="968"/>
      <c r="P45" s="968">
        <f>+L45*'F. de Conversión'!$C$19/'F. de Conversión'!$D$31</f>
        <v>0</v>
      </c>
      <c r="Q45" s="968"/>
    </row>
    <row r="46" spans="2:17" ht="15.75" thickBot="1">
      <c r="B46" s="1515"/>
      <c r="C46" s="1515"/>
      <c r="D46" s="1547"/>
      <c r="E46" s="1550"/>
      <c r="F46" s="1550"/>
      <c r="G46" s="1550"/>
      <c r="H46" s="144" t="s">
        <v>584</v>
      </c>
      <c r="I46" s="145">
        <f>'3C1 FE'!$C$10</f>
        <v>2.5</v>
      </c>
      <c r="J46" s="968"/>
      <c r="K46" s="968"/>
      <c r="L46" s="968"/>
      <c r="M46" s="967">
        <f>E43*G43*F43*I46*(10^(-3))</f>
        <v>0</v>
      </c>
      <c r="N46" s="968"/>
      <c r="O46" s="968"/>
      <c r="P46" s="968"/>
      <c r="Q46" s="968">
        <f>+M46*'F. de Conversión'!$C$19/'F. de Conversión'!$D$31</f>
        <v>0</v>
      </c>
    </row>
    <row r="47" spans="2:17" ht="15.75" thickBot="1">
      <c r="B47" s="1522" t="s">
        <v>2</v>
      </c>
      <c r="C47" s="1523"/>
      <c r="D47" s="1524"/>
      <c r="E47" s="1531"/>
      <c r="F47" s="1531"/>
      <c r="G47" s="1531"/>
      <c r="H47" s="1544" t="s">
        <v>582</v>
      </c>
      <c r="I47" s="1545"/>
      <c r="J47" s="969">
        <f>+SUM(J43:J46)</f>
        <v>0</v>
      </c>
      <c r="K47" s="174"/>
      <c r="L47" s="174"/>
      <c r="M47" s="174"/>
      <c r="N47" s="970">
        <f>+SUM(N43:N46)</f>
        <v>0</v>
      </c>
      <c r="O47" s="971"/>
      <c r="P47" s="971"/>
      <c r="Q47" s="971"/>
    </row>
    <row r="48" spans="2:17" ht="15.75" thickBot="1">
      <c r="B48" s="1525"/>
      <c r="C48" s="1526"/>
      <c r="D48" s="1527"/>
      <c r="E48" s="1532"/>
      <c r="F48" s="1532"/>
      <c r="G48" s="1532"/>
      <c r="H48" s="1544" t="s">
        <v>12</v>
      </c>
      <c r="I48" s="1546"/>
      <c r="J48" s="174"/>
      <c r="K48" s="969">
        <f>+SUM(K43:K46)</f>
        <v>0</v>
      </c>
      <c r="L48" s="174"/>
      <c r="M48" s="174"/>
      <c r="N48" s="971"/>
      <c r="O48" s="970">
        <f>+SUM(O43:O46)</f>
        <v>0</v>
      </c>
      <c r="P48" s="971"/>
      <c r="Q48" s="971"/>
    </row>
    <row r="49" spans="2:17" ht="15.75" thickBot="1">
      <c r="B49" s="1525"/>
      <c r="C49" s="1526"/>
      <c r="D49" s="1527"/>
      <c r="E49" s="1532"/>
      <c r="F49" s="1532"/>
      <c r="G49" s="1532"/>
      <c r="H49" s="1544" t="s">
        <v>583</v>
      </c>
      <c r="I49" s="1546"/>
      <c r="J49" s="174"/>
      <c r="K49" s="174"/>
      <c r="L49" s="969">
        <f>+SUM(L43:L46)</f>
        <v>0</v>
      </c>
      <c r="M49" s="174"/>
      <c r="N49" s="971"/>
      <c r="O49" s="971"/>
      <c r="P49" s="970">
        <f>+SUM(P43:P46)</f>
        <v>0</v>
      </c>
      <c r="Q49" s="971"/>
    </row>
    <row r="50" spans="2:17" ht="15.75" thickBot="1">
      <c r="B50" s="1528"/>
      <c r="C50" s="1529"/>
      <c r="D50" s="1530"/>
      <c r="E50" s="1533"/>
      <c r="F50" s="1533"/>
      <c r="G50" s="1533"/>
      <c r="H50" s="1544" t="s">
        <v>584</v>
      </c>
      <c r="I50" s="1546"/>
      <c r="J50" s="174"/>
      <c r="K50" s="174"/>
      <c r="L50" s="174"/>
      <c r="M50" s="969">
        <f>+SUM(M43:M46)</f>
        <v>0</v>
      </c>
      <c r="N50" s="971"/>
      <c r="O50" s="971"/>
      <c r="P50" s="971"/>
      <c r="Q50" s="970">
        <f>+SUM(Q43:Q46)</f>
        <v>0</v>
      </c>
    </row>
    <row r="51" spans="2:13" ht="15.75">
      <c r="B51" s="1466" t="s">
        <v>868</v>
      </c>
      <c r="C51" s="1467"/>
      <c r="D51" s="1467"/>
      <c r="E51" s="1467"/>
      <c r="F51" s="1467"/>
      <c r="G51" s="1467"/>
      <c r="H51" s="1467"/>
      <c r="I51" s="1467"/>
      <c r="J51" s="1467"/>
      <c r="K51" s="1467"/>
      <c r="L51" s="1467"/>
      <c r="M51" s="1571"/>
    </row>
    <row r="52" spans="2:13" ht="15.75">
      <c r="B52" s="1441" t="s">
        <v>869</v>
      </c>
      <c r="C52" s="1442"/>
      <c r="D52" s="1442"/>
      <c r="E52" s="1442"/>
      <c r="F52" s="1442"/>
      <c r="G52" s="1442"/>
      <c r="H52" s="1442"/>
      <c r="I52" s="1442"/>
      <c r="J52" s="1442"/>
      <c r="K52" s="1442"/>
      <c r="L52" s="1442"/>
      <c r="M52" s="1538"/>
    </row>
    <row r="53" spans="2:13" ht="27.75" customHeight="1" thickBot="1">
      <c r="B53" s="1539" t="s">
        <v>870</v>
      </c>
      <c r="C53" s="1540"/>
      <c r="D53" s="1540"/>
      <c r="E53" s="1540"/>
      <c r="F53" s="1540"/>
      <c r="G53" s="1540"/>
      <c r="H53" s="1540"/>
      <c r="I53" s="1540"/>
      <c r="J53" s="1540"/>
      <c r="K53" s="1540"/>
      <c r="L53" s="1540"/>
      <c r="M53" s="1541"/>
    </row>
    <row r="55" ht="15.75" thickBot="1"/>
    <row r="56" spans="2:13" ht="15.75" thickBot="1">
      <c r="B56" s="1551" t="s">
        <v>0</v>
      </c>
      <c r="C56" s="1552"/>
      <c r="D56" s="1477" t="s">
        <v>381</v>
      </c>
      <c r="E56" s="1478"/>
      <c r="F56" s="1478"/>
      <c r="G56" s="1478"/>
      <c r="H56" s="1478"/>
      <c r="I56" s="1478"/>
      <c r="J56" s="1478"/>
      <c r="K56" s="1478"/>
      <c r="L56" s="1478"/>
      <c r="M56" s="1479"/>
    </row>
    <row r="57" spans="2:13" ht="15.75" customHeight="1" thickBot="1">
      <c r="B57" s="1551" t="s">
        <v>789</v>
      </c>
      <c r="C57" s="1552"/>
      <c r="D57" s="1477" t="s">
        <v>871</v>
      </c>
      <c r="E57" s="1478"/>
      <c r="F57" s="1478"/>
      <c r="G57" s="1478"/>
      <c r="H57" s="1478"/>
      <c r="I57" s="1478"/>
      <c r="J57" s="1478"/>
      <c r="K57" s="1478"/>
      <c r="L57" s="1478"/>
      <c r="M57" s="1479"/>
    </row>
    <row r="58" spans="2:13" ht="15.75" customHeight="1" thickBot="1">
      <c r="B58" s="1551" t="s">
        <v>791</v>
      </c>
      <c r="C58" s="1552"/>
      <c r="D58" s="1477" t="s">
        <v>14</v>
      </c>
      <c r="E58" s="1478"/>
      <c r="F58" s="1478"/>
      <c r="G58" s="1478"/>
      <c r="H58" s="1478"/>
      <c r="I58" s="1478"/>
      <c r="J58" s="1478"/>
      <c r="K58" s="1478"/>
      <c r="L58" s="1478"/>
      <c r="M58" s="1479"/>
    </row>
    <row r="59" spans="2:13" ht="15.75" thickBot="1">
      <c r="B59" s="1551" t="s">
        <v>793</v>
      </c>
      <c r="C59" s="1552"/>
      <c r="D59" s="1477" t="s">
        <v>825</v>
      </c>
      <c r="E59" s="1478"/>
      <c r="F59" s="1478"/>
      <c r="G59" s="1478"/>
      <c r="H59" s="1478"/>
      <c r="I59" s="1478"/>
      <c r="J59" s="1478"/>
      <c r="K59" s="1478"/>
      <c r="L59" s="1478"/>
      <c r="M59" s="1479"/>
    </row>
    <row r="60" spans="2:13" ht="15.75" thickBot="1">
      <c r="B60" s="1536" t="s">
        <v>795</v>
      </c>
      <c r="C60" s="1537"/>
      <c r="D60" s="125" t="s">
        <v>827</v>
      </c>
      <c r="E60" s="1433" t="s">
        <v>828</v>
      </c>
      <c r="F60" s="1513"/>
      <c r="G60" s="1513"/>
      <c r="H60" s="1513"/>
      <c r="I60" s="1513"/>
      <c r="J60" s="1513"/>
      <c r="K60" s="1513"/>
      <c r="L60" s="1513"/>
      <c r="M60" s="1553"/>
    </row>
    <row r="61" spans="2:18" s="1048" customFormat="1" ht="54" thickBot="1">
      <c r="B61" s="1503" t="s">
        <v>829</v>
      </c>
      <c r="C61" s="1504"/>
      <c r="D61" s="1474" t="s">
        <v>1623</v>
      </c>
      <c r="E61" s="1050" t="s">
        <v>831</v>
      </c>
      <c r="F61" s="1050" t="s">
        <v>1624</v>
      </c>
      <c r="G61" s="1050" t="s">
        <v>1625</v>
      </c>
      <c r="H61" s="1542" t="s">
        <v>834</v>
      </c>
      <c r="I61" s="1543"/>
      <c r="J61" s="1050" t="s">
        <v>1626</v>
      </c>
      <c r="K61" s="1050" t="s">
        <v>836</v>
      </c>
      <c r="L61" s="1050" t="s">
        <v>1627</v>
      </c>
      <c r="M61" s="1050" t="s">
        <v>1628</v>
      </c>
      <c r="N61" s="1062" t="s">
        <v>839</v>
      </c>
      <c r="O61" s="1063" t="s">
        <v>836</v>
      </c>
      <c r="P61" s="1063" t="s">
        <v>840</v>
      </c>
      <c r="Q61" s="1063" t="s">
        <v>841</v>
      </c>
      <c r="R61" s="80"/>
    </row>
    <row r="62" spans="2:18" s="1048" customFormat="1" ht="15" customHeight="1" thickBot="1">
      <c r="B62" s="1447" t="s">
        <v>842</v>
      </c>
      <c r="C62" s="1447" t="s">
        <v>843</v>
      </c>
      <c r="D62" s="1476"/>
      <c r="E62" s="1053" t="s">
        <v>9</v>
      </c>
      <c r="F62" s="1053" t="s">
        <v>1629</v>
      </c>
      <c r="G62" s="1053" t="s">
        <v>5</v>
      </c>
      <c r="H62" s="1473" t="s">
        <v>845</v>
      </c>
      <c r="I62" s="1474"/>
      <c r="J62" s="359" t="s">
        <v>1631</v>
      </c>
      <c r="K62" s="359" t="s">
        <v>847</v>
      </c>
      <c r="L62" s="359" t="s">
        <v>1632</v>
      </c>
      <c r="M62" s="359" t="s">
        <v>849</v>
      </c>
      <c r="N62" s="1496" t="s">
        <v>1633</v>
      </c>
      <c r="O62" s="1496" t="s">
        <v>429</v>
      </c>
      <c r="P62" s="1496" t="s">
        <v>585</v>
      </c>
      <c r="Q62" s="1496" t="s">
        <v>1634</v>
      </c>
      <c r="R62" s="80"/>
    </row>
    <row r="63" spans="2:18" s="1048" customFormat="1" ht="15">
      <c r="B63" s="1448"/>
      <c r="C63" s="1448"/>
      <c r="D63" s="1476"/>
      <c r="E63" s="1447"/>
      <c r="F63" s="1447" t="s">
        <v>851</v>
      </c>
      <c r="G63" s="1447" t="s">
        <v>852</v>
      </c>
      <c r="H63" s="1473" t="s">
        <v>853</v>
      </c>
      <c r="I63" s="1474"/>
      <c r="J63" s="1049" t="s">
        <v>1635</v>
      </c>
      <c r="K63" s="1049" t="s">
        <v>1636</v>
      </c>
      <c r="L63" s="1049" t="s">
        <v>1637</v>
      </c>
      <c r="M63" s="1049" t="s">
        <v>1638</v>
      </c>
      <c r="N63" s="1501"/>
      <c r="O63" s="1501"/>
      <c r="P63" s="1501"/>
      <c r="Q63" s="1501"/>
      <c r="R63" s="80"/>
    </row>
    <row r="64" spans="2:18" s="1048" customFormat="1" ht="16.5" thickBot="1">
      <c r="B64" s="1448"/>
      <c r="C64" s="1448"/>
      <c r="D64" s="1476"/>
      <c r="E64" s="1449"/>
      <c r="F64" s="1449"/>
      <c r="G64" s="1449"/>
      <c r="H64" s="1507"/>
      <c r="I64" s="1508"/>
      <c r="J64" s="1044" t="s">
        <v>1639</v>
      </c>
      <c r="K64" s="1044" t="s">
        <v>1639</v>
      </c>
      <c r="L64" s="1044" t="s">
        <v>1639</v>
      </c>
      <c r="M64" s="1044" t="s">
        <v>1639</v>
      </c>
      <c r="N64" s="1501"/>
      <c r="O64" s="1501"/>
      <c r="P64" s="1501"/>
      <c r="Q64" s="1501"/>
      <c r="R64" s="80"/>
    </row>
    <row r="65" spans="2:18" s="1048" customFormat="1" ht="15.75" thickBot="1">
      <c r="B65" s="1506"/>
      <c r="C65" s="1506"/>
      <c r="D65" s="1505"/>
      <c r="E65" s="128" t="s">
        <v>10</v>
      </c>
      <c r="F65" s="128" t="s">
        <v>579</v>
      </c>
      <c r="G65" s="128" t="s">
        <v>580</v>
      </c>
      <c r="H65" s="1509" t="s">
        <v>581</v>
      </c>
      <c r="I65" s="1510"/>
      <c r="J65" s="128" t="s">
        <v>858</v>
      </c>
      <c r="K65" s="128" t="s">
        <v>859</v>
      </c>
      <c r="L65" s="128" t="s">
        <v>860</v>
      </c>
      <c r="M65" s="128" t="s">
        <v>861</v>
      </c>
      <c r="N65" s="1502"/>
      <c r="O65" s="1502"/>
      <c r="P65" s="1502"/>
      <c r="Q65" s="1502"/>
      <c r="R65" s="80"/>
    </row>
    <row r="66" spans="2:17" ht="16.5" thickBot="1" thickTop="1">
      <c r="B66" s="1514" t="s">
        <v>872</v>
      </c>
      <c r="C66" s="1514" t="s">
        <v>872</v>
      </c>
      <c r="D66" s="1514" t="s">
        <v>11</v>
      </c>
      <c r="E66" s="1556">
        <f>'IP 3C1'!E44</f>
        <v>2861557.912796</v>
      </c>
      <c r="F66" s="1465">
        <f>'3C1 FE'!$D$15</f>
        <v>2.1</v>
      </c>
      <c r="G66" s="1465">
        <f>'3C1 FE'!D35</f>
        <v>1</v>
      </c>
      <c r="H66" s="144" t="s">
        <v>582</v>
      </c>
      <c r="I66" s="962">
        <f>'3C1 FE'!$D$7</f>
        <v>2.3</v>
      </c>
      <c r="J66" s="972">
        <f>E66*G66*F66*I66*(10^(-3))</f>
        <v>13821.32471880468</v>
      </c>
      <c r="K66" s="973"/>
      <c r="L66" s="973"/>
      <c r="M66" s="973"/>
      <c r="N66" s="973">
        <f>+J66*'F. de Conversión'!$C$19/'F. de Conversión'!$D$31</f>
        <v>13.82132471880468</v>
      </c>
      <c r="O66" s="973"/>
      <c r="P66" s="973"/>
      <c r="Q66" s="973"/>
    </row>
    <row r="67" spans="2:17" ht="15.75" thickBot="1">
      <c r="B67" s="1515"/>
      <c r="C67" s="1515"/>
      <c r="D67" s="1515"/>
      <c r="E67" s="1557"/>
      <c r="F67" s="1453"/>
      <c r="G67" s="1453"/>
      <c r="H67" s="144" t="s">
        <v>12</v>
      </c>
      <c r="I67" s="962">
        <f>'3C1 FE'!$D$8</f>
        <v>65</v>
      </c>
      <c r="J67" s="973"/>
      <c r="K67" s="972">
        <f>E66*G66*F66*I67*(10^(-3))</f>
        <v>390602.655096654</v>
      </c>
      <c r="L67" s="973"/>
      <c r="M67" s="973"/>
      <c r="N67" s="973"/>
      <c r="O67" s="973">
        <f>+K67*'F. de Conversión'!$C$19/'F. de Conversión'!$D$31</f>
        <v>390.6026550966541</v>
      </c>
      <c r="P67" s="973"/>
      <c r="Q67" s="973"/>
    </row>
    <row r="68" spans="2:17" ht="15.75" thickBot="1">
      <c r="B68" s="1515"/>
      <c r="C68" s="1515"/>
      <c r="D68" s="1515"/>
      <c r="E68" s="1557"/>
      <c r="F68" s="1453"/>
      <c r="G68" s="1453"/>
      <c r="H68" s="144" t="s">
        <v>583</v>
      </c>
      <c r="I68" s="962">
        <f>'3C1 FE'!$D$9</f>
        <v>0.21</v>
      </c>
      <c r="J68" s="973"/>
      <c r="K68" s="973"/>
      <c r="L68" s="972">
        <f>E66*G66*F66*I68*(10^(-3))</f>
        <v>1261.947039543036</v>
      </c>
      <c r="M68" s="973"/>
      <c r="N68" s="973"/>
      <c r="O68" s="973"/>
      <c r="P68" s="973">
        <f>+L68*'F. de Conversión'!$C$19/'F. de Conversión'!$D$31</f>
        <v>1.2619470395430359</v>
      </c>
      <c r="Q68" s="973"/>
    </row>
    <row r="69" spans="2:17" ht="15.75" thickBot="1">
      <c r="B69" s="1515"/>
      <c r="C69" s="1515"/>
      <c r="D69" s="1547"/>
      <c r="E69" s="1558"/>
      <c r="F69" s="1559"/>
      <c r="G69" s="1559"/>
      <c r="H69" s="144" t="s">
        <v>584</v>
      </c>
      <c r="I69" s="962">
        <f>'3C1 FE'!$D$10</f>
        <v>3.9</v>
      </c>
      <c r="J69" s="973"/>
      <c r="K69" s="973"/>
      <c r="L69" s="973"/>
      <c r="M69" s="972">
        <f>E66*G66*F66*I69*(10^(-3))</f>
        <v>23436.15930579924</v>
      </c>
      <c r="N69" s="973"/>
      <c r="O69" s="973"/>
      <c r="P69" s="973"/>
      <c r="Q69" s="973">
        <f>+M69*'F. de Conversión'!$C$19/'F. de Conversión'!$D$31</f>
        <v>23.43615930579924</v>
      </c>
    </row>
    <row r="70" spans="2:17" ht="15.75" thickBot="1">
      <c r="B70" s="1560" t="s">
        <v>2</v>
      </c>
      <c r="C70" s="1561"/>
      <c r="D70" s="1562"/>
      <c r="E70" s="1531"/>
      <c r="F70" s="1531"/>
      <c r="G70" s="1531"/>
      <c r="H70" s="1544" t="s">
        <v>582</v>
      </c>
      <c r="I70" s="1545"/>
      <c r="J70" s="969">
        <f>+SUM(J63:J69)</f>
        <v>13821.32471880468</v>
      </c>
      <c r="K70" s="974"/>
      <c r="L70" s="974"/>
      <c r="M70" s="974"/>
      <c r="N70" s="970">
        <f>+SUM(N63:N69)</f>
        <v>13.82132471880468</v>
      </c>
      <c r="O70" s="489"/>
      <c r="P70" s="489"/>
      <c r="Q70" s="489"/>
    </row>
    <row r="71" spans="2:17" ht="15.75" thickBot="1">
      <c r="B71" s="1563"/>
      <c r="C71" s="1564"/>
      <c r="D71" s="1565"/>
      <c r="E71" s="1532"/>
      <c r="F71" s="1532"/>
      <c r="G71" s="1532"/>
      <c r="H71" s="1544" t="s">
        <v>12</v>
      </c>
      <c r="I71" s="1546"/>
      <c r="J71" s="974"/>
      <c r="K71" s="969">
        <f>+SUM(K63:K69)</f>
        <v>390602.655096654</v>
      </c>
      <c r="L71" s="974"/>
      <c r="M71" s="974"/>
      <c r="N71" s="489"/>
      <c r="O71" s="970">
        <f>+SUM(O63:O69)</f>
        <v>390.6026550966541</v>
      </c>
      <c r="P71" s="489"/>
      <c r="Q71" s="489"/>
    </row>
    <row r="72" spans="2:17" ht="15.75" thickBot="1">
      <c r="B72" s="1563"/>
      <c r="C72" s="1564"/>
      <c r="D72" s="1565"/>
      <c r="E72" s="1532"/>
      <c r="F72" s="1532"/>
      <c r="G72" s="1532"/>
      <c r="H72" s="1544" t="s">
        <v>583</v>
      </c>
      <c r="I72" s="1546"/>
      <c r="J72" s="974"/>
      <c r="K72" s="974"/>
      <c r="L72" s="969">
        <f>+SUM(L63:L69)</f>
        <v>1261.947039543036</v>
      </c>
      <c r="M72" s="974"/>
      <c r="N72" s="489"/>
      <c r="O72" s="489"/>
      <c r="P72" s="970">
        <f>+SUM(P63:P69)</f>
        <v>1.2619470395430359</v>
      </c>
      <c r="Q72" s="489"/>
    </row>
    <row r="73" spans="2:17" ht="15.75" thickBot="1">
      <c r="B73" s="1566"/>
      <c r="C73" s="1567"/>
      <c r="D73" s="1568"/>
      <c r="E73" s="1533"/>
      <c r="F73" s="1533"/>
      <c r="G73" s="1533"/>
      <c r="H73" s="1544" t="s">
        <v>584</v>
      </c>
      <c r="I73" s="1546"/>
      <c r="J73" s="974"/>
      <c r="K73" s="974"/>
      <c r="L73" s="974"/>
      <c r="M73" s="969">
        <f>+SUM(M63:M69)</f>
        <v>23436.15930579924</v>
      </c>
      <c r="N73" s="489"/>
      <c r="O73" s="489"/>
      <c r="P73" s="489"/>
      <c r="Q73" s="970">
        <f>+SUM(Q63:Q69)</f>
        <v>23.43615930579924</v>
      </c>
    </row>
    <row r="74" spans="2:13" ht="15.75" customHeight="1">
      <c r="B74" s="1466" t="s">
        <v>863</v>
      </c>
      <c r="C74" s="1467"/>
      <c r="D74" s="1467"/>
      <c r="E74" s="1467"/>
      <c r="F74" s="1467"/>
      <c r="G74" s="1467"/>
      <c r="H74" s="1467"/>
      <c r="I74" s="1467"/>
      <c r="J74" s="1467"/>
      <c r="K74" s="1467"/>
      <c r="L74" s="1467"/>
      <c r="M74" s="1571"/>
    </row>
    <row r="75" spans="2:13" ht="30.75" customHeight="1" thickBot="1">
      <c r="B75" s="1539" t="s">
        <v>864</v>
      </c>
      <c r="C75" s="1540"/>
      <c r="D75" s="1540"/>
      <c r="E75" s="1540"/>
      <c r="F75" s="1540"/>
      <c r="G75" s="1540"/>
      <c r="H75" s="1540"/>
      <c r="I75" s="1540"/>
      <c r="J75" s="1540"/>
      <c r="K75" s="1540"/>
      <c r="L75" s="1540"/>
      <c r="M75" s="1541"/>
    </row>
    <row r="77" ht="15.75" thickBot="1"/>
    <row r="78" spans="2:13" ht="15.75" thickBot="1">
      <c r="B78" s="1551" t="s">
        <v>0</v>
      </c>
      <c r="C78" s="1552"/>
      <c r="D78" s="1477" t="s">
        <v>381</v>
      </c>
      <c r="E78" s="1478"/>
      <c r="F78" s="1478"/>
      <c r="G78" s="1478"/>
      <c r="H78" s="1478"/>
      <c r="I78" s="1478"/>
      <c r="J78" s="1478"/>
      <c r="K78" s="1478"/>
      <c r="L78" s="1478"/>
      <c r="M78" s="1479"/>
    </row>
    <row r="79" spans="2:13" ht="15.75" customHeight="1" thickBot="1">
      <c r="B79" s="1551" t="s">
        <v>789</v>
      </c>
      <c r="C79" s="1552"/>
      <c r="D79" s="1477" t="s">
        <v>873</v>
      </c>
      <c r="E79" s="1478"/>
      <c r="F79" s="1478"/>
      <c r="G79" s="1478"/>
      <c r="H79" s="1478"/>
      <c r="I79" s="1478"/>
      <c r="J79" s="1478"/>
      <c r="K79" s="1478"/>
      <c r="L79" s="1478"/>
      <c r="M79" s="1479"/>
    </row>
    <row r="80" spans="2:13" ht="15.75" customHeight="1" thickBot="1">
      <c r="B80" s="1551" t="s">
        <v>791</v>
      </c>
      <c r="C80" s="1552"/>
      <c r="D80" s="1477" t="s">
        <v>14</v>
      </c>
      <c r="E80" s="1478"/>
      <c r="F80" s="1478"/>
      <c r="G80" s="1478"/>
      <c r="H80" s="1478"/>
      <c r="I80" s="1478"/>
      <c r="J80" s="1478"/>
      <c r="K80" s="1478"/>
      <c r="L80" s="1478"/>
      <c r="M80" s="1479"/>
    </row>
    <row r="81" spans="2:13" ht="15.75" thickBot="1">
      <c r="B81" s="1551" t="s">
        <v>793</v>
      </c>
      <c r="C81" s="1552"/>
      <c r="D81" s="1477" t="s">
        <v>866</v>
      </c>
      <c r="E81" s="1478"/>
      <c r="F81" s="1478"/>
      <c r="G81" s="1478"/>
      <c r="H81" s="1478"/>
      <c r="I81" s="1478"/>
      <c r="J81" s="1478"/>
      <c r="K81" s="1478"/>
      <c r="L81" s="1478"/>
      <c r="M81" s="1479"/>
    </row>
    <row r="82" spans="2:13" ht="15.75" thickBot="1">
      <c r="B82" s="1536" t="s">
        <v>795</v>
      </c>
      <c r="C82" s="1537"/>
      <c r="D82" s="125" t="s">
        <v>827</v>
      </c>
      <c r="E82" s="1433" t="s">
        <v>828</v>
      </c>
      <c r="F82" s="1513"/>
      <c r="G82" s="1513"/>
      <c r="H82" s="1513"/>
      <c r="I82" s="1513"/>
      <c r="J82" s="1513"/>
      <c r="K82" s="1513"/>
      <c r="L82" s="1513"/>
      <c r="M82" s="1434"/>
    </row>
    <row r="83" spans="2:17" ht="54" thickBot="1">
      <c r="B83" s="1577" t="s">
        <v>829</v>
      </c>
      <c r="C83" s="1578"/>
      <c r="D83" s="1555" t="s">
        <v>830</v>
      </c>
      <c r="E83" s="126" t="s">
        <v>831</v>
      </c>
      <c r="F83" s="126" t="s">
        <v>832</v>
      </c>
      <c r="G83" s="126" t="s">
        <v>833</v>
      </c>
      <c r="H83" s="1581" t="s">
        <v>834</v>
      </c>
      <c r="I83" s="1582"/>
      <c r="J83" s="126" t="s">
        <v>835</v>
      </c>
      <c r="K83" s="126" t="s">
        <v>836</v>
      </c>
      <c r="L83" s="126" t="s">
        <v>837</v>
      </c>
      <c r="M83" s="126" t="s">
        <v>838</v>
      </c>
      <c r="N83" s="142" t="s">
        <v>874</v>
      </c>
      <c r="O83" s="143" t="s">
        <v>836</v>
      </c>
      <c r="P83" s="143" t="s">
        <v>837</v>
      </c>
      <c r="Q83" s="143" t="s">
        <v>841</v>
      </c>
    </row>
    <row r="84" spans="2:17" ht="15" customHeight="1">
      <c r="B84" s="1569" t="s">
        <v>842</v>
      </c>
      <c r="C84" s="1569" t="s">
        <v>877</v>
      </c>
      <c r="D84" s="1579"/>
      <c r="E84" s="1569" t="s">
        <v>9</v>
      </c>
      <c r="F84" s="1569" t="s">
        <v>844</v>
      </c>
      <c r="G84" s="1569" t="s">
        <v>5</v>
      </c>
      <c r="H84" s="1554" t="s">
        <v>845</v>
      </c>
      <c r="I84" s="1555"/>
      <c r="J84" s="1569" t="s">
        <v>846</v>
      </c>
      <c r="K84" s="1569" t="s">
        <v>847</v>
      </c>
      <c r="L84" s="1569" t="s">
        <v>848</v>
      </c>
      <c r="M84" s="1569" t="s">
        <v>849</v>
      </c>
      <c r="N84" s="1572" t="s">
        <v>575</v>
      </c>
      <c r="O84" s="1572" t="s">
        <v>429</v>
      </c>
      <c r="P84" s="1572" t="s">
        <v>576</v>
      </c>
      <c r="Q84" s="1572" t="s">
        <v>577</v>
      </c>
    </row>
    <row r="85" spans="2:17" ht="15.75" thickBot="1">
      <c r="B85" s="1515"/>
      <c r="C85" s="1515"/>
      <c r="D85" s="1579"/>
      <c r="E85" s="1534"/>
      <c r="F85" s="1534"/>
      <c r="G85" s="1534"/>
      <c r="H85" s="1575" t="s">
        <v>850</v>
      </c>
      <c r="I85" s="1576"/>
      <c r="J85" s="1534"/>
      <c r="K85" s="1534"/>
      <c r="L85" s="1534"/>
      <c r="M85" s="1534"/>
      <c r="N85" s="1573"/>
      <c r="O85" s="1573"/>
      <c r="P85" s="1573"/>
      <c r="Q85" s="1573"/>
    </row>
    <row r="86" spans="2:17" ht="15">
      <c r="B86" s="1515"/>
      <c r="C86" s="1515"/>
      <c r="D86" s="1579"/>
      <c r="E86" s="1569"/>
      <c r="F86" s="1569" t="s">
        <v>851</v>
      </c>
      <c r="G86" s="1569" t="s">
        <v>852</v>
      </c>
      <c r="H86" s="1554" t="s">
        <v>853</v>
      </c>
      <c r="I86" s="1555"/>
      <c r="J86" s="271" t="s">
        <v>854</v>
      </c>
      <c r="K86" s="271" t="s">
        <v>855</v>
      </c>
      <c r="L86" s="271" t="s">
        <v>856</v>
      </c>
      <c r="M86" s="271" t="s">
        <v>857</v>
      </c>
      <c r="N86" s="1573"/>
      <c r="O86" s="1573"/>
      <c r="P86" s="1573"/>
      <c r="Q86" s="1573"/>
    </row>
    <row r="87" spans="2:17" ht="16.5" thickBot="1">
      <c r="B87" s="1515"/>
      <c r="C87" s="1515"/>
      <c r="D87" s="1579"/>
      <c r="E87" s="1534"/>
      <c r="F87" s="1534"/>
      <c r="G87" s="1534"/>
      <c r="H87" s="1575"/>
      <c r="I87" s="1576"/>
      <c r="J87" s="272" t="s">
        <v>578</v>
      </c>
      <c r="K87" s="272" t="s">
        <v>578</v>
      </c>
      <c r="L87" s="272" t="s">
        <v>578</v>
      </c>
      <c r="M87" s="272" t="s">
        <v>578</v>
      </c>
      <c r="N87" s="1573"/>
      <c r="O87" s="1573"/>
      <c r="P87" s="1573"/>
      <c r="Q87" s="1573"/>
    </row>
    <row r="88" spans="2:17" ht="15.75" thickBot="1">
      <c r="B88" s="1583"/>
      <c r="C88" s="1583"/>
      <c r="D88" s="1580"/>
      <c r="E88" s="128" t="s">
        <v>10</v>
      </c>
      <c r="F88" s="128" t="s">
        <v>579</v>
      </c>
      <c r="G88" s="128" t="s">
        <v>580</v>
      </c>
      <c r="H88" s="1509" t="s">
        <v>581</v>
      </c>
      <c r="I88" s="1510"/>
      <c r="J88" s="128" t="s">
        <v>858</v>
      </c>
      <c r="K88" s="128" t="s">
        <v>859</v>
      </c>
      <c r="L88" s="128" t="s">
        <v>860</v>
      </c>
      <c r="M88" s="128" t="s">
        <v>861</v>
      </c>
      <c r="N88" s="1574"/>
      <c r="O88" s="1574"/>
      <c r="P88" s="1574"/>
      <c r="Q88" s="1574"/>
    </row>
    <row r="89" spans="2:17" ht="16.5" thickBot="1" thickTop="1">
      <c r="B89" s="1514" t="s">
        <v>876</v>
      </c>
      <c r="C89" s="1514" t="s">
        <v>872</v>
      </c>
      <c r="D89" s="1514" t="s">
        <v>11</v>
      </c>
      <c r="E89" s="1556">
        <f>'IP 3C1'!E48</f>
        <v>0</v>
      </c>
      <c r="F89" s="1465">
        <f>'3C1 FE'!$D$15</f>
        <v>2.1</v>
      </c>
      <c r="G89" s="1465">
        <f>'3C1 FE'!D35</f>
        <v>1</v>
      </c>
      <c r="H89" s="144" t="s">
        <v>582</v>
      </c>
      <c r="I89" s="145">
        <f>'3C1 FE'!$D$7</f>
        <v>2.3</v>
      </c>
      <c r="J89" s="967">
        <f>E89*G89*F89*I89*(10^(-3))</f>
        <v>0</v>
      </c>
      <c r="K89" s="968"/>
      <c r="L89" s="968"/>
      <c r="M89" s="968"/>
      <c r="N89" s="968">
        <f>+J89*'F. de Conversión'!$C$19/'F. de Conversión'!$D$31</f>
        <v>0</v>
      </c>
      <c r="O89" s="968"/>
      <c r="P89" s="968"/>
      <c r="Q89" s="968"/>
    </row>
    <row r="90" spans="2:17" ht="15.75" thickBot="1">
      <c r="B90" s="1515"/>
      <c r="C90" s="1515"/>
      <c r="D90" s="1515"/>
      <c r="E90" s="1557"/>
      <c r="F90" s="1453"/>
      <c r="G90" s="1453"/>
      <c r="H90" s="144" t="s">
        <v>12</v>
      </c>
      <c r="I90" s="145">
        <f>'3C1 FE'!$D$8</f>
        <v>65</v>
      </c>
      <c r="J90" s="968"/>
      <c r="K90" s="967">
        <f>E89*G89*F89*I90*(10^(-3))</f>
        <v>0</v>
      </c>
      <c r="L90" s="968"/>
      <c r="M90" s="968"/>
      <c r="N90" s="968"/>
      <c r="O90" s="968">
        <f>+K90*'F. de Conversión'!$C$19/'F. de Conversión'!$D$31</f>
        <v>0</v>
      </c>
      <c r="P90" s="968"/>
      <c r="Q90" s="968"/>
    </row>
    <row r="91" spans="2:17" ht="15.75" thickBot="1">
      <c r="B91" s="1515"/>
      <c r="C91" s="1515"/>
      <c r="D91" s="1515"/>
      <c r="E91" s="1557"/>
      <c r="F91" s="1453"/>
      <c r="G91" s="1453"/>
      <c r="H91" s="144" t="s">
        <v>583</v>
      </c>
      <c r="I91" s="145">
        <f>'3C1 FE'!$D$9</f>
        <v>0.21</v>
      </c>
      <c r="J91" s="968"/>
      <c r="K91" s="968"/>
      <c r="L91" s="967">
        <f>E89*G89*F89*I91*(10^(-3))</f>
        <v>0</v>
      </c>
      <c r="M91" s="968"/>
      <c r="N91" s="968"/>
      <c r="O91" s="968"/>
      <c r="P91" s="968">
        <f>+L91*'F. de Conversión'!$C$19/'F. de Conversión'!$D$31</f>
        <v>0</v>
      </c>
      <c r="Q91" s="968"/>
    </row>
    <row r="92" spans="2:17" ht="15.75" thickBot="1">
      <c r="B92" s="1515"/>
      <c r="C92" s="1515"/>
      <c r="D92" s="1534"/>
      <c r="E92" s="1558"/>
      <c r="F92" s="1559"/>
      <c r="G92" s="1559"/>
      <c r="H92" s="144" t="s">
        <v>584</v>
      </c>
      <c r="I92" s="145">
        <f>'3C1 FE'!$D$10</f>
        <v>3.9</v>
      </c>
      <c r="J92" s="968"/>
      <c r="K92" s="968"/>
      <c r="L92" s="968"/>
      <c r="M92" s="967">
        <f>E89*G89*F89*I92*(10^(-3))</f>
        <v>0</v>
      </c>
      <c r="N92" s="968"/>
      <c r="O92" s="968"/>
      <c r="P92" s="968"/>
      <c r="Q92" s="968">
        <f>+M92*'F. de Conversión'!$C$19/'F. de Conversión'!$D$31</f>
        <v>0</v>
      </c>
    </row>
    <row r="93" spans="2:17" ht="15.75" thickBot="1">
      <c r="B93" s="1522" t="s">
        <v>2</v>
      </c>
      <c r="C93" s="1523"/>
      <c r="D93" s="1524"/>
      <c r="E93" s="1570"/>
      <c r="F93" s="1570"/>
      <c r="G93" s="1570"/>
      <c r="H93" s="1544" t="s">
        <v>582</v>
      </c>
      <c r="I93" s="1545"/>
      <c r="J93" s="969">
        <f>+SUM(J85:J92)</f>
        <v>0</v>
      </c>
      <c r="K93" s="174"/>
      <c r="L93" s="174"/>
      <c r="M93" s="174"/>
      <c r="N93" s="970">
        <f>+SUM(N85:N92)</f>
        <v>0</v>
      </c>
      <c r="O93" s="971"/>
      <c r="P93" s="971"/>
      <c r="Q93" s="971"/>
    </row>
    <row r="94" spans="2:17" ht="15.75" thickBot="1">
      <c r="B94" s="1525"/>
      <c r="C94" s="1526"/>
      <c r="D94" s="1527"/>
      <c r="E94" s="1532"/>
      <c r="F94" s="1532"/>
      <c r="G94" s="1532"/>
      <c r="H94" s="1544" t="s">
        <v>12</v>
      </c>
      <c r="I94" s="1545"/>
      <c r="J94" s="174"/>
      <c r="K94" s="969">
        <f>+SUM(K85:K92)</f>
        <v>0</v>
      </c>
      <c r="L94" s="174"/>
      <c r="M94" s="174"/>
      <c r="N94" s="971"/>
      <c r="O94" s="970">
        <f>+SUM(O85:O92)</f>
        <v>0</v>
      </c>
      <c r="P94" s="971"/>
      <c r="Q94" s="971"/>
    </row>
    <row r="95" spans="2:17" ht="15.75" thickBot="1">
      <c r="B95" s="1525"/>
      <c r="C95" s="1526"/>
      <c r="D95" s="1527"/>
      <c r="E95" s="1532"/>
      <c r="F95" s="1532"/>
      <c r="G95" s="1532"/>
      <c r="H95" s="1544" t="s">
        <v>583</v>
      </c>
      <c r="I95" s="1545"/>
      <c r="J95" s="174"/>
      <c r="K95" s="174"/>
      <c r="L95" s="969">
        <f>+SUM(L85:L92)</f>
        <v>0</v>
      </c>
      <c r="M95" s="174"/>
      <c r="N95" s="971"/>
      <c r="O95" s="971"/>
      <c r="P95" s="970">
        <f>+SUM(P85:P92)</f>
        <v>0</v>
      </c>
      <c r="Q95" s="971"/>
    </row>
    <row r="96" spans="2:17" ht="15.75" thickBot="1">
      <c r="B96" s="1528"/>
      <c r="C96" s="1529"/>
      <c r="D96" s="1530"/>
      <c r="E96" s="1533"/>
      <c r="F96" s="1533"/>
      <c r="G96" s="1533"/>
      <c r="H96" s="1544" t="s">
        <v>584</v>
      </c>
      <c r="I96" s="1545"/>
      <c r="J96" s="174"/>
      <c r="K96" s="174"/>
      <c r="L96" s="174"/>
      <c r="M96" s="969">
        <f>+SUM(M85:M92)</f>
        <v>0</v>
      </c>
      <c r="N96" s="971"/>
      <c r="O96" s="971"/>
      <c r="P96" s="971"/>
      <c r="Q96" s="970">
        <f>+SUM(Q85:Q92)</f>
        <v>0</v>
      </c>
    </row>
    <row r="97" spans="2:13" ht="15.75">
      <c r="B97" s="1466" t="s">
        <v>875</v>
      </c>
      <c r="C97" s="1467"/>
      <c r="D97" s="1467"/>
      <c r="E97" s="1467"/>
      <c r="F97" s="1467"/>
      <c r="G97" s="1467"/>
      <c r="H97" s="1467"/>
      <c r="I97" s="1467"/>
      <c r="J97" s="1467"/>
      <c r="K97" s="1467"/>
      <c r="L97" s="1467"/>
      <c r="M97" s="1571"/>
    </row>
    <row r="98" spans="2:13" ht="15.75">
      <c r="B98" s="1441" t="s">
        <v>869</v>
      </c>
      <c r="C98" s="1442"/>
      <c r="D98" s="1442"/>
      <c r="E98" s="1442"/>
      <c r="F98" s="1442"/>
      <c r="G98" s="1442"/>
      <c r="H98" s="1442"/>
      <c r="I98" s="1442"/>
      <c r="J98" s="1442"/>
      <c r="K98" s="1442"/>
      <c r="L98" s="1442"/>
      <c r="M98" s="1538"/>
    </row>
    <row r="99" spans="2:13" ht="30.75" customHeight="1" thickBot="1">
      <c r="B99" s="1539" t="s">
        <v>870</v>
      </c>
      <c r="C99" s="1540"/>
      <c r="D99" s="1540"/>
      <c r="E99" s="1540"/>
      <c r="F99" s="1540"/>
      <c r="G99" s="1540"/>
      <c r="H99" s="1540"/>
      <c r="I99" s="1540"/>
      <c r="J99" s="1540"/>
      <c r="K99" s="1540"/>
      <c r="L99" s="1540"/>
      <c r="M99" s="1541"/>
    </row>
  </sheetData>
  <mergeCells count="201">
    <mergeCell ref="O84:O88"/>
    <mergeCell ref="P84:P88"/>
    <mergeCell ref="Q84:Q88"/>
    <mergeCell ref="M84:M85"/>
    <mergeCell ref="O39:O42"/>
    <mergeCell ref="P39:P42"/>
    <mergeCell ref="Q39:Q42"/>
    <mergeCell ref="D89:D92"/>
    <mergeCell ref="E89:E92"/>
    <mergeCell ref="F89:F92"/>
    <mergeCell ref="G89:G92"/>
    <mergeCell ref="F70:F73"/>
    <mergeCell ref="G70:G73"/>
    <mergeCell ref="E63:E64"/>
    <mergeCell ref="F63:F64"/>
    <mergeCell ref="G63:G64"/>
    <mergeCell ref="H63:I64"/>
    <mergeCell ref="B51:M51"/>
    <mergeCell ref="B52:M52"/>
    <mergeCell ref="B53:M53"/>
    <mergeCell ref="B56:C56"/>
    <mergeCell ref="D56:M56"/>
    <mergeCell ref="B57:C57"/>
    <mergeCell ref="N62:N65"/>
    <mergeCell ref="O62:O65"/>
    <mergeCell ref="P62:P65"/>
    <mergeCell ref="Q62:Q65"/>
    <mergeCell ref="N84:N88"/>
    <mergeCell ref="J84:J85"/>
    <mergeCell ref="K84:K85"/>
    <mergeCell ref="L84:L85"/>
    <mergeCell ref="H88:I88"/>
    <mergeCell ref="H85:I85"/>
    <mergeCell ref="B74:M74"/>
    <mergeCell ref="B75:M75"/>
    <mergeCell ref="B81:C81"/>
    <mergeCell ref="D81:M81"/>
    <mergeCell ref="B82:C82"/>
    <mergeCell ref="E82:M82"/>
    <mergeCell ref="B83:C83"/>
    <mergeCell ref="D83:D88"/>
    <mergeCell ref="H83:I83"/>
    <mergeCell ref="B84:B88"/>
    <mergeCell ref="C84:C88"/>
    <mergeCell ref="E84:E85"/>
    <mergeCell ref="H86:I87"/>
    <mergeCell ref="F84:F85"/>
    <mergeCell ref="G84:G85"/>
    <mergeCell ref="E86:E87"/>
    <mergeCell ref="F86:F87"/>
    <mergeCell ref="G86:G87"/>
    <mergeCell ref="N8:N12"/>
    <mergeCell ref="N39:N42"/>
    <mergeCell ref="B98:M98"/>
    <mergeCell ref="B99:M99"/>
    <mergeCell ref="B93:D96"/>
    <mergeCell ref="E93:E96"/>
    <mergeCell ref="F93:F96"/>
    <mergeCell ref="G93:G96"/>
    <mergeCell ref="H93:I93"/>
    <mergeCell ref="H94:I94"/>
    <mergeCell ref="H95:I95"/>
    <mergeCell ref="H96:I96"/>
    <mergeCell ref="B97:M97"/>
    <mergeCell ref="B89:B92"/>
    <mergeCell ref="C89:C92"/>
    <mergeCell ref="B80:C80"/>
    <mergeCell ref="D80:M80"/>
    <mergeCell ref="H70:I70"/>
    <mergeCell ref="H71:I71"/>
    <mergeCell ref="H72:I72"/>
    <mergeCell ref="H73:I73"/>
    <mergeCell ref="H84:I84"/>
    <mergeCell ref="B66:B69"/>
    <mergeCell ref="C66:C69"/>
    <mergeCell ref="D66:D69"/>
    <mergeCell ref="E66:E69"/>
    <mergeCell ref="F66:F69"/>
    <mergeCell ref="G66:G69"/>
    <mergeCell ref="B78:C78"/>
    <mergeCell ref="D78:M78"/>
    <mergeCell ref="B79:C79"/>
    <mergeCell ref="D79:M79"/>
    <mergeCell ref="B70:D73"/>
    <mergeCell ref="E70:E73"/>
    <mergeCell ref="B61:C61"/>
    <mergeCell ref="D61:D65"/>
    <mergeCell ref="H61:I61"/>
    <mergeCell ref="B62:B65"/>
    <mergeCell ref="C62:C65"/>
    <mergeCell ref="H62:I62"/>
    <mergeCell ref="H65:I65"/>
    <mergeCell ref="B58:C58"/>
    <mergeCell ref="D58:M58"/>
    <mergeCell ref="B59:C59"/>
    <mergeCell ref="D59:M59"/>
    <mergeCell ref="B60:C60"/>
    <mergeCell ref="E60:M60"/>
    <mergeCell ref="D57:M57"/>
    <mergeCell ref="F40:F41"/>
    <mergeCell ref="G40:G41"/>
    <mergeCell ref="H40:I41"/>
    <mergeCell ref="B47:D50"/>
    <mergeCell ref="E47:E50"/>
    <mergeCell ref="F47:F50"/>
    <mergeCell ref="G47:G50"/>
    <mergeCell ref="H47:I47"/>
    <mergeCell ref="H48:I48"/>
    <mergeCell ref="H49:I49"/>
    <mergeCell ref="H50:I50"/>
    <mergeCell ref="B43:B46"/>
    <mergeCell ref="C43:C46"/>
    <mergeCell ref="D43:D46"/>
    <mergeCell ref="E43:E46"/>
    <mergeCell ref="F43:F46"/>
    <mergeCell ref="G43:G46"/>
    <mergeCell ref="B35:C35"/>
    <mergeCell ref="B36:C36"/>
    <mergeCell ref="B37:C37"/>
    <mergeCell ref="E37:M37"/>
    <mergeCell ref="B29:M29"/>
    <mergeCell ref="B30:M30"/>
    <mergeCell ref="B33:C33"/>
    <mergeCell ref="B34:C34"/>
    <mergeCell ref="B38:C38"/>
    <mergeCell ref="D38:D42"/>
    <mergeCell ref="H38:I38"/>
    <mergeCell ref="B39:B42"/>
    <mergeCell ref="C39:C42"/>
    <mergeCell ref="H42:I42"/>
    <mergeCell ref="H39:I39"/>
    <mergeCell ref="E40:E41"/>
    <mergeCell ref="B13:B16"/>
    <mergeCell ref="C13:C16"/>
    <mergeCell ref="D13:D16"/>
    <mergeCell ref="E13:E16"/>
    <mergeCell ref="G13:G16"/>
    <mergeCell ref="F13:F16"/>
    <mergeCell ref="B25:D28"/>
    <mergeCell ref="E25:E28"/>
    <mergeCell ref="F25:F28"/>
    <mergeCell ref="G25:G28"/>
    <mergeCell ref="B17:B20"/>
    <mergeCell ref="C17:C20"/>
    <mergeCell ref="D17:D20"/>
    <mergeCell ref="E17:E20"/>
    <mergeCell ref="F17:F20"/>
    <mergeCell ref="G17:G20"/>
    <mergeCell ref="B21:B24"/>
    <mergeCell ref="C21:C24"/>
    <mergeCell ref="D21:D24"/>
    <mergeCell ref="E21:E24"/>
    <mergeCell ref="F21:F24"/>
    <mergeCell ref="G21:G24"/>
    <mergeCell ref="B2:C2"/>
    <mergeCell ref="D2:M2"/>
    <mergeCell ref="B3:C3"/>
    <mergeCell ref="D3:M3"/>
    <mergeCell ref="B4:C4"/>
    <mergeCell ref="D4:M4"/>
    <mergeCell ref="B5:C5"/>
    <mergeCell ref="D5:M5"/>
    <mergeCell ref="B6:C6"/>
    <mergeCell ref="E6:M6"/>
    <mergeCell ref="B7:C7"/>
    <mergeCell ref="D7:D12"/>
    <mergeCell ref="H7:I7"/>
    <mergeCell ref="B8:B12"/>
    <mergeCell ref="C8:C12"/>
    <mergeCell ref="E8:E9"/>
    <mergeCell ref="M8:M9"/>
    <mergeCell ref="E10:E11"/>
    <mergeCell ref="F10:F11"/>
    <mergeCell ref="G10:G11"/>
    <mergeCell ref="H10:I11"/>
    <mergeCell ref="F8:F9"/>
    <mergeCell ref="G8:G9"/>
    <mergeCell ref="J8:J9"/>
    <mergeCell ref="K8:K9"/>
    <mergeCell ref="L8:L9"/>
    <mergeCell ref="H12:I12"/>
    <mergeCell ref="H8:I9"/>
    <mergeCell ref="N6:N7"/>
    <mergeCell ref="O6:O7"/>
    <mergeCell ref="P6:P7"/>
    <mergeCell ref="Q6:Q7"/>
    <mergeCell ref="N37:N38"/>
    <mergeCell ref="O37:O38"/>
    <mergeCell ref="P37:P38"/>
    <mergeCell ref="Q37:Q38"/>
    <mergeCell ref="D33:Q33"/>
    <mergeCell ref="D34:Q34"/>
    <mergeCell ref="D35:Q35"/>
    <mergeCell ref="D36:Q36"/>
    <mergeCell ref="H25:I25"/>
    <mergeCell ref="H26:I26"/>
    <mergeCell ref="H27:I27"/>
    <mergeCell ref="H28:I28"/>
    <mergeCell ref="O8:O12"/>
    <mergeCell ref="P8:P12"/>
    <mergeCell ref="Q8:Q12"/>
  </mergeCells>
  <printOptions/>
  <pageMargins left="0.7" right="0.7" top="0.75" bottom="0.75" header="0.3" footer="0.3"/>
  <pageSetup horizontalDpi="300" verticalDpi="300" orientation="portrait" r:id="rId4"/>
  <drawing r:id="rId3"/>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D9D9D9"/>
  </sheetPr>
  <dimension ref="B2:K14"/>
  <sheetViews>
    <sheetView workbookViewId="0" topLeftCell="A1">
      <selection activeCell="O20" sqref="O20"/>
    </sheetView>
  </sheetViews>
  <sheetFormatPr defaultColWidth="10.8515625" defaultRowHeight="15"/>
  <cols>
    <col min="1" max="1" width="3.421875" style="0" customWidth="1"/>
    <col min="2" max="2" width="17.57421875" style="53" customWidth="1"/>
    <col min="3" max="3" width="16.7109375" style="53" customWidth="1"/>
    <col min="4" max="4" width="18.421875" style="53" customWidth="1"/>
    <col min="5" max="6" width="16.7109375" style="53" customWidth="1"/>
    <col min="7" max="7" width="18.00390625" style="53" customWidth="1"/>
    <col min="8" max="9" width="10.8515625" style="53" customWidth="1"/>
  </cols>
  <sheetData>
    <row r="1" ht="15.75" thickBot="1"/>
    <row r="2" spans="2:11" ht="15.75" thickBot="1">
      <c r="B2" s="510" t="s">
        <v>0</v>
      </c>
      <c r="C2" s="1477" t="s">
        <v>381</v>
      </c>
      <c r="D2" s="1478"/>
      <c r="E2" s="1478"/>
      <c r="F2" s="1478"/>
      <c r="G2" s="1587"/>
      <c r="I2"/>
      <c r="K2" t="s">
        <v>695</v>
      </c>
    </row>
    <row r="3" spans="2:7" ht="15" thickBot="1">
      <c r="B3" s="511" t="s">
        <v>363</v>
      </c>
      <c r="C3" s="1477" t="s">
        <v>878</v>
      </c>
      <c r="D3" s="1478"/>
      <c r="E3" s="1478"/>
      <c r="F3" s="1478"/>
      <c r="G3" s="1587"/>
    </row>
    <row r="4" spans="2:7" ht="15" customHeight="1" thickBot="1">
      <c r="B4" s="511" t="s">
        <v>879</v>
      </c>
      <c r="C4" s="1477" t="s">
        <v>16</v>
      </c>
      <c r="D4" s="1478"/>
      <c r="E4" s="1478"/>
      <c r="F4" s="1478"/>
      <c r="G4" s="1587"/>
    </row>
    <row r="5" spans="2:7" ht="13.5" thickBot="1">
      <c r="B5" s="511" t="s">
        <v>793</v>
      </c>
      <c r="C5" s="1477" t="s">
        <v>794</v>
      </c>
      <c r="D5" s="1478"/>
      <c r="E5" s="1478"/>
      <c r="F5" s="1478"/>
      <c r="G5" s="1587"/>
    </row>
    <row r="6" spans="2:7" ht="13.5" thickBot="1">
      <c r="B6" s="1059" t="s">
        <v>795</v>
      </c>
      <c r="C6" s="1461" t="s">
        <v>880</v>
      </c>
      <c r="D6" s="1462"/>
      <c r="E6" s="1462"/>
      <c r="F6" s="1462"/>
      <c r="G6" s="1463"/>
    </row>
    <row r="7" spans="2:8" ht="49.5" thickBot="1">
      <c r="B7" s="1447" t="s">
        <v>881</v>
      </c>
      <c r="C7" s="1057" t="s">
        <v>1660</v>
      </c>
      <c r="D7" s="1057" t="s">
        <v>549</v>
      </c>
      <c r="E7" s="1057" t="s">
        <v>1661</v>
      </c>
      <c r="F7" s="1057" t="s">
        <v>549</v>
      </c>
      <c r="G7" s="1057" t="s">
        <v>882</v>
      </c>
      <c r="H7" s="276" t="s">
        <v>883</v>
      </c>
    </row>
    <row r="8" spans="2:8" ht="41.25" thickBot="1">
      <c r="B8" s="1448"/>
      <c r="C8" s="1044" t="s">
        <v>1662</v>
      </c>
      <c r="D8" s="1044" t="s">
        <v>1663</v>
      </c>
      <c r="E8" s="1044" t="s">
        <v>1662</v>
      </c>
      <c r="F8" s="1044" t="s">
        <v>1664</v>
      </c>
      <c r="G8" s="1045" t="s">
        <v>1665</v>
      </c>
      <c r="H8" s="1584" t="s">
        <v>1041</v>
      </c>
    </row>
    <row r="9" spans="2:8" ht="43.5" thickBot="1">
      <c r="B9" s="1448"/>
      <c r="C9" s="1044"/>
      <c r="D9" s="1044" t="s">
        <v>884</v>
      </c>
      <c r="E9" s="1044"/>
      <c r="F9" s="1044" t="s">
        <v>885</v>
      </c>
      <c r="G9" s="1045" t="s">
        <v>1666</v>
      </c>
      <c r="H9" s="1585"/>
    </row>
    <row r="10" spans="2:8" ht="15.75" thickBot="1">
      <c r="B10" s="1506"/>
      <c r="C10" s="128" t="s">
        <v>886</v>
      </c>
      <c r="D10" s="128" t="s">
        <v>887</v>
      </c>
      <c r="E10" s="128" t="s">
        <v>888</v>
      </c>
      <c r="F10" s="128" t="s">
        <v>889</v>
      </c>
      <c r="G10" s="214" t="s">
        <v>890</v>
      </c>
      <c r="H10" s="1586"/>
    </row>
    <row r="11" spans="2:8" ht="16.5" thickBot="1" thickTop="1">
      <c r="B11" s="331" t="s">
        <v>891</v>
      </c>
      <c r="C11" s="151" t="str">
        <f>+'IP 3C2'!C4</f>
        <v>NE</v>
      </c>
      <c r="D11" s="151">
        <f>'3C2 FE'!C7</f>
        <v>0.12</v>
      </c>
      <c r="E11" s="152"/>
      <c r="F11" s="152"/>
      <c r="G11" s="130" t="str">
        <f>IF(C11="NE","NE",(C11*D11))</f>
        <v>NE</v>
      </c>
      <c r="H11" s="1060" t="str">
        <f>IF(G11="NE","NE",((G11*'[1]F'!$C$17/'[1]F'!$C$26)*44/12))</f>
        <v>NE</v>
      </c>
    </row>
    <row r="12" spans="2:8" ht="15.75" thickBot="1">
      <c r="B12" s="331" t="s">
        <v>892</v>
      </c>
      <c r="C12" s="152"/>
      <c r="D12" s="152"/>
      <c r="E12" s="151" t="str">
        <f>+'IP 3C2'!C5</f>
        <v>NE</v>
      </c>
      <c r="F12" s="151">
        <f>'3C2 FE'!C8</f>
        <v>0.13</v>
      </c>
      <c r="G12" s="130" t="str">
        <f>IF(E12="NE","NE",(E12*F12))</f>
        <v>NE</v>
      </c>
      <c r="H12" s="1060" t="str">
        <f>IF(G12="NE","NE",((G12*'[1]F'!$C$17/'[1]F'!$C$26)*44/12))</f>
        <v>NE</v>
      </c>
    </row>
    <row r="13" spans="2:8" ht="15.75" thickBot="1">
      <c r="B13" s="153" t="s">
        <v>2</v>
      </c>
      <c r="C13" s="152"/>
      <c r="D13" s="152"/>
      <c r="E13" s="152"/>
      <c r="F13" s="152"/>
      <c r="G13" s="326">
        <f>+SUM(G11:G12)</f>
        <v>0</v>
      </c>
      <c r="H13" s="1061">
        <f>+SUM(H11:H12)</f>
        <v>0</v>
      </c>
    </row>
    <row r="14" ht="15">
      <c r="B14" s="80"/>
    </row>
  </sheetData>
  <mergeCells count="7">
    <mergeCell ref="H8:H10"/>
    <mergeCell ref="B7:B10"/>
    <mergeCell ref="C2:G2"/>
    <mergeCell ref="C3:G3"/>
    <mergeCell ref="C4:G4"/>
    <mergeCell ref="C5:G5"/>
    <mergeCell ref="C6:G6"/>
  </mergeCells>
  <printOptions/>
  <pageMargins left="0.7" right="0.7" top="0.75" bottom="0.7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D9D9D9"/>
  </sheetPr>
  <dimension ref="B2:H13"/>
  <sheetViews>
    <sheetView workbookViewId="0" topLeftCell="A1">
      <selection activeCell="G21" sqref="G21"/>
    </sheetView>
  </sheetViews>
  <sheetFormatPr defaultColWidth="10.8515625" defaultRowHeight="15"/>
  <cols>
    <col min="1" max="1" width="3.421875" style="0" customWidth="1"/>
    <col min="2" max="2" width="18.8515625" style="53" customWidth="1"/>
    <col min="3" max="5" width="18.7109375" style="53" customWidth="1"/>
    <col min="6" max="6" width="17.28125" style="53" customWidth="1"/>
    <col min="7" max="8" width="10.8515625" style="53" customWidth="1"/>
  </cols>
  <sheetData>
    <row r="1" ht="15.75" thickBot="1"/>
    <row r="2" spans="2:6" ht="13.5" thickBot="1">
      <c r="B2" s="510" t="s">
        <v>0</v>
      </c>
      <c r="C2" s="1422" t="s">
        <v>381</v>
      </c>
      <c r="D2" s="1423"/>
      <c r="E2" s="1423"/>
      <c r="F2" s="1424"/>
    </row>
    <row r="3" spans="2:6" ht="15.75" customHeight="1" thickBot="1">
      <c r="B3" s="511" t="s">
        <v>363</v>
      </c>
      <c r="C3" s="1422" t="s">
        <v>899</v>
      </c>
      <c r="D3" s="1423"/>
      <c r="E3" s="1423"/>
      <c r="F3" s="1424"/>
    </row>
    <row r="4" spans="2:6" ht="26.25" thickBot="1">
      <c r="B4" s="511" t="s">
        <v>879</v>
      </c>
      <c r="C4" s="1422" t="s">
        <v>17</v>
      </c>
      <c r="D4" s="1423"/>
      <c r="E4" s="1423"/>
      <c r="F4" s="1424"/>
    </row>
    <row r="5" spans="2:8" ht="15.75" thickBot="1">
      <c r="B5" s="511" t="s">
        <v>793</v>
      </c>
      <c r="C5" s="1422" t="s">
        <v>794</v>
      </c>
      <c r="D5" s="1423"/>
      <c r="E5" s="1423"/>
      <c r="F5" s="1424"/>
      <c r="H5" t="s">
        <v>695</v>
      </c>
    </row>
    <row r="6" spans="2:6" ht="13.5" thickBot="1">
      <c r="B6" s="149" t="s">
        <v>795</v>
      </c>
      <c r="C6" s="1433" t="s">
        <v>893</v>
      </c>
      <c r="D6" s="1513"/>
      <c r="E6" s="1513"/>
      <c r="F6" s="1588" t="s">
        <v>897</v>
      </c>
    </row>
    <row r="7" spans="2:6" ht="72" thickBot="1">
      <c r="B7" s="1447" t="s">
        <v>894</v>
      </c>
      <c r="C7" s="1050" t="s">
        <v>895</v>
      </c>
      <c r="D7" s="1050" t="s">
        <v>896</v>
      </c>
      <c r="E7" s="1052" t="s">
        <v>1667</v>
      </c>
      <c r="F7" s="1592"/>
    </row>
    <row r="8" spans="2:6" ht="12.75">
      <c r="B8" s="1448"/>
      <c r="C8" s="1447" t="s">
        <v>1668</v>
      </c>
      <c r="D8" s="1447" t="s">
        <v>1669</v>
      </c>
      <c r="E8" s="1447" t="s">
        <v>1670</v>
      </c>
      <c r="F8" s="1588" t="s">
        <v>586</v>
      </c>
    </row>
    <row r="9" spans="2:6" ht="23.25" customHeight="1" thickBot="1">
      <c r="B9" s="1448"/>
      <c r="C9" s="1449"/>
      <c r="D9" s="1591"/>
      <c r="E9" s="1449"/>
      <c r="F9" s="1589"/>
    </row>
    <row r="10" spans="2:6" ht="15.75" thickBot="1">
      <c r="B10" s="1448"/>
      <c r="C10" s="1044"/>
      <c r="D10" s="1044" t="s">
        <v>898</v>
      </c>
      <c r="E10" s="1044" t="s">
        <v>1671</v>
      </c>
      <c r="F10" s="1589"/>
    </row>
    <row r="11" spans="2:6" ht="15.75" thickBot="1">
      <c r="B11" s="1506"/>
      <c r="C11" s="128" t="s">
        <v>18</v>
      </c>
      <c r="D11" s="128" t="s">
        <v>19</v>
      </c>
      <c r="E11" s="128" t="s">
        <v>890</v>
      </c>
      <c r="F11" s="1590"/>
    </row>
    <row r="12" spans="2:6" ht="16.5" thickBot="1" thickTop="1">
      <c r="B12" s="154" t="s">
        <v>159</v>
      </c>
      <c r="C12" s="151">
        <f>'IP 3C3'!C5</f>
        <v>399004</v>
      </c>
      <c r="D12" s="155">
        <f>'3C3 FE'!C7</f>
        <v>0.2</v>
      </c>
      <c r="E12" s="156">
        <f>C12*D12</f>
        <v>79800.8</v>
      </c>
      <c r="F12" s="156">
        <f>+(E12*'F. de Conversión'!C19/'F. de Conversión'!D31)*44/12</f>
        <v>292.6029333333333</v>
      </c>
    </row>
    <row r="13" spans="2:6" ht="15.75" thickBot="1">
      <c r="B13" s="153" t="s">
        <v>2</v>
      </c>
      <c r="C13" s="135"/>
      <c r="D13" s="135"/>
      <c r="E13" s="157">
        <f>SUM(E12)</f>
        <v>79800.8</v>
      </c>
      <c r="F13" s="157">
        <f>SUM(F12)</f>
        <v>292.6029333333333</v>
      </c>
    </row>
  </sheetData>
  <mergeCells count="11">
    <mergeCell ref="B7:B11"/>
    <mergeCell ref="C8:C9"/>
    <mergeCell ref="D8:D9"/>
    <mergeCell ref="E8:E9"/>
    <mergeCell ref="F6:F7"/>
    <mergeCell ref="C6:E6"/>
    <mergeCell ref="C5:F5"/>
    <mergeCell ref="C2:F2"/>
    <mergeCell ref="C3:F3"/>
    <mergeCell ref="C4:F4"/>
    <mergeCell ref="F8:F11"/>
  </mergeCells>
  <printOptions/>
  <pageMargins left="0.7" right="0.7" top="0.75" bottom="0.75" header="0.3" footer="0.3"/>
  <pageSetup horizontalDpi="300" verticalDpi="300" orientation="portrait" r:id="rId2"/>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D9D9D9"/>
  </sheetPr>
  <dimension ref="B2:M41"/>
  <sheetViews>
    <sheetView workbookViewId="0" topLeftCell="A10">
      <selection activeCell="E14" sqref="E14"/>
    </sheetView>
  </sheetViews>
  <sheetFormatPr defaultColWidth="10.8515625" defaultRowHeight="15"/>
  <cols>
    <col min="1" max="1" width="3.57421875" style="0" customWidth="1"/>
    <col min="2" max="2" width="12.7109375" style="53" customWidth="1"/>
    <col min="3" max="3" width="15.57421875" style="53" customWidth="1"/>
    <col min="4" max="4" width="19.421875" style="53" customWidth="1"/>
    <col min="5" max="10" width="16.7109375" style="53" customWidth="1"/>
    <col min="11" max="14" width="10.8515625" style="53" customWidth="1"/>
  </cols>
  <sheetData>
    <row r="1" ht="15.75" thickBot="1"/>
    <row r="2" spans="2:8" ht="15.75" thickBot="1">
      <c r="B2" s="1422" t="s">
        <v>0</v>
      </c>
      <c r="C2" s="1424"/>
      <c r="D2" s="1477" t="s">
        <v>381</v>
      </c>
      <c r="E2" s="1478"/>
      <c r="F2" s="1478"/>
      <c r="G2" s="1478"/>
      <c r="H2" s="1587"/>
    </row>
    <row r="3" spans="2:8" ht="15.75" thickBot="1">
      <c r="B3" s="1422" t="s">
        <v>789</v>
      </c>
      <c r="C3" s="1424"/>
      <c r="D3" s="1477" t="s">
        <v>900</v>
      </c>
      <c r="E3" s="1478"/>
      <c r="F3" s="1478"/>
      <c r="G3" s="1478"/>
      <c r="H3" s="1587"/>
    </row>
    <row r="4" spans="2:8" ht="15.75" customHeight="1" thickBot="1">
      <c r="B4" s="1422" t="s">
        <v>791</v>
      </c>
      <c r="C4" s="1424"/>
      <c r="D4" s="1477" t="s">
        <v>20</v>
      </c>
      <c r="E4" s="1478"/>
      <c r="F4" s="1478"/>
      <c r="G4" s="1478"/>
      <c r="H4" s="1587"/>
    </row>
    <row r="5" spans="2:10" ht="15.75" thickBot="1">
      <c r="B5" s="1422" t="s">
        <v>793</v>
      </c>
      <c r="C5" s="1424"/>
      <c r="D5" s="1477" t="s">
        <v>825</v>
      </c>
      <c r="E5" s="1478"/>
      <c r="F5" s="1478"/>
      <c r="G5" s="1478"/>
      <c r="H5" s="1587"/>
      <c r="I5" s="486"/>
      <c r="J5" t="s">
        <v>695</v>
      </c>
    </row>
    <row r="6" spans="2:9" ht="15.75" thickBot="1">
      <c r="B6" s="1511" t="s">
        <v>795</v>
      </c>
      <c r="C6" s="1512"/>
      <c r="D6" s="1433" t="s">
        <v>901</v>
      </c>
      <c r="E6" s="1513"/>
      <c r="F6" s="1513"/>
      <c r="G6" s="1513"/>
      <c r="H6" s="1553"/>
      <c r="I6" s="486"/>
    </row>
    <row r="7" spans="2:9" ht="53.25" thickBot="1">
      <c r="B7" s="1554" t="s">
        <v>902</v>
      </c>
      <c r="C7" s="1593"/>
      <c r="D7" s="1598" t="s">
        <v>903</v>
      </c>
      <c r="E7" s="1599"/>
      <c r="F7" s="1598" t="s">
        <v>904</v>
      </c>
      <c r="G7" s="1599"/>
      <c r="H7" s="126" t="s">
        <v>905</v>
      </c>
      <c r="I7" s="486"/>
    </row>
    <row r="8" spans="2:9" ht="16.5" thickBot="1">
      <c r="B8" s="1594"/>
      <c r="C8" s="1595"/>
      <c r="D8" s="1600" t="s">
        <v>814</v>
      </c>
      <c r="E8" s="1593"/>
      <c r="F8" s="1600" t="s">
        <v>906</v>
      </c>
      <c r="G8" s="1601"/>
      <c r="H8" s="158" t="s">
        <v>907</v>
      </c>
      <c r="I8" s="486"/>
    </row>
    <row r="9" spans="2:9" ht="27.75" thickBot="1">
      <c r="B9" s="1594"/>
      <c r="C9" s="1595"/>
      <c r="D9" s="1602"/>
      <c r="E9" s="1603"/>
      <c r="F9" s="1602" t="s">
        <v>908</v>
      </c>
      <c r="G9" s="1603"/>
      <c r="H9" s="272" t="s">
        <v>909</v>
      </c>
      <c r="I9" s="486"/>
    </row>
    <row r="10" spans="2:9" ht="15.75" thickBot="1">
      <c r="B10" s="1596"/>
      <c r="C10" s="1597"/>
      <c r="D10" s="1604" t="s">
        <v>21</v>
      </c>
      <c r="E10" s="1605"/>
      <c r="F10" s="1604" t="s">
        <v>19</v>
      </c>
      <c r="G10" s="1605"/>
      <c r="H10" s="159" t="s">
        <v>910</v>
      </c>
      <c r="I10" s="486"/>
    </row>
    <row r="11" spans="2:9" ht="28.5" thickBot="1" thickTop="1">
      <c r="B11" s="1606" t="s">
        <v>911</v>
      </c>
      <c r="C11" s="160" t="s">
        <v>912</v>
      </c>
      <c r="D11" s="161" t="s">
        <v>913</v>
      </c>
      <c r="E11" s="512">
        <f>'IP 3C4_3C5'!C16</f>
        <v>252085747</v>
      </c>
      <c r="F11" s="1609" t="s">
        <v>587</v>
      </c>
      <c r="G11" s="512">
        <f>'3C4 FE'!$C$7</f>
        <v>0.01</v>
      </c>
      <c r="H11" s="512">
        <f aca="true" t="shared" si="0" ref="H11:H17">E11*G11</f>
        <v>2520857.47</v>
      </c>
      <c r="I11" s="486"/>
    </row>
    <row r="12" spans="2:9" ht="40.5" thickBot="1">
      <c r="B12" s="1607"/>
      <c r="C12" s="160" t="s">
        <v>914</v>
      </c>
      <c r="D12" s="161" t="s">
        <v>915</v>
      </c>
      <c r="E12" s="512">
        <f>'IP 3C4_3C5'!G48</f>
        <v>84043470.37422732</v>
      </c>
      <c r="F12" s="1610"/>
      <c r="G12" s="512">
        <f>'3C4 FE'!$C$7</f>
        <v>0.01</v>
      </c>
      <c r="H12" s="512">
        <f t="shared" si="0"/>
        <v>840434.7037422732</v>
      </c>
      <c r="I12" s="486"/>
    </row>
    <row r="13" spans="2:9" ht="27.75" thickBot="1">
      <c r="B13" s="1607"/>
      <c r="C13" s="160" t="s">
        <v>916</v>
      </c>
      <c r="D13" s="161" t="s">
        <v>917</v>
      </c>
      <c r="E13" s="512">
        <f>+'IP 3C4_3C5'!Q102</f>
        <v>335851816.57711184</v>
      </c>
      <c r="F13" s="1610"/>
      <c r="G13" s="512">
        <f>'3C4 FE'!$C$7</f>
        <v>0.01</v>
      </c>
      <c r="H13" s="512">
        <f t="shared" si="0"/>
        <v>3358518.1657711184</v>
      </c>
      <c r="I13" s="486"/>
    </row>
    <row r="14" spans="2:9" ht="104.25" thickBot="1">
      <c r="B14" s="1608"/>
      <c r="C14" s="160" t="s">
        <v>918</v>
      </c>
      <c r="D14" s="161" t="s">
        <v>919</v>
      </c>
      <c r="E14" s="512">
        <f>'IP 3C4_3C5'!E169</f>
        <v>2858.7869177607977</v>
      </c>
      <c r="F14" s="1611"/>
      <c r="G14" s="512">
        <f>'3C4 FE'!$C$7</f>
        <v>0.01</v>
      </c>
      <c r="H14" s="512">
        <f t="shared" si="0"/>
        <v>28.587869177607978</v>
      </c>
      <c r="I14" s="486"/>
    </row>
    <row r="15" spans="2:9" ht="39.75" customHeight="1" thickBot="1">
      <c r="B15" s="1612" t="s">
        <v>923</v>
      </c>
      <c r="C15" s="160" t="s">
        <v>912</v>
      </c>
      <c r="D15" s="161" t="s">
        <v>920</v>
      </c>
      <c r="E15" s="512">
        <f>'IP 3C4_3C5'!E20</f>
        <v>77835898</v>
      </c>
      <c r="F15" s="1613" t="s">
        <v>589</v>
      </c>
      <c r="G15" s="513">
        <f>'3C4 FE'!$C$8</f>
        <v>0.003</v>
      </c>
      <c r="H15" s="512">
        <f t="shared" si="0"/>
        <v>233507.69400000002</v>
      </c>
      <c r="I15" s="486"/>
    </row>
    <row r="16" spans="2:9" ht="40.5" thickBot="1">
      <c r="B16" s="1607"/>
      <c r="C16" s="160" t="s">
        <v>914</v>
      </c>
      <c r="D16" s="161" t="s">
        <v>588</v>
      </c>
      <c r="E16" s="512" t="s">
        <v>378</v>
      </c>
      <c r="F16" s="1610"/>
      <c r="G16" s="513">
        <f>'3C4 FE'!$C$8</f>
        <v>0.003</v>
      </c>
      <c r="H16" s="514" t="s">
        <v>378</v>
      </c>
      <c r="I16" s="486"/>
    </row>
    <row r="17" spans="2:9" ht="26.25" thickBot="1">
      <c r="B17" s="1607"/>
      <c r="C17" s="160" t="s">
        <v>916</v>
      </c>
      <c r="D17" s="161" t="s">
        <v>921</v>
      </c>
      <c r="E17" s="512">
        <f>'IP 3C4_3C5'!Q67</f>
        <v>31300855.070110194</v>
      </c>
      <c r="F17" s="1610"/>
      <c r="G17" s="513">
        <f>'3C4 FE'!$C$8</f>
        <v>0.003</v>
      </c>
      <c r="H17" s="512">
        <f t="shared" si="0"/>
        <v>93902.56521033059</v>
      </c>
      <c r="I17" s="486"/>
    </row>
    <row r="18" spans="2:9" ht="102.75" thickBot="1">
      <c r="B18" s="1608"/>
      <c r="C18" s="160" t="s">
        <v>918</v>
      </c>
      <c r="D18" s="161" t="s">
        <v>922</v>
      </c>
      <c r="E18" s="514" t="s">
        <v>462</v>
      </c>
      <c r="F18" s="1611"/>
      <c r="G18" s="513">
        <f>'3C4 FE'!$C$8</f>
        <v>0.003</v>
      </c>
      <c r="H18" s="514" t="s">
        <v>462</v>
      </c>
      <c r="I18" s="486"/>
    </row>
    <row r="19" spans="2:9" ht="15.75" thickBot="1">
      <c r="B19" s="1614" t="s">
        <v>2</v>
      </c>
      <c r="C19" s="1615"/>
      <c r="D19" s="162"/>
      <c r="E19" s="162"/>
      <c r="F19" s="163"/>
      <c r="G19" s="162"/>
      <c r="H19" s="164">
        <f>SUM(H11:H14,H15:H18)</f>
        <v>7047249.186592899</v>
      </c>
      <c r="I19" s="486"/>
    </row>
    <row r="20" spans="2:9" ht="30" customHeight="1">
      <c r="B20" s="1616" t="s">
        <v>1165</v>
      </c>
      <c r="C20" s="1617"/>
      <c r="D20" s="1617"/>
      <c r="E20" s="1617"/>
      <c r="F20" s="1617"/>
      <c r="G20" s="1617"/>
      <c r="H20" s="1617"/>
      <c r="I20" s="486"/>
    </row>
    <row r="21" ht="15.75" thickBot="1"/>
    <row r="22" spans="2:10" ht="15.75" thickBot="1">
      <c r="B22" s="1422" t="s">
        <v>0</v>
      </c>
      <c r="C22" s="1424"/>
      <c r="D22" s="1477" t="s">
        <v>381</v>
      </c>
      <c r="E22" s="1478"/>
      <c r="F22" s="1478"/>
      <c r="G22" s="1478"/>
      <c r="H22" s="1478"/>
      <c r="I22" s="1478"/>
      <c r="J22" s="1479"/>
    </row>
    <row r="23" spans="2:10" ht="15.75" thickBot="1">
      <c r="B23" s="1422" t="s">
        <v>789</v>
      </c>
      <c r="C23" s="1424"/>
      <c r="D23" s="1477" t="s">
        <v>900</v>
      </c>
      <c r="E23" s="1478"/>
      <c r="F23" s="1478"/>
      <c r="G23" s="1478"/>
      <c r="H23" s="1478"/>
      <c r="I23" s="1478"/>
      <c r="J23" s="1479"/>
    </row>
    <row r="24" spans="2:10" ht="15.75" customHeight="1" thickBot="1">
      <c r="B24" s="1422" t="s">
        <v>791</v>
      </c>
      <c r="C24" s="1424"/>
      <c r="D24" s="1477" t="s">
        <v>20</v>
      </c>
      <c r="E24" s="1478"/>
      <c r="F24" s="1478"/>
      <c r="G24" s="1478"/>
      <c r="H24" s="1478"/>
      <c r="I24" s="1478"/>
      <c r="J24" s="1479"/>
    </row>
    <row r="25" spans="2:13" ht="15.75" thickBot="1">
      <c r="B25" s="1422" t="s">
        <v>793</v>
      </c>
      <c r="C25" s="1424"/>
      <c r="D25" s="1477" t="s">
        <v>866</v>
      </c>
      <c r="E25" s="1478"/>
      <c r="F25" s="1478"/>
      <c r="G25" s="1478"/>
      <c r="H25" s="1478"/>
      <c r="I25" s="1478"/>
      <c r="J25" s="1479"/>
      <c r="M25"/>
    </row>
    <row r="26" spans="2:10" ht="15.75" thickBot="1">
      <c r="B26" s="1511" t="s">
        <v>795</v>
      </c>
      <c r="C26" s="1512"/>
      <c r="D26" s="1433" t="s">
        <v>901</v>
      </c>
      <c r="E26" s="1513"/>
      <c r="F26" s="1513"/>
      <c r="G26" s="1513"/>
      <c r="H26" s="1513"/>
      <c r="I26" s="1513"/>
      <c r="J26" s="1434"/>
    </row>
    <row r="27" spans="2:11" ht="117" thickBot="1">
      <c r="B27" s="1554" t="s">
        <v>924</v>
      </c>
      <c r="C27" s="1555"/>
      <c r="D27" s="126" t="s">
        <v>925</v>
      </c>
      <c r="E27" s="126" t="s">
        <v>1676</v>
      </c>
      <c r="F27" s="126" t="s">
        <v>926</v>
      </c>
      <c r="G27" s="126" t="s">
        <v>927</v>
      </c>
      <c r="H27" s="126" t="s">
        <v>928</v>
      </c>
      <c r="I27" s="126" t="s">
        <v>929</v>
      </c>
      <c r="J27" s="126" t="s">
        <v>930</v>
      </c>
      <c r="K27" s="147" t="s">
        <v>729</v>
      </c>
    </row>
    <row r="28" spans="2:11" ht="15" customHeight="1">
      <c r="B28" s="1594"/>
      <c r="C28" s="1579"/>
      <c r="D28" s="1625" t="s">
        <v>9</v>
      </c>
      <c r="E28" s="132" t="s">
        <v>590</v>
      </c>
      <c r="F28" s="1625" t="s">
        <v>907</v>
      </c>
      <c r="G28" s="1625" t="s">
        <v>814</v>
      </c>
      <c r="H28" s="132" t="s">
        <v>567</v>
      </c>
      <c r="I28" s="1625" t="s">
        <v>931</v>
      </c>
      <c r="J28" s="132" t="s">
        <v>590</v>
      </c>
      <c r="K28" s="1496" t="s">
        <v>585</v>
      </c>
    </row>
    <row r="29" spans="2:11" ht="16.5" thickBot="1">
      <c r="B29" s="1594"/>
      <c r="C29" s="1579"/>
      <c r="D29" s="1626"/>
      <c r="E29" s="127" t="s">
        <v>932</v>
      </c>
      <c r="F29" s="1626"/>
      <c r="G29" s="1626"/>
      <c r="H29" s="127" t="s">
        <v>933</v>
      </c>
      <c r="I29" s="1626"/>
      <c r="J29" s="127" t="s">
        <v>815</v>
      </c>
      <c r="K29" s="1501"/>
    </row>
    <row r="30" spans="2:11" ht="43.5" thickBot="1">
      <c r="B30" s="1594"/>
      <c r="C30" s="1579"/>
      <c r="D30" s="127"/>
      <c r="E30" s="127" t="s">
        <v>908</v>
      </c>
      <c r="F30" s="127" t="s">
        <v>591</v>
      </c>
      <c r="G30" s="127"/>
      <c r="H30" s="127" t="s">
        <v>908</v>
      </c>
      <c r="I30" s="127" t="s">
        <v>592</v>
      </c>
      <c r="J30" s="127" t="s">
        <v>934</v>
      </c>
      <c r="K30" s="1501"/>
    </row>
    <row r="31" spans="2:11" ht="15.75" thickBot="1">
      <c r="B31" s="1596"/>
      <c r="C31" s="1580"/>
      <c r="D31" s="128" t="s">
        <v>593</v>
      </c>
      <c r="E31" s="128" t="s">
        <v>594</v>
      </c>
      <c r="F31" s="159" t="s">
        <v>595</v>
      </c>
      <c r="G31" s="128" t="s">
        <v>596</v>
      </c>
      <c r="H31" s="128" t="s">
        <v>597</v>
      </c>
      <c r="I31" s="128" t="s">
        <v>598</v>
      </c>
      <c r="J31" s="128" t="s">
        <v>935</v>
      </c>
      <c r="K31" s="1497"/>
    </row>
    <row r="32" spans="2:11" ht="16.5" customHeight="1" thickBot="1" thickTop="1">
      <c r="B32" s="1609" t="s">
        <v>936</v>
      </c>
      <c r="C32" s="272" t="s">
        <v>22</v>
      </c>
      <c r="D32" s="1097">
        <f>'IP 3C4_3C5'!E177</f>
        <v>0</v>
      </c>
      <c r="E32" s="172">
        <f>'3C4 FE'!C9</f>
        <v>8</v>
      </c>
      <c r="F32" s="487">
        <f>D32*E32</f>
        <v>0</v>
      </c>
      <c r="G32" s="152"/>
      <c r="H32" s="152"/>
      <c r="I32" s="152"/>
      <c r="J32" s="152"/>
      <c r="K32" s="152"/>
    </row>
    <row r="33" spans="2:11" ht="15.75" thickBot="1">
      <c r="B33" s="1610"/>
      <c r="C33" s="272" t="s">
        <v>23</v>
      </c>
      <c r="D33" s="1097">
        <f>'IP 3C4_3C5'!E178</f>
        <v>0</v>
      </c>
      <c r="E33" s="172">
        <f>'3C4 FE'!C10</f>
        <v>16</v>
      </c>
      <c r="F33" s="487">
        <f>D33*E33</f>
        <v>0</v>
      </c>
      <c r="G33" s="152"/>
      <c r="H33" s="152"/>
      <c r="I33" s="152"/>
      <c r="J33" s="152"/>
      <c r="K33" s="152"/>
    </row>
    <row r="34" spans="2:11" ht="15.75" thickBot="1">
      <c r="B34" s="1610"/>
      <c r="C34" s="272" t="s">
        <v>24</v>
      </c>
      <c r="D34" s="1097">
        <f>'IP 3C4_3C5'!E179</f>
        <v>0</v>
      </c>
      <c r="E34" s="172">
        <f>'3C4 FE'!C11</f>
        <v>0.6</v>
      </c>
      <c r="F34" s="487">
        <f>D34*E34</f>
        <v>0</v>
      </c>
      <c r="G34" s="152"/>
      <c r="H34" s="152"/>
      <c r="I34" s="152"/>
      <c r="J34" s="152"/>
      <c r="K34" s="152"/>
    </row>
    <row r="35" spans="2:11" ht="15.75" thickBot="1">
      <c r="B35" s="1610"/>
      <c r="C35" s="272" t="s">
        <v>25</v>
      </c>
      <c r="D35" s="1097">
        <f>'IP 3C4_3C5'!E180</f>
        <v>0</v>
      </c>
      <c r="E35" s="172">
        <f>'3C4 FE'!C12</f>
        <v>0.1</v>
      </c>
      <c r="F35" s="487">
        <f>D35*E35</f>
        <v>0</v>
      </c>
      <c r="G35" s="152"/>
      <c r="H35" s="152"/>
      <c r="I35" s="152"/>
      <c r="J35" s="152"/>
      <c r="K35" s="152"/>
    </row>
    <row r="36" spans="2:11" ht="15.75" thickBot="1">
      <c r="B36" s="1611"/>
      <c r="C36" s="272" t="s">
        <v>26</v>
      </c>
      <c r="D36" s="1097">
        <f>'IP 3C4_3C5'!E181</f>
        <v>0</v>
      </c>
      <c r="E36" s="172">
        <f>'3C4 FE'!C13</f>
        <v>8</v>
      </c>
      <c r="F36" s="487">
        <f>D36*E36</f>
        <v>0</v>
      </c>
      <c r="G36" s="152"/>
      <c r="H36" s="152"/>
      <c r="I36" s="152"/>
      <c r="J36" s="152"/>
      <c r="K36" s="152"/>
    </row>
    <row r="37" spans="2:11" ht="36.75" customHeight="1" thickBot="1">
      <c r="B37" s="1613" t="s">
        <v>937</v>
      </c>
      <c r="C37" s="272" t="s">
        <v>27</v>
      </c>
      <c r="D37" s="152"/>
      <c r="E37" s="152"/>
      <c r="F37" s="326"/>
      <c r="G37" s="173">
        <f>'IP 3C4_3C5'!F187+'IP 3C4_3C5'!F188+'IP 3C4_3C5'!D196+'IP 3C4_3C5'!F193</f>
        <v>246535659.48077065</v>
      </c>
      <c r="H37" s="172">
        <f>'3C4 FE'!C14</f>
        <v>0.02</v>
      </c>
      <c r="I37" s="487">
        <f>G37*H37</f>
        <v>4930713.189615413</v>
      </c>
      <c r="J37" s="326"/>
      <c r="K37" s="326">
        <f>+(I37*'F. de Conversión'!$D$29/'F. de Conversión'!$D$31)*44/28</f>
        <v>7.748263583681363</v>
      </c>
    </row>
    <row r="38" spans="2:13" ht="36.75" customHeight="1" thickBot="1">
      <c r="B38" s="1611"/>
      <c r="C38" s="272" t="s">
        <v>28</v>
      </c>
      <c r="D38" s="152"/>
      <c r="E38" s="152"/>
      <c r="F38" s="326"/>
      <c r="G38" s="172">
        <f>'IP 3C4_3C5'!F198-'GEI 3C4'!G37</f>
        <v>448026645.7927969</v>
      </c>
      <c r="H38" s="172">
        <f>'3C4 FE'!C15</f>
        <v>0.01</v>
      </c>
      <c r="I38" s="156">
        <f>G38*H38</f>
        <v>4480266.457927969</v>
      </c>
      <c r="J38" s="326"/>
      <c r="K38" s="326">
        <f>+(I38*'F. de Conversión'!$D$29/'F. de Conversión'!$D$31)*44/28</f>
        <v>7.040418719601093</v>
      </c>
      <c r="M38" s="58"/>
    </row>
    <row r="39" spans="2:11" ht="15.75" thickBot="1">
      <c r="B39" s="1457" t="s">
        <v>2</v>
      </c>
      <c r="C39" s="1618"/>
      <c r="D39" s="152"/>
      <c r="E39" s="152"/>
      <c r="F39" s="488">
        <f>SUM(F32:F36)</f>
        <v>0</v>
      </c>
      <c r="G39" s="326"/>
      <c r="H39" s="326"/>
      <c r="I39" s="488">
        <f>SUM(I37:I38)</f>
        <v>9410979.647543382</v>
      </c>
      <c r="J39" s="489">
        <f>H19+F39+I39</f>
        <v>16458228.834136281</v>
      </c>
      <c r="K39" s="490">
        <f>+(J39*'F. de Conversión'!$D$29/'F. de Conversión'!$D$31)*44/28</f>
        <v>25.8629310250713</v>
      </c>
    </row>
    <row r="40" spans="2:10" ht="23.25" customHeight="1">
      <c r="B40" s="1619" t="s">
        <v>938</v>
      </c>
      <c r="C40" s="1620"/>
      <c r="D40" s="1620"/>
      <c r="E40" s="1620"/>
      <c r="F40" s="1620"/>
      <c r="G40" s="1620"/>
      <c r="H40" s="1620"/>
      <c r="I40" s="1620"/>
      <c r="J40" s="1621"/>
    </row>
    <row r="41" spans="2:10" ht="15.75" thickBot="1">
      <c r="B41" s="1622" t="s">
        <v>939</v>
      </c>
      <c r="C41" s="1623"/>
      <c r="D41" s="1623"/>
      <c r="E41" s="1623"/>
      <c r="F41" s="1623"/>
      <c r="G41" s="1623"/>
      <c r="H41" s="1623"/>
      <c r="I41" s="1623"/>
      <c r="J41" s="1624"/>
    </row>
  </sheetData>
  <mergeCells count="46">
    <mergeCell ref="K28:K31"/>
    <mergeCell ref="B37:B38"/>
    <mergeCell ref="B39:C39"/>
    <mergeCell ref="B40:J40"/>
    <mergeCell ref="B41:J41"/>
    <mergeCell ref="B27:C31"/>
    <mergeCell ref="D28:D29"/>
    <mergeCell ref="F28:F29"/>
    <mergeCell ref="G28:G29"/>
    <mergeCell ref="I28:I29"/>
    <mergeCell ref="B32:B36"/>
    <mergeCell ref="B24:C24"/>
    <mergeCell ref="D24:J24"/>
    <mergeCell ref="B25:C25"/>
    <mergeCell ref="D25:J25"/>
    <mergeCell ref="B26:C26"/>
    <mergeCell ref="D26:J26"/>
    <mergeCell ref="B23:C23"/>
    <mergeCell ref="D23:J23"/>
    <mergeCell ref="D9:E9"/>
    <mergeCell ref="F9:G9"/>
    <mergeCell ref="D10:E10"/>
    <mergeCell ref="F10:G10"/>
    <mergeCell ref="B11:B14"/>
    <mergeCell ref="F11:F14"/>
    <mergeCell ref="B15:B18"/>
    <mergeCell ref="F15:F18"/>
    <mergeCell ref="B19:C19"/>
    <mergeCell ref="B22:C22"/>
    <mergeCell ref="D22:J22"/>
    <mergeCell ref="B20:H20"/>
    <mergeCell ref="B5:C5"/>
    <mergeCell ref="D5:H5"/>
    <mergeCell ref="B6:C6"/>
    <mergeCell ref="D6:H6"/>
    <mergeCell ref="B7:C10"/>
    <mergeCell ref="D7:E7"/>
    <mergeCell ref="F7:G7"/>
    <mergeCell ref="D8:E8"/>
    <mergeCell ref="F8:G8"/>
    <mergeCell ref="B2:C2"/>
    <mergeCell ref="D2:H2"/>
    <mergeCell ref="B3:C3"/>
    <mergeCell ref="D3:H3"/>
    <mergeCell ref="B4:C4"/>
    <mergeCell ref="D4:H4"/>
  </mergeCells>
  <printOptions/>
  <pageMargins left="0.7" right="0.7" top="0.75" bottom="0.75" header="0.3" footer="0.3"/>
  <pageSetup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EC3E6"/>
  </sheetPr>
  <dimension ref="A2:AQ255"/>
  <sheetViews>
    <sheetView workbookViewId="0" topLeftCell="A1">
      <selection activeCell="I128" sqref="I128"/>
    </sheetView>
  </sheetViews>
  <sheetFormatPr defaultColWidth="10.8515625" defaultRowHeight="15"/>
  <cols>
    <col min="1" max="1" width="1.8515625" style="0" customWidth="1"/>
    <col min="2" max="2" width="18.28125" style="53" customWidth="1"/>
    <col min="3" max="3" width="15.7109375" style="53" customWidth="1"/>
    <col min="4" max="4" width="15.28125" style="53" customWidth="1"/>
    <col min="5" max="5" width="15.57421875" style="53" customWidth="1"/>
    <col min="6" max="7" width="13.140625" style="53" customWidth="1"/>
    <col min="8" max="8" width="16.28125" style="53" customWidth="1"/>
    <col min="9" max="9" width="13.140625" style="53" customWidth="1"/>
    <col min="10" max="10" width="10.8515625" style="53" customWidth="1"/>
    <col min="11" max="11" width="19.8515625" style="53" customWidth="1"/>
    <col min="12" max="12" width="12.7109375" style="53" bestFit="1" customWidth="1"/>
    <col min="13" max="17" width="13.28125" style="53" customWidth="1"/>
    <col min="18" max="43" width="10.8515625" style="53" customWidth="1"/>
  </cols>
  <sheetData>
    <row r="2" spans="2:15" ht="17.45" customHeight="1">
      <c r="B2" s="1199" t="s">
        <v>1021</v>
      </c>
      <c r="C2" s="1199"/>
      <c r="D2" s="1199"/>
      <c r="E2" s="1199"/>
      <c r="F2" s="1199"/>
      <c r="G2" s="1199"/>
      <c r="H2" s="1199"/>
      <c r="I2" s="1199"/>
      <c r="J2" s="1199"/>
      <c r="L2" s="3" t="s">
        <v>695</v>
      </c>
      <c r="N2" s="3"/>
      <c r="O2" s="3"/>
    </row>
    <row r="3" spans="12:15" ht="12.75">
      <c r="L3" s="3"/>
      <c r="M3" s="3"/>
      <c r="N3" s="3"/>
      <c r="O3" s="3"/>
    </row>
    <row r="4" spans="2:15" ht="15">
      <c r="B4" s="1163" t="s">
        <v>1009</v>
      </c>
      <c r="C4" s="1163"/>
      <c r="D4" s="1163"/>
      <c r="E4" s="1163"/>
      <c r="F4" s="1163"/>
      <c r="G4" s="1163"/>
      <c r="H4" s="1163"/>
      <c r="I4" s="1163"/>
      <c r="J4" s="1163"/>
      <c r="L4" s="3"/>
      <c r="M4" s="3"/>
      <c r="N4" s="3"/>
      <c r="O4" s="3"/>
    </row>
    <row r="5" spans="12:15" ht="13.5" thickBot="1">
      <c r="L5" s="3"/>
      <c r="M5" s="3"/>
      <c r="N5" s="3"/>
      <c r="O5" s="3"/>
    </row>
    <row r="6" spans="2:9" ht="12.75">
      <c r="B6" s="293" t="s">
        <v>1462</v>
      </c>
      <c r="C6" s="1192">
        <v>1</v>
      </c>
      <c r="D6" s="1192"/>
      <c r="E6" s="1192"/>
      <c r="F6" s="1192"/>
      <c r="G6" s="1192"/>
      <c r="H6" s="1192"/>
      <c r="I6" s="1193"/>
    </row>
    <row r="7" spans="2:9" ht="15">
      <c r="B7" s="294" t="s">
        <v>1461</v>
      </c>
      <c r="C7" s="1160" t="s">
        <v>1460</v>
      </c>
      <c r="D7" s="1160"/>
      <c r="E7" s="1160"/>
      <c r="F7" s="1160"/>
      <c r="G7" s="1160"/>
      <c r="H7" s="1160"/>
      <c r="I7" s="1161"/>
    </row>
    <row r="8" spans="2:9" ht="15">
      <c r="B8" s="294" t="s">
        <v>73</v>
      </c>
      <c r="C8" s="1180" t="s">
        <v>1565</v>
      </c>
      <c r="D8" s="1180"/>
      <c r="E8" s="1180"/>
      <c r="F8" s="1180"/>
      <c r="G8" s="1180"/>
      <c r="H8" s="1180"/>
      <c r="I8" s="1181"/>
    </row>
    <row r="9" spans="2:9" ht="15">
      <c r="B9" s="294" t="s">
        <v>1010</v>
      </c>
      <c r="C9" s="1182" t="s">
        <v>1459</v>
      </c>
      <c r="D9" s="1160"/>
      <c r="E9" s="1160"/>
      <c r="F9" s="1160"/>
      <c r="G9" s="1160"/>
      <c r="H9" s="1160"/>
      <c r="I9" s="1161"/>
    </row>
    <row r="10" spans="2:9" ht="15">
      <c r="B10" s="294" t="s">
        <v>74</v>
      </c>
      <c r="C10" s="1162">
        <v>44858</v>
      </c>
      <c r="D10" s="1160"/>
      <c r="E10" s="1160"/>
      <c r="F10" s="1160"/>
      <c r="G10" s="1160"/>
      <c r="H10" s="1160"/>
      <c r="I10" s="1161"/>
    </row>
    <row r="11" spans="2:9" ht="30" customHeight="1" thickBot="1">
      <c r="B11" s="295" t="s">
        <v>75</v>
      </c>
      <c r="C11" s="1183" t="s">
        <v>1583</v>
      </c>
      <c r="D11" s="1183"/>
      <c r="E11" s="1183"/>
      <c r="F11" s="1183"/>
      <c r="G11" s="1183"/>
      <c r="H11" s="1183"/>
      <c r="I11" s="1184"/>
    </row>
    <row r="12" spans="2:10" ht="15">
      <c r="B12"/>
      <c r="C12"/>
      <c r="D12"/>
      <c r="E12"/>
      <c r="F12"/>
      <c r="G12"/>
      <c r="H12"/>
      <c r="I12"/>
      <c r="J12"/>
    </row>
    <row r="13" spans="2:10" ht="15">
      <c r="B13" s="1197" t="s">
        <v>1008</v>
      </c>
      <c r="C13" s="1194" t="s">
        <v>1014</v>
      </c>
      <c r="D13" s="1195"/>
      <c r="E13" s="1195"/>
      <c r="F13" s="1195"/>
      <c r="G13" s="1195"/>
      <c r="H13" s="1195"/>
      <c r="I13" s="1196"/>
      <c r="J13"/>
    </row>
    <row r="14" spans="2:32" ht="15">
      <c r="B14" s="1198"/>
      <c r="C14" s="291" t="s">
        <v>36</v>
      </c>
      <c r="D14" s="291" t="s">
        <v>37</v>
      </c>
      <c r="E14" s="291" t="s">
        <v>38</v>
      </c>
      <c r="F14" s="291" t="s">
        <v>39</v>
      </c>
      <c r="G14" s="291" t="s">
        <v>40</v>
      </c>
      <c r="H14" s="291" t="s">
        <v>41</v>
      </c>
      <c r="I14" s="291" t="s">
        <v>42</v>
      </c>
      <c r="J14"/>
      <c r="S14"/>
      <c r="T14"/>
      <c r="U14"/>
      <c r="V14"/>
      <c r="W14"/>
      <c r="X14"/>
      <c r="Y14"/>
      <c r="Z14"/>
      <c r="AA14"/>
      <c r="AB14"/>
      <c r="AC14"/>
      <c r="AD14"/>
      <c r="AE14"/>
      <c r="AF14"/>
    </row>
    <row r="15" spans="2:43" s="233" customFormat="1" ht="15">
      <c r="B15" s="292" t="s">
        <v>69</v>
      </c>
      <c r="C15" s="451">
        <f aca="true" t="shared" si="0" ref="C15:I15">SUM(C16:C39)</f>
        <v>168172635</v>
      </c>
      <c r="D15" s="451">
        <f t="shared" si="0"/>
        <v>4456049</v>
      </c>
      <c r="E15" s="451">
        <f t="shared" si="0"/>
        <v>1095921</v>
      </c>
      <c r="F15" s="451">
        <f t="shared" si="0"/>
        <v>1801882</v>
      </c>
      <c r="G15" s="451">
        <f t="shared" si="0"/>
        <v>11371639</v>
      </c>
      <c r="H15" s="451">
        <f t="shared" si="0"/>
        <v>3269538</v>
      </c>
      <c r="I15" s="451">
        <f t="shared" si="0"/>
        <v>5599893</v>
      </c>
      <c r="J15"/>
      <c r="K15" s="53"/>
      <c r="L15" s="53"/>
      <c r="M15" s="53"/>
      <c r="N15" s="53"/>
      <c r="O15" s="53"/>
      <c r="P15" s="53"/>
      <c r="Q15" s="53"/>
      <c r="R15" s="53"/>
      <c r="S15"/>
      <c r="T15"/>
      <c r="U15"/>
      <c r="V15"/>
      <c r="W15"/>
      <c r="X15"/>
      <c r="Y15"/>
      <c r="Z15"/>
      <c r="AA15"/>
      <c r="AB15"/>
      <c r="AC15"/>
      <c r="AD15"/>
      <c r="AE15"/>
      <c r="AF15"/>
      <c r="AG15" s="232"/>
      <c r="AH15" s="232"/>
      <c r="AI15" s="232"/>
      <c r="AJ15" s="232"/>
      <c r="AK15" s="232"/>
      <c r="AL15" s="232"/>
      <c r="AM15" s="232"/>
      <c r="AN15" s="232"/>
      <c r="AO15" s="232"/>
      <c r="AP15" s="232"/>
      <c r="AQ15" s="232"/>
    </row>
    <row r="16" spans="2:32" ht="15">
      <c r="B16" s="72" t="s">
        <v>43</v>
      </c>
      <c r="C16" s="466">
        <v>1525969</v>
      </c>
      <c r="D16" s="475">
        <v>0</v>
      </c>
      <c r="E16" s="475">
        <v>0</v>
      </c>
      <c r="F16" s="466">
        <v>13975</v>
      </c>
      <c r="G16" s="466">
        <v>23047</v>
      </c>
      <c r="H16" s="466">
        <v>88090</v>
      </c>
      <c r="I16" s="466">
        <v>247855</v>
      </c>
      <c r="J16" s="443"/>
      <c r="S16"/>
      <c r="T16"/>
      <c r="U16"/>
      <c r="V16"/>
      <c r="W16"/>
      <c r="X16"/>
      <c r="Y16"/>
      <c r="Z16"/>
      <c r="AA16"/>
      <c r="AB16"/>
      <c r="AC16"/>
      <c r="AD16"/>
      <c r="AE16"/>
      <c r="AF16"/>
    </row>
    <row r="17" spans="2:10" ht="15">
      <c r="B17" s="72" t="s">
        <v>223</v>
      </c>
      <c r="C17" s="466">
        <v>2632858</v>
      </c>
      <c r="D17" s="466">
        <v>10200</v>
      </c>
      <c r="E17" s="475">
        <v>0</v>
      </c>
      <c r="F17" s="466">
        <v>169697</v>
      </c>
      <c r="G17" s="466">
        <v>671829</v>
      </c>
      <c r="H17" s="466">
        <v>171477</v>
      </c>
      <c r="I17" s="466">
        <v>306065</v>
      </c>
      <c r="J17" s="443"/>
    </row>
    <row r="18" spans="2:10" ht="15">
      <c r="B18" s="72" t="s">
        <v>44</v>
      </c>
      <c r="C18" s="466">
        <v>309739</v>
      </c>
      <c r="D18" s="466">
        <v>215340</v>
      </c>
      <c r="E18" s="466">
        <v>72611</v>
      </c>
      <c r="F18" s="466">
        <v>109518</v>
      </c>
      <c r="G18" s="466">
        <v>456405</v>
      </c>
      <c r="H18" s="466">
        <v>133036.5</v>
      </c>
      <c r="I18" s="466">
        <v>296567</v>
      </c>
      <c r="J18" s="444"/>
    </row>
    <row r="19" spans="2:10" ht="15">
      <c r="B19" s="72" t="s">
        <v>45</v>
      </c>
      <c r="C19" s="466">
        <v>17146598</v>
      </c>
      <c r="D19" s="466">
        <v>430134</v>
      </c>
      <c r="E19" s="466">
        <v>88209</v>
      </c>
      <c r="F19" s="466">
        <v>16611</v>
      </c>
      <c r="G19" s="466">
        <v>188221</v>
      </c>
      <c r="H19" s="466">
        <v>107120</v>
      </c>
      <c r="I19" s="466">
        <v>212744</v>
      </c>
      <c r="J19" s="444"/>
    </row>
    <row r="20" spans="2:10" ht="15">
      <c r="B20" s="72" t="s">
        <v>46</v>
      </c>
      <c r="C20" s="466">
        <v>664511</v>
      </c>
      <c r="D20" s="466">
        <v>309833</v>
      </c>
      <c r="E20" s="466">
        <v>79754</v>
      </c>
      <c r="F20" s="466">
        <v>192115</v>
      </c>
      <c r="G20" s="466">
        <v>617461</v>
      </c>
      <c r="H20" s="466">
        <v>118454</v>
      </c>
      <c r="I20" s="466">
        <v>453426</v>
      </c>
      <c r="J20" s="445"/>
    </row>
    <row r="21" spans="2:10" ht="15">
      <c r="B21" s="72" t="s">
        <v>47</v>
      </c>
      <c r="C21" s="466">
        <v>870494</v>
      </c>
      <c r="D21" s="466">
        <v>1190</v>
      </c>
      <c r="E21" s="475">
        <v>0</v>
      </c>
      <c r="F21" s="466">
        <v>107350</v>
      </c>
      <c r="G21" s="466">
        <v>480072</v>
      </c>
      <c r="H21" s="466">
        <v>288252</v>
      </c>
      <c r="I21" s="466">
        <v>655840</v>
      </c>
      <c r="J21" s="444"/>
    </row>
    <row r="22" spans="2:10" ht="15">
      <c r="B22" s="72" t="s">
        <v>48</v>
      </c>
      <c r="C22" s="470">
        <v>1201279</v>
      </c>
      <c r="D22" s="470">
        <v>669365</v>
      </c>
      <c r="E22" s="470">
        <v>150801</v>
      </c>
      <c r="F22" s="470">
        <v>34907</v>
      </c>
      <c r="G22" s="470">
        <v>1443471</v>
      </c>
      <c r="H22" s="470">
        <v>127738</v>
      </c>
      <c r="I22" s="470">
        <v>439168</v>
      </c>
      <c r="J22" s="443"/>
    </row>
    <row r="23" spans="2:10" ht="15">
      <c r="B23" s="72" t="s">
        <v>49</v>
      </c>
      <c r="C23" s="470">
        <v>389033</v>
      </c>
      <c r="D23" s="470">
        <v>270053</v>
      </c>
      <c r="E23" s="470">
        <v>131322</v>
      </c>
      <c r="F23" s="470">
        <v>181228</v>
      </c>
      <c r="G23" s="470">
        <v>625574</v>
      </c>
      <c r="H23" s="470">
        <v>157545</v>
      </c>
      <c r="I23" s="470">
        <v>182010</v>
      </c>
      <c r="J23" s="443"/>
    </row>
    <row r="24" spans="2:10" ht="15">
      <c r="B24" s="72" t="s">
        <v>50</v>
      </c>
      <c r="C24" s="470">
        <v>1761432</v>
      </c>
      <c r="D24" s="470">
        <v>6760</v>
      </c>
      <c r="E24" s="476">
        <v>3512</v>
      </c>
      <c r="F24" s="470">
        <v>102260</v>
      </c>
      <c r="G24" s="470">
        <v>529832</v>
      </c>
      <c r="H24" s="470">
        <v>405725</v>
      </c>
      <c r="I24" s="470">
        <v>292866</v>
      </c>
      <c r="J24" s="444"/>
    </row>
    <row r="25" spans="2:10" ht="15">
      <c r="B25" s="72" t="s">
        <v>51</v>
      </c>
      <c r="C25" s="470">
        <v>17467343</v>
      </c>
      <c r="D25" s="476">
        <v>0</v>
      </c>
      <c r="E25" s="476">
        <v>0</v>
      </c>
      <c r="F25" s="470">
        <v>75880</v>
      </c>
      <c r="G25" s="470">
        <v>26695</v>
      </c>
      <c r="H25" s="470">
        <v>102767</v>
      </c>
      <c r="I25" s="470">
        <v>50530</v>
      </c>
      <c r="J25" s="444"/>
    </row>
    <row r="26" spans="2:10" ht="15">
      <c r="B26" s="72" t="s">
        <v>52</v>
      </c>
      <c r="C26" s="470">
        <v>3562423</v>
      </c>
      <c r="D26" s="470">
        <v>100532</v>
      </c>
      <c r="E26" s="470">
        <v>67302</v>
      </c>
      <c r="F26" s="470">
        <v>12015</v>
      </c>
      <c r="G26" s="470">
        <v>1614094</v>
      </c>
      <c r="H26" s="470">
        <v>171904</v>
      </c>
      <c r="I26" s="470">
        <v>326506</v>
      </c>
      <c r="J26" s="443"/>
    </row>
    <row r="27" spans="2:10" ht="15">
      <c r="B27" s="72" t="s">
        <v>53</v>
      </c>
      <c r="C27" s="470">
        <v>24963293</v>
      </c>
      <c r="D27" s="470">
        <v>7710</v>
      </c>
      <c r="E27" s="476">
        <v>0</v>
      </c>
      <c r="F27" s="470">
        <v>82812</v>
      </c>
      <c r="G27" s="470">
        <v>360982</v>
      </c>
      <c r="H27" s="470">
        <v>114462</v>
      </c>
      <c r="I27" s="470">
        <v>235457</v>
      </c>
      <c r="J27" s="444"/>
    </row>
    <row r="28" spans="2:10" ht="15">
      <c r="B28" s="72" t="s">
        <v>54</v>
      </c>
      <c r="C28" s="470">
        <v>2489462</v>
      </c>
      <c r="D28" s="476">
        <v>0</v>
      </c>
      <c r="E28" s="476">
        <v>0</v>
      </c>
      <c r="F28" s="470">
        <v>106151</v>
      </c>
      <c r="G28" s="470">
        <v>68325</v>
      </c>
      <c r="H28" s="470">
        <v>73428</v>
      </c>
      <c r="I28" s="470">
        <v>113602</v>
      </c>
      <c r="J28" s="446"/>
    </row>
    <row r="29" spans="2:10" ht="15">
      <c r="B29" s="73" t="s">
        <v>55</v>
      </c>
      <c r="C29" s="470">
        <v>68879430</v>
      </c>
      <c r="D29" s="470">
        <v>46747.5</v>
      </c>
      <c r="E29" s="470">
        <v>21780</v>
      </c>
      <c r="F29" s="470">
        <v>169383</v>
      </c>
      <c r="G29" s="470">
        <v>315962</v>
      </c>
      <c r="H29" s="470">
        <v>464899.5</v>
      </c>
      <c r="I29" s="470">
        <v>250851</v>
      </c>
      <c r="J29" s="444"/>
    </row>
    <row r="30" spans="2:10" ht="15">
      <c r="B30" s="72" t="s">
        <v>56</v>
      </c>
      <c r="C30" s="470">
        <v>4183526</v>
      </c>
      <c r="D30" s="476">
        <v>0</v>
      </c>
      <c r="E30" s="476">
        <v>0</v>
      </c>
      <c r="F30" s="476">
        <v>291</v>
      </c>
      <c r="G30" s="470">
        <v>11303</v>
      </c>
      <c r="H30" s="470">
        <v>95430</v>
      </c>
      <c r="I30" s="470">
        <v>46190</v>
      </c>
      <c r="J30" s="444"/>
    </row>
    <row r="31" spans="2:10" ht="15">
      <c r="B31" s="72" t="s">
        <v>57</v>
      </c>
      <c r="C31" s="470">
        <v>486548</v>
      </c>
      <c r="D31" s="476">
        <v>0</v>
      </c>
      <c r="E31" s="476">
        <v>0</v>
      </c>
      <c r="F31" s="476">
        <v>220</v>
      </c>
      <c r="G31" s="470">
        <v>8287</v>
      </c>
      <c r="H31" s="470">
        <v>10715</v>
      </c>
      <c r="I31" s="470">
        <v>56880</v>
      </c>
      <c r="J31" s="446"/>
    </row>
    <row r="32" spans="2:10" ht="15">
      <c r="B32" s="72" t="s">
        <v>58</v>
      </c>
      <c r="C32" s="470">
        <v>60034</v>
      </c>
      <c r="D32" s="470">
        <v>144970</v>
      </c>
      <c r="E32" s="470">
        <v>38655</v>
      </c>
      <c r="F32" s="470">
        <v>8333</v>
      </c>
      <c r="G32" s="470">
        <v>49291</v>
      </c>
      <c r="H32" s="470">
        <v>13225</v>
      </c>
      <c r="I32" s="470">
        <v>23721</v>
      </c>
      <c r="J32" s="444"/>
    </row>
    <row r="33" spans="2:10" ht="15">
      <c r="B33" s="72" t="s">
        <v>59</v>
      </c>
      <c r="C33" s="470">
        <v>139895</v>
      </c>
      <c r="D33" s="470">
        <v>130777.5</v>
      </c>
      <c r="E33" s="470">
        <v>43880</v>
      </c>
      <c r="F33" s="470">
        <v>6345</v>
      </c>
      <c r="G33" s="470">
        <v>691923</v>
      </c>
      <c r="H33" s="470">
        <v>53567</v>
      </c>
      <c r="I33" s="470">
        <v>119542</v>
      </c>
      <c r="J33" s="444"/>
    </row>
    <row r="34" spans="2:10" ht="15">
      <c r="B34" s="72" t="s">
        <v>60</v>
      </c>
      <c r="C34" s="470">
        <v>5858230</v>
      </c>
      <c r="D34" s="476">
        <v>100</v>
      </c>
      <c r="E34" s="476">
        <v>0</v>
      </c>
      <c r="F34" s="470">
        <v>330221</v>
      </c>
      <c r="G34" s="470">
        <v>274350</v>
      </c>
      <c r="H34" s="470">
        <v>167980</v>
      </c>
      <c r="I34" s="470">
        <v>258181</v>
      </c>
      <c r="J34" s="444"/>
    </row>
    <row r="35" spans="2:10" ht="15">
      <c r="B35" s="72" t="s">
        <v>61</v>
      </c>
      <c r="C35" s="470">
        <v>1698765</v>
      </c>
      <c r="D35" s="470">
        <v>2035280</v>
      </c>
      <c r="E35" s="470">
        <v>369690</v>
      </c>
      <c r="F35" s="476">
        <v>0</v>
      </c>
      <c r="G35" s="470">
        <v>2852165</v>
      </c>
      <c r="H35" s="470">
        <v>119760</v>
      </c>
      <c r="I35" s="470">
        <v>733260</v>
      </c>
      <c r="J35" s="443"/>
    </row>
    <row r="36" spans="2:10" ht="15">
      <c r="B36" s="72" t="s">
        <v>62</v>
      </c>
      <c r="C36" s="470">
        <v>4536966</v>
      </c>
      <c r="D36" s="476">
        <v>0</v>
      </c>
      <c r="E36" s="476">
        <v>0</v>
      </c>
      <c r="F36" s="476">
        <v>0</v>
      </c>
      <c r="G36" s="470">
        <v>9269</v>
      </c>
      <c r="H36" s="470">
        <v>170291</v>
      </c>
      <c r="I36" s="470">
        <v>211843</v>
      </c>
      <c r="J36" s="443"/>
    </row>
    <row r="37" spans="2:10" ht="15">
      <c r="B37" s="72" t="s">
        <v>63</v>
      </c>
      <c r="C37" s="470">
        <v>1185038</v>
      </c>
      <c r="D37" s="470">
        <v>77057</v>
      </c>
      <c r="E37" s="470">
        <v>28405</v>
      </c>
      <c r="F37" s="470">
        <v>17080</v>
      </c>
      <c r="G37" s="470">
        <v>36005</v>
      </c>
      <c r="H37" s="470">
        <v>36232</v>
      </c>
      <c r="I37" s="470">
        <v>18884</v>
      </c>
      <c r="J37" s="443"/>
    </row>
    <row r="38" spans="2:10" ht="15">
      <c r="B38" s="72" t="s">
        <v>64</v>
      </c>
      <c r="C38" s="470">
        <v>157220</v>
      </c>
      <c r="D38" s="476">
        <v>0</v>
      </c>
      <c r="E38" s="476">
        <v>0</v>
      </c>
      <c r="F38" s="470">
        <v>65320</v>
      </c>
      <c r="G38" s="470">
        <v>7515</v>
      </c>
      <c r="H38" s="470">
        <v>30010</v>
      </c>
      <c r="I38" s="470">
        <v>22200</v>
      </c>
      <c r="J38" s="446"/>
    </row>
    <row r="39" spans="2:10" ht="15">
      <c r="B39" s="72" t="s">
        <v>65</v>
      </c>
      <c r="C39" s="470">
        <v>6002549</v>
      </c>
      <c r="D39" s="476">
        <v>0</v>
      </c>
      <c r="E39" s="476">
        <v>0</v>
      </c>
      <c r="F39" s="476">
        <v>170</v>
      </c>
      <c r="G39" s="470">
        <v>9561</v>
      </c>
      <c r="H39" s="470">
        <v>47430</v>
      </c>
      <c r="I39" s="470">
        <v>45705</v>
      </c>
      <c r="J39" s="447"/>
    </row>
    <row r="40" ht="15.75" thickBot="1">
      <c r="J40" s="444"/>
    </row>
    <row r="41" spans="2:10" ht="15">
      <c r="B41" s="293" t="s">
        <v>1462</v>
      </c>
      <c r="C41" s="1192">
        <v>2</v>
      </c>
      <c r="D41" s="1192"/>
      <c r="E41" s="1192"/>
      <c r="F41" s="1192"/>
      <c r="G41" s="1192"/>
      <c r="H41" s="1192"/>
      <c r="I41" s="1193"/>
      <c r="J41" s="444"/>
    </row>
    <row r="42" spans="2:10" ht="15">
      <c r="B42" s="294" t="s">
        <v>1461</v>
      </c>
      <c r="C42" s="1160" t="s">
        <v>1470</v>
      </c>
      <c r="D42" s="1160"/>
      <c r="E42" s="1160"/>
      <c r="F42" s="1160"/>
      <c r="G42" s="1160"/>
      <c r="H42" s="1160"/>
      <c r="I42" s="1161"/>
      <c r="J42" s="443"/>
    </row>
    <row r="43" spans="2:10" ht="26.25" customHeight="1">
      <c r="B43" s="294" t="s">
        <v>73</v>
      </c>
      <c r="C43" s="1180" t="s">
        <v>1011</v>
      </c>
      <c r="D43" s="1160"/>
      <c r="E43" s="1160"/>
      <c r="F43" s="1160"/>
      <c r="G43" s="1160"/>
      <c r="H43" s="1160"/>
      <c r="I43" s="1161"/>
      <c r="J43" s="443"/>
    </row>
    <row r="44" spans="2:10" ht="15">
      <c r="B44" s="294" t="s">
        <v>1010</v>
      </c>
      <c r="C44" s="1160" t="s">
        <v>1012</v>
      </c>
      <c r="D44" s="1160"/>
      <c r="E44" s="1160"/>
      <c r="F44" s="1160"/>
      <c r="G44" s="1160"/>
      <c r="H44" s="1160"/>
      <c r="I44" s="1161"/>
      <c r="J44" s="443"/>
    </row>
    <row r="45" spans="2:10" ht="15">
      <c r="B45" s="294" t="s">
        <v>74</v>
      </c>
      <c r="C45" s="1160" t="s">
        <v>1013</v>
      </c>
      <c r="D45" s="1160"/>
      <c r="E45" s="1160"/>
      <c r="F45" s="1160"/>
      <c r="G45" s="1160"/>
      <c r="H45" s="1160"/>
      <c r="I45" s="1161"/>
      <c r="J45" s="443"/>
    </row>
    <row r="46" spans="2:10" ht="15.75" thickBot="1">
      <c r="B46" s="295" t="s">
        <v>75</v>
      </c>
      <c r="C46" s="1190" t="s">
        <v>106</v>
      </c>
      <c r="D46" s="1190"/>
      <c r="E46" s="1190"/>
      <c r="F46" s="1190"/>
      <c r="G46" s="1190"/>
      <c r="H46" s="1190"/>
      <c r="I46" s="1191"/>
      <c r="J46" s="443"/>
    </row>
    <row r="47" spans="2:9" ht="15">
      <c r="B47"/>
      <c r="C47"/>
      <c r="D47"/>
      <c r="E47"/>
      <c r="F47"/>
      <c r="G47" s="296"/>
      <c r="H47" s="296"/>
      <c r="I47" s="296"/>
    </row>
    <row r="48" spans="2:9" ht="15">
      <c r="B48" s="1203" t="s">
        <v>1008</v>
      </c>
      <c r="C48" s="1205" t="s">
        <v>1014</v>
      </c>
      <c r="D48" s="1205"/>
      <c r="E48" s="1205"/>
      <c r="F48"/>
      <c r="G48" s="296"/>
      <c r="H48" s="296"/>
      <c r="I48" s="296"/>
    </row>
    <row r="49" spans="2:5" ht="15">
      <c r="B49" s="1204"/>
      <c r="C49" s="55" t="s">
        <v>66</v>
      </c>
      <c r="D49" s="55" t="s">
        <v>67</v>
      </c>
      <c r="E49" s="55" t="s">
        <v>68</v>
      </c>
    </row>
    <row r="50" spans="2:43" s="310" customFormat="1" ht="15">
      <c r="B50" s="311" t="s">
        <v>69</v>
      </c>
      <c r="C50" s="451">
        <f>SUM(C51:C74)</f>
        <v>478241.719092125</v>
      </c>
      <c r="D50" s="451">
        <f>SUM(D51:D74)</f>
        <v>541066.206435821</v>
      </c>
      <c r="E50" s="451">
        <f>SUM(E51:E74)</f>
        <v>16105514.897488747</v>
      </c>
      <c r="F50" s="53"/>
      <c r="G50" s="53"/>
      <c r="H50" s="53"/>
      <c r="I50" s="53"/>
      <c r="J50" s="53"/>
      <c r="K50" s="53"/>
      <c r="L50" s="53"/>
      <c r="M50" s="53"/>
      <c r="N50" s="53"/>
      <c r="O50" s="53"/>
      <c r="P50" s="53"/>
      <c r="Q50" s="53"/>
      <c r="R50" s="53"/>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row>
    <row r="51" spans="2:5" ht="15">
      <c r="B51" s="72" t="s">
        <v>43</v>
      </c>
      <c r="C51" s="466">
        <v>25615.077959647682</v>
      </c>
      <c r="D51" s="466">
        <v>9408.722519228751</v>
      </c>
      <c r="E51" s="466">
        <v>383690.61903015873</v>
      </c>
    </row>
    <row r="52" spans="2:10" ht="15">
      <c r="B52" s="72" t="s">
        <v>223</v>
      </c>
      <c r="C52" s="466">
        <v>37856.28055453067</v>
      </c>
      <c r="D52" s="466">
        <v>74674.60345095719</v>
      </c>
      <c r="E52" s="466">
        <v>2159847.7127638645</v>
      </c>
      <c r="F52" s="59"/>
      <c r="G52" s="59"/>
      <c r="H52" s="59"/>
      <c r="I52" s="59"/>
      <c r="J52" s="59"/>
    </row>
    <row r="53" spans="2:10" ht="15">
      <c r="B53" s="72" t="s">
        <v>44</v>
      </c>
      <c r="C53" s="466">
        <v>77426.97075067766</v>
      </c>
      <c r="D53" s="466">
        <v>9867.788047153295</v>
      </c>
      <c r="E53" s="466">
        <v>1369223.1887895176</v>
      </c>
      <c r="F53" s="59"/>
      <c r="G53" s="59"/>
      <c r="H53" s="59"/>
      <c r="I53" s="59"/>
      <c r="J53" s="60"/>
    </row>
    <row r="54" spans="2:10" ht="15">
      <c r="B54" s="72" t="s">
        <v>45</v>
      </c>
      <c r="C54" s="466">
        <v>7099.007884987785</v>
      </c>
      <c r="D54" s="466">
        <v>16670.757714447962</v>
      </c>
      <c r="E54" s="466">
        <v>542266.0149298765</v>
      </c>
      <c r="F54" s="59"/>
      <c r="G54" s="59"/>
      <c r="H54" s="59"/>
      <c r="I54" s="59"/>
      <c r="J54" s="60"/>
    </row>
    <row r="55" spans="2:10" ht="15">
      <c r="B55" s="72" t="s">
        <v>46</v>
      </c>
      <c r="C55" s="466">
        <v>31550.383273089355</v>
      </c>
      <c r="D55" s="466">
        <v>34774.37916881522</v>
      </c>
      <c r="E55" s="466">
        <v>750496.2709323597</v>
      </c>
      <c r="F55" s="59"/>
      <c r="G55" s="59"/>
      <c r="H55" s="59"/>
      <c r="I55" s="59"/>
      <c r="J55" s="60"/>
    </row>
    <row r="56" spans="2:10" ht="15">
      <c r="B56" s="72" t="s">
        <v>47</v>
      </c>
      <c r="C56" s="466">
        <v>37064.52473953978</v>
      </c>
      <c r="D56" s="466">
        <v>72778.5231095049</v>
      </c>
      <c r="E56" s="466">
        <v>3169965.7138434746</v>
      </c>
      <c r="F56" s="59"/>
      <c r="G56" s="59"/>
      <c r="H56" s="59"/>
      <c r="I56" s="59"/>
      <c r="J56" s="60"/>
    </row>
    <row r="57" spans="2:10" ht="15">
      <c r="B57" s="72" t="s">
        <v>48</v>
      </c>
      <c r="C57" s="466">
        <v>58571.872552577224</v>
      </c>
      <c r="D57" s="466">
        <v>39727.49450796316</v>
      </c>
      <c r="E57" s="466">
        <v>2236183.8797627296</v>
      </c>
      <c r="F57" s="59"/>
      <c r="G57" s="59"/>
      <c r="H57" s="59"/>
      <c r="I57" s="59"/>
      <c r="J57" s="60"/>
    </row>
    <row r="58" spans="2:10" ht="15">
      <c r="B58" s="72" t="s">
        <v>49</v>
      </c>
      <c r="C58" s="466">
        <v>18583.956095116257</v>
      </c>
      <c r="D58" s="466">
        <v>14725.932336110338</v>
      </c>
      <c r="E58" s="466">
        <v>385761.48105713626</v>
      </c>
      <c r="F58" s="59"/>
      <c r="G58" s="59"/>
      <c r="H58" s="59"/>
      <c r="I58" s="59"/>
      <c r="J58" s="60"/>
    </row>
    <row r="59" spans="2:10" ht="15">
      <c r="B59" s="72" t="s">
        <v>50</v>
      </c>
      <c r="C59" s="466">
        <v>37791.71395585299</v>
      </c>
      <c r="D59" s="466">
        <v>33805.80778811709</v>
      </c>
      <c r="E59" s="466">
        <v>735794.9400582679</v>
      </c>
      <c r="F59" s="59"/>
      <c r="G59" s="59"/>
      <c r="H59" s="59"/>
      <c r="I59" s="59"/>
      <c r="J59" s="60"/>
    </row>
    <row r="60" spans="2:10" ht="15">
      <c r="B60" s="72" t="s">
        <v>51</v>
      </c>
      <c r="C60" s="466">
        <v>2472.9665991333277</v>
      </c>
      <c r="D60" s="466">
        <v>2931.0347569631176</v>
      </c>
      <c r="E60" s="466">
        <v>69150.44687060703</v>
      </c>
      <c r="F60" s="59"/>
      <c r="G60" s="59"/>
      <c r="H60" s="59"/>
      <c r="I60" s="59"/>
      <c r="J60" s="60"/>
    </row>
    <row r="61" spans="2:10" ht="15">
      <c r="B61" s="72" t="s">
        <v>52</v>
      </c>
      <c r="C61" s="466">
        <v>9245.912355763136</v>
      </c>
      <c r="D61" s="466">
        <v>26919.990550398994</v>
      </c>
      <c r="E61" s="466">
        <v>1081243.283304724</v>
      </c>
      <c r="F61" s="59"/>
      <c r="G61" s="59"/>
      <c r="H61" s="59"/>
      <c r="I61" s="59"/>
      <c r="J61" s="60"/>
    </row>
    <row r="62" spans="2:10" ht="15">
      <c r="B62" s="72" t="s">
        <v>53</v>
      </c>
      <c r="C62" s="466">
        <v>38999.2212157126</v>
      </c>
      <c r="D62" s="466">
        <v>49061.71287720886</v>
      </c>
      <c r="E62" s="466">
        <v>833800.6945264561</v>
      </c>
      <c r="F62" s="59"/>
      <c r="G62" s="59"/>
      <c r="H62" s="59"/>
      <c r="I62" s="59"/>
      <c r="J62" s="60"/>
    </row>
    <row r="63" spans="2:10" ht="15">
      <c r="B63" s="72" t="s">
        <v>54</v>
      </c>
      <c r="C63" s="470">
        <v>6265.0782971701165</v>
      </c>
      <c r="D63" s="470">
        <v>10753.666558466482</v>
      </c>
      <c r="E63" s="470">
        <v>301889.95778411906</v>
      </c>
      <c r="F63" s="59"/>
      <c r="G63" s="59"/>
      <c r="H63" s="59"/>
      <c r="I63" s="59"/>
      <c r="J63" s="60"/>
    </row>
    <row r="64" spans="2:10" ht="15">
      <c r="B64" s="73" t="s">
        <v>55</v>
      </c>
      <c r="C64" s="470">
        <v>11378.6201932818</v>
      </c>
      <c r="D64" s="470">
        <v>21480.8984773847</v>
      </c>
      <c r="E64" s="470">
        <v>1009917.31436426</v>
      </c>
      <c r="F64" s="59"/>
      <c r="G64" s="59"/>
      <c r="H64" s="59"/>
      <c r="I64" s="59"/>
      <c r="J64" s="60"/>
    </row>
    <row r="65" spans="2:10" ht="15">
      <c r="B65" s="72" t="s">
        <v>56</v>
      </c>
      <c r="C65" s="470">
        <v>4092.9268734528137</v>
      </c>
      <c r="D65" s="470">
        <v>616.811331477455</v>
      </c>
      <c r="E65" s="470">
        <v>18600.14838166944</v>
      </c>
      <c r="F65" s="59"/>
      <c r="G65" s="59"/>
      <c r="H65" s="59"/>
      <c r="I65" s="59"/>
      <c r="J65" s="60"/>
    </row>
    <row r="66" spans="2:10" ht="15">
      <c r="B66" s="72" t="s">
        <v>57</v>
      </c>
      <c r="C66" s="470">
        <v>501.0085943960365</v>
      </c>
      <c r="D66" s="470">
        <v>21.48672611728187</v>
      </c>
      <c r="E66" s="470">
        <v>2557.8100698323988</v>
      </c>
      <c r="F66" s="59"/>
      <c r="G66" s="59"/>
      <c r="H66" s="59"/>
      <c r="I66" s="59"/>
      <c r="J66" s="60"/>
    </row>
    <row r="67" spans="2:10" ht="15">
      <c r="B67" s="72" t="s">
        <v>58</v>
      </c>
      <c r="C67" s="470">
        <v>583.3496439396521</v>
      </c>
      <c r="D67" s="470">
        <v>5301.483979346992</v>
      </c>
      <c r="E67" s="470">
        <v>177926.05513951773</v>
      </c>
      <c r="F67" s="59"/>
      <c r="G67" s="59"/>
      <c r="H67" s="59"/>
      <c r="I67" s="59"/>
      <c r="J67" s="60"/>
    </row>
    <row r="68" spans="2:10" ht="15">
      <c r="B68" s="72" t="s">
        <v>59</v>
      </c>
      <c r="C68" s="470">
        <v>9107.869899540408</v>
      </c>
      <c r="D68" s="470">
        <v>8494.05231804396</v>
      </c>
      <c r="E68" s="470">
        <v>94594.61074041708</v>
      </c>
      <c r="F68" s="59"/>
      <c r="G68" s="59"/>
      <c r="H68" s="59"/>
      <c r="I68" s="59"/>
      <c r="J68" s="60"/>
    </row>
    <row r="69" spans="2:10" ht="15">
      <c r="B69" s="72" t="s">
        <v>60</v>
      </c>
      <c r="C69" s="470">
        <v>27998.4746045075</v>
      </c>
      <c r="D69" s="470">
        <v>38789.43598582466</v>
      </c>
      <c r="E69" s="470">
        <v>113159.17119395298</v>
      </c>
      <c r="F69" s="59"/>
      <c r="G69" s="59"/>
      <c r="H69" s="59"/>
      <c r="I69" s="59"/>
      <c r="J69" s="60"/>
    </row>
    <row r="70" spans="2:10" ht="15">
      <c r="B70" s="72" t="s">
        <v>61</v>
      </c>
      <c r="C70" s="470">
        <v>8117.6214525417145</v>
      </c>
      <c r="D70" s="470">
        <v>53525.787022586934</v>
      </c>
      <c r="E70" s="470">
        <v>118628.00232627365</v>
      </c>
      <c r="F70" s="59"/>
      <c r="G70" s="59"/>
      <c r="H70" s="59"/>
      <c r="I70" s="59"/>
      <c r="J70" s="60"/>
    </row>
    <row r="71" spans="2:10" ht="15">
      <c r="B71" s="72" t="s">
        <v>62</v>
      </c>
      <c r="C71" s="470">
        <v>22871.138932304264</v>
      </c>
      <c r="D71" s="470">
        <v>13088.068736036012</v>
      </c>
      <c r="E71" s="470">
        <v>407394.734834256</v>
      </c>
      <c r="F71" s="59"/>
      <c r="G71" s="59"/>
      <c r="H71" s="59"/>
      <c r="I71" s="59"/>
      <c r="J71" s="60"/>
    </row>
    <row r="72" spans="2:10" ht="15">
      <c r="B72" s="72" t="s">
        <v>63</v>
      </c>
      <c r="C72" s="470">
        <v>615.3548408338808</v>
      </c>
      <c r="D72" s="470">
        <v>1257.4098721983403</v>
      </c>
      <c r="E72" s="470">
        <v>127940.51222990174</v>
      </c>
      <c r="F72" s="59"/>
      <c r="G72" s="59"/>
      <c r="H72" s="59"/>
      <c r="I72" s="59"/>
      <c r="J72" s="60"/>
    </row>
    <row r="73" spans="2:10" ht="15">
      <c r="B73" s="72" t="s">
        <v>64</v>
      </c>
      <c r="C73" s="470">
        <v>2165.5475110619936</v>
      </c>
      <c r="D73" s="470">
        <v>2202.886171174328</v>
      </c>
      <c r="E73" s="470">
        <v>2571.529384598459</v>
      </c>
      <c r="F73" s="59"/>
      <c r="G73" s="59"/>
      <c r="H73" s="59"/>
      <c r="I73" s="59"/>
      <c r="J73" s="60"/>
    </row>
    <row r="74" spans="2:10" ht="15">
      <c r="B74" s="72" t="s">
        <v>65</v>
      </c>
      <c r="C74" s="470">
        <v>2266.8403124664146</v>
      </c>
      <c r="D74" s="470">
        <v>187.47243029484102</v>
      </c>
      <c r="E74" s="470">
        <v>12910.805170773625</v>
      </c>
      <c r="F74" s="59"/>
      <c r="G74" s="59"/>
      <c r="H74" s="59"/>
      <c r="I74" s="59"/>
      <c r="J74" s="60"/>
    </row>
    <row r="75" spans="2:10" ht="15.75" thickBot="1">
      <c r="B75" s="63"/>
      <c r="C75" s="60"/>
      <c r="D75" s="61"/>
      <c r="E75" s="61"/>
      <c r="F75" s="59"/>
      <c r="G75" s="59"/>
      <c r="H75" s="59"/>
      <c r="I75" s="59"/>
      <c r="J75" s="60"/>
    </row>
    <row r="76" spans="2:9" ht="15">
      <c r="B76" s="293" t="s">
        <v>1462</v>
      </c>
      <c r="C76" s="1192">
        <v>3</v>
      </c>
      <c r="D76" s="1192"/>
      <c r="E76" s="1192"/>
      <c r="F76" s="1192"/>
      <c r="G76" s="1192"/>
      <c r="H76" s="1192"/>
      <c r="I76" s="1193"/>
    </row>
    <row r="77" spans="2:9" ht="15" customHeight="1">
      <c r="B77" s="294" t="s">
        <v>1461</v>
      </c>
      <c r="C77" s="1200" t="s">
        <v>1463</v>
      </c>
      <c r="D77" s="1201"/>
      <c r="E77" s="1201"/>
      <c r="F77" s="1201"/>
      <c r="G77" s="1201"/>
      <c r="H77" s="1201"/>
      <c r="I77" s="1202"/>
    </row>
    <row r="78" spans="2:9" ht="15" customHeight="1">
      <c r="B78" s="294" t="s">
        <v>73</v>
      </c>
      <c r="C78" s="1180" t="s">
        <v>1565</v>
      </c>
      <c r="D78" s="1180"/>
      <c r="E78" s="1180"/>
      <c r="F78" s="1180"/>
      <c r="G78" s="1180"/>
      <c r="H78" s="1180"/>
      <c r="I78" s="1181"/>
    </row>
    <row r="79" spans="2:9" ht="15">
      <c r="B79" s="294" t="s">
        <v>1010</v>
      </c>
      <c r="C79" s="1159" t="s">
        <v>1459</v>
      </c>
      <c r="D79" s="1160"/>
      <c r="E79" s="1160"/>
      <c r="F79" s="1160"/>
      <c r="G79" s="1160"/>
      <c r="H79" s="1160"/>
      <c r="I79" s="1161"/>
    </row>
    <row r="80" spans="2:9" ht="15">
      <c r="B80" s="294" t="s">
        <v>74</v>
      </c>
      <c r="C80" s="1162">
        <v>44858</v>
      </c>
      <c r="D80" s="1160"/>
      <c r="E80" s="1160"/>
      <c r="F80" s="1160"/>
      <c r="G80" s="1160"/>
      <c r="H80" s="1160"/>
      <c r="I80" s="1161"/>
    </row>
    <row r="81" spans="2:9" ht="30" customHeight="1" thickBot="1">
      <c r="B81" s="295" t="s">
        <v>75</v>
      </c>
      <c r="C81" s="1183" t="s">
        <v>1583</v>
      </c>
      <c r="D81" s="1183"/>
      <c r="E81" s="1183"/>
      <c r="F81" s="1183"/>
      <c r="G81" s="1183"/>
      <c r="H81" s="1183"/>
      <c r="I81" s="1184"/>
    </row>
    <row r="82" spans="2:9" ht="15">
      <c r="B82"/>
      <c r="C82"/>
      <c r="D82"/>
      <c r="E82" s="297"/>
      <c r="F82" s="297"/>
      <c r="G82" s="297"/>
      <c r="H82" s="297"/>
      <c r="I82" s="297"/>
    </row>
    <row r="83" spans="2:10" ht="42" customHeight="1">
      <c r="B83" s="291" t="s">
        <v>1015</v>
      </c>
      <c r="C83" s="55" t="s">
        <v>1016</v>
      </c>
      <c r="D83" s="59"/>
      <c r="E83" s="59"/>
      <c r="F83" s="59"/>
      <c r="G83" s="59"/>
      <c r="H83" s="59"/>
      <c r="I83" s="59"/>
      <c r="J83" s="60"/>
    </row>
    <row r="84" spans="2:10" ht="15">
      <c r="B84" s="344" t="s">
        <v>69</v>
      </c>
      <c r="C84" s="448">
        <f>SUM(C85:C108)</f>
        <v>905818</v>
      </c>
      <c r="D84" s="343"/>
      <c r="E84" s="59"/>
      <c r="F84" s="59"/>
      <c r="G84" s="59"/>
      <c r="H84" s="59"/>
      <c r="I84" s="59"/>
      <c r="J84" s="60"/>
    </row>
    <row r="85" spans="2:10" ht="15">
      <c r="B85" s="72" t="s">
        <v>43</v>
      </c>
      <c r="C85" s="450">
        <v>79623</v>
      </c>
      <c r="D85" s="343"/>
      <c r="G85" s="59"/>
      <c r="H85" s="59"/>
      <c r="I85" s="59"/>
      <c r="J85" s="60"/>
    </row>
    <row r="86" spans="2:10" ht="15">
      <c r="B86" s="72" t="s">
        <v>223</v>
      </c>
      <c r="C86" s="450">
        <v>14847</v>
      </c>
      <c r="D86" s="343"/>
      <c r="E86" s="64"/>
      <c r="G86" s="59"/>
      <c r="H86" s="59"/>
      <c r="I86" s="59"/>
      <c r="J86" s="60"/>
    </row>
    <row r="87" spans="2:10" ht="15">
      <c r="B87" s="72" t="s">
        <v>44</v>
      </c>
      <c r="C87" s="450">
        <v>31825</v>
      </c>
      <c r="D87" s="343"/>
      <c r="E87" s="64"/>
      <c r="G87" s="59"/>
      <c r="H87" s="59"/>
      <c r="I87" s="59"/>
      <c r="J87" s="60"/>
    </row>
    <row r="88" spans="2:10" ht="15">
      <c r="B88" s="72" t="s">
        <v>45</v>
      </c>
      <c r="C88" s="450">
        <v>75737</v>
      </c>
      <c r="D88" s="343"/>
      <c r="E88" s="64"/>
      <c r="G88" s="59"/>
      <c r="H88" s="59"/>
      <c r="I88" s="59"/>
      <c r="J88" s="60"/>
    </row>
    <row r="89" spans="2:10" ht="15">
      <c r="B89" s="72" t="s">
        <v>46</v>
      </c>
      <c r="C89" s="450">
        <v>33695</v>
      </c>
      <c r="D89" s="343"/>
      <c r="E89" s="64"/>
      <c r="G89" s="59"/>
      <c r="H89" s="59"/>
      <c r="I89" s="59"/>
      <c r="J89" s="60"/>
    </row>
    <row r="90" spans="2:10" ht="15">
      <c r="B90" s="72" t="s">
        <v>47</v>
      </c>
      <c r="C90" s="450">
        <v>164222</v>
      </c>
      <c r="D90" s="343"/>
      <c r="E90" s="64"/>
      <c r="G90" s="59"/>
      <c r="H90" s="59"/>
      <c r="I90" s="59"/>
      <c r="J90" s="60"/>
    </row>
    <row r="91" spans="2:10" ht="15">
      <c r="B91" s="72" t="s">
        <v>48</v>
      </c>
      <c r="C91" s="450">
        <v>80570</v>
      </c>
      <c r="D91" s="343"/>
      <c r="E91" s="64"/>
      <c r="G91" s="59"/>
      <c r="H91" s="59"/>
      <c r="I91" s="59"/>
      <c r="J91" s="60"/>
    </row>
    <row r="92" spans="2:10" ht="15">
      <c r="B92" s="72" t="s">
        <v>49</v>
      </c>
      <c r="C92" s="450">
        <v>12120</v>
      </c>
      <c r="D92" s="343"/>
      <c r="E92" s="64"/>
      <c r="G92" s="59"/>
      <c r="H92" s="59"/>
      <c r="I92" s="59"/>
      <c r="J92" s="60"/>
    </row>
    <row r="93" spans="2:10" ht="15">
      <c r="B93" s="72" t="s">
        <v>50</v>
      </c>
      <c r="C93" s="450">
        <v>34916</v>
      </c>
      <c r="D93" s="343"/>
      <c r="E93" s="64"/>
      <c r="G93" s="59"/>
      <c r="H93" s="59"/>
      <c r="I93" s="59"/>
      <c r="J93" s="60"/>
    </row>
    <row r="94" spans="2:10" ht="15">
      <c r="B94" s="72" t="s">
        <v>51</v>
      </c>
      <c r="C94" s="450">
        <v>12537</v>
      </c>
      <c r="D94" s="343"/>
      <c r="E94" s="64"/>
      <c r="G94" s="59"/>
      <c r="H94" s="59"/>
      <c r="I94" s="59"/>
      <c r="J94" s="60"/>
    </row>
    <row r="95" spans="2:10" ht="15">
      <c r="B95" s="72" t="s">
        <v>52</v>
      </c>
      <c r="C95" s="450">
        <v>40669</v>
      </c>
      <c r="D95" s="343"/>
      <c r="E95" s="64"/>
      <c r="G95" s="59"/>
      <c r="H95" s="59"/>
      <c r="I95" s="59"/>
      <c r="J95" s="60"/>
    </row>
    <row r="96" spans="2:10" ht="15">
      <c r="B96" s="72" t="s">
        <v>53</v>
      </c>
      <c r="C96" s="450">
        <v>48823</v>
      </c>
      <c r="D96" s="343"/>
      <c r="E96" s="64"/>
      <c r="G96" s="59"/>
      <c r="H96" s="59"/>
      <c r="I96" s="59"/>
      <c r="J96" s="60"/>
    </row>
    <row r="97" spans="2:7" ht="15">
      <c r="B97" s="72" t="s">
        <v>54</v>
      </c>
      <c r="C97" s="450">
        <v>17837</v>
      </c>
      <c r="D97" s="343"/>
      <c r="E97" s="64"/>
      <c r="G97" s="59"/>
    </row>
    <row r="98" spans="2:7" ht="15">
      <c r="B98" s="73" t="s">
        <v>55</v>
      </c>
      <c r="C98" s="450">
        <v>71092</v>
      </c>
      <c r="D98" s="343"/>
      <c r="E98" s="64"/>
      <c r="G98" s="59"/>
    </row>
    <row r="99" spans="2:7" ht="15">
      <c r="B99" s="72" t="s">
        <v>56</v>
      </c>
      <c r="C99" s="450">
        <v>1228</v>
      </c>
      <c r="D99" s="343"/>
      <c r="E99" s="64"/>
      <c r="G99" s="59"/>
    </row>
    <row r="100" spans="2:7" ht="15">
      <c r="B100" s="72" t="s">
        <v>57</v>
      </c>
      <c r="C100" s="450">
        <v>1354</v>
      </c>
      <c r="D100" s="343"/>
      <c r="E100" s="64"/>
      <c r="G100" s="59"/>
    </row>
    <row r="101" spans="2:7" ht="15">
      <c r="B101" s="72" t="s">
        <v>58</v>
      </c>
      <c r="C101" s="450">
        <v>5671</v>
      </c>
      <c r="D101" s="343"/>
      <c r="E101" s="64"/>
      <c r="G101" s="59"/>
    </row>
    <row r="102" spans="2:7" ht="15">
      <c r="B102" s="72" t="s">
        <v>59</v>
      </c>
      <c r="C102" s="450">
        <v>29614</v>
      </c>
      <c r="D102" s="343"/>
      <c r="E102" s="64"/>
      <c r="G102" s="59"/>
    </row>
    <row r="103" spans="2:7" ht="15">
      <c r="B103" s="72" t="s">
        <v>60</v>
      </c>
      <c r="C103" s="450">
        <v>24072</v>
      </c>
      <c r="D103" s="343"/>
      <c r="E103" s="64"/>
      <c r="G103" s="59"/>
    </row>
    <row r="104" spans="2:7" ht="15">
      <c r="B104" s="72" t="s">
        <v>61</v>
      </c>
      <c r="C104" s="450">
        <v>95949</v>
      </c>
      <c r="D104" s="343"/>
      <c r="E104" s="64"/>
      <c r="G104" s="59"/>
    </row>
    <row r="105" spans="2:7" ht="15">
      <c r="B105" s="72" t="s">
        <v>62</v>
      </c>
      <c r="C105" s="450">
        <v>19732</v>
      </c>
      <c r="D105" s="343"/>
      <c r="E105" s="64"/>
      <c r="G105" s="59"/>
    </row>
    <row r="106" spans="2:10" ht="15">
      <c r="B106" s="72" t="s">
        <v>63</v>
      </c>
      <c r="C106" s="298">
        <v>5692</v>
      </c>
      <c r="D106" s="343"/>
      <c r="E106" s="64"/>
      <c r="G106" s="59"/>
      <c r="H106" s="59"/>
      <c r="I106" s="59"/>
      <c r="J106" s="60"/>
    </row>
    <row r="107" spans="2:10" ht="15">
      <c r="B107" s="72" t="s">
        <v>64</v>
      </c>
      <c r="C107" s="298">
        <v>362</v>
      </c>
      <c r="D107" s="343"/>
      <c r="E107" s="64"/>
      <c r="G107" s="59"/>
      <c r="H107" s="59"/>
      <c r="I107" s="59"/>
      <c r="J107" s="60"/>
    </row>
    <row r="108" spans="2:10" ht="15">
      <c r="B108" s="72" t="s">
        <v>65</v>
      </c>
      <c r="C108" s="298">
        <v>3631</v>
      </c>
      <c r="D108" s="343"/>
      <c r="E108" s="64"/>
      <c r="G108" s="59"/>
      <c r="H108" s="59"/>
      <c r="I108" s="59"/>
      <c r="J108" s="60"/>
    </row>
    <row r="109" spans="2:10" ht="15.75" thickBot="1">
      <c r="B109" s="59"/>
      <c r="C109" s="65"/>
      <c r="D109" s="59"/>
      <c r="E109" s="59"/>
      <c r="F109" s="59"/>
      <c r="G109" s="59"/>
      <c r="H109" s="59"/>
      <c r="I109" s="59"/>
      <c r="J109" s="60"/>
    </row>
    <row r="110" spans="2:43" ht="15">
      <c r="B110" s="293" t="s">
        <v>1462</v>
      </c>
      <c r="C110" s="1167">
        <v>4</v>
      </c>
      <c r="D110" s="1167"/>
      <c r="E110" s="1167"/>
      <c r="F110" s="1167"/>
      <c r="G110" s="1167"/>
      <c r="H110" s="1167"/>
      <c r="I110" s="1168"/>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row>
    <row r="111" spans="2:43" ht="15">
      <c r="B111" s="294" t="s">
        <v>1461</v>
      </c>
      <c r="C111" s="1169" t="s">
        <v>1042</v>
      </c>
      <c r="D111" s="1169"/>
      <c r="E111" s="1169"/>
      <c r="F111" s="1169"/>
      <c r="G111" s="1169"/>
      <c r="H111" s="1169"/>
      <c r="I111" s="1170"/>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row>
    <row r="112" spans="2:43" ht="15">
      <c r="B112" s="294" t="s">
        <v>73</v>
      </c>
      <c r="C112" s="1176" t="s">
        <v>1043</v>
      </c>
      <c r="D112" s="1176"/>
      <c r="E112" s="1176"/>
      <c r="F112" s="1176"/>
      <c r="G112" s="1176"/>
      <c r="H112" s="1176"/>
      <c r="I112" s="1177"/>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row>
    <row r="113" spans="2:43" ht="15">
      <c r="B113" s="294" t="s">
        <v>1010</v>
      </c>
      <c r="C113" s="1178" t="s">
        <v>1044</v>
      </c>
      <c r="D113" s="1169"/>
      <c r="E113" s="1169"/>
      <c r="F113" s="1169"/>
      <c r="G113" s="1169"/>
      <c r="H113" s="1169"/>
      <c r="I113" s="1170"/>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row>
    <row r="114" spans="2:14" ht="15">
      <c r="B114" s="294" t="s">
        <v>74</v>
      </c>
      <c r="C114" s="1179" t="s">
        <v>143</v>
      </c>
      <c r="D114" s="1169"/>
      <c r="E114" s="1169"/>
      <c r="F114" s="1169"/>
      <c r="G114" s="1169"/>
      <c r="H114" s="1169"/>
      <c r="I114" s="1170"/>
      <c r="K114"/>
      <c r="L114"/>
      <c r="M114"/>
      <c r="N114"/>
    </row>
    <row r="115" spans="2:43" ht="132" customHeight="1" thickBot="1">
      <c r="B115" s="295" t="s">
        <v>75</v>
      </c>
      <c r="C115" s="1186" t="s">
        <v>1084</v>
      </c>
      <c r="D115" s="1186"/>
      <c r="E115" s="1186"/>
      <c r="F115" s="1186"/>
      <c r="G115" s="1186"/>
      <c r="H115" s="1186"/>
      <c r="I115" s="1187"/>
      <c r="J115" s="59"/>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row>
    <row r="116" spans="2:10" ht="15">
      <c r="B116" s="59"/>
      <c r="C116" s="65"/>
      <c r="D116" s="59"/>
      <c r="E116" s="59"/>
      <c r="F116" s="59"/>
      <c r="G116" s="59"/>
      <c r="H116" s="59"/>
      <c r="I116" s="59"/>
      <c r="J116" s="60"/>
    </row>
    <row r="117" spans="2:43" ht="38.25">
      <c r="B117" s="1188" t="s">
        <v>1076</v>
      </c>
      <c r="C117" s="1188"/>
      <c r="D117" s="323" t="s">
        <v>1157</v>
      </c>
      <c r="E117" s="323" t="s">
        <v>1050</v>
      </c>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row>
    <row r="118" spans="2:43" ht="15" customHeight="1">
      <c r="B118" s="1185" t="s">
        <v>1066</v>
      </c>
      <c r="C118" s="1185"/>
      <c r="D118" s="465">
        <v>1978808.999999989</v>
      </c>
      <c r="E118" s="352">
        <f>+D118/SUM($D$118:$D$124)</f>
        <v>0.3962622792587024</v>
      </c>
      <c r="G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row>
    <row r="119" spans="2:43" ht="15">
      <c r="B119" s="1185" t="s">
        <v>1067</v>
      </c>
      <c r="C119" s="1185"/>
      <c r="D119" s="465">
        <v>654051.9999999797</v>
      </c>
      <c r="E119" s="352">
        <f aca="true" t="shared" si="1" ref="E119:E124">+D119/SUM($D$118:$D$124)</f>
        <v>0.13097582246376796</v>
      </c>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row>
    <row r="120" spans="2:43" ht="15">
      <c r="B120" s="1185" t="s">
        <v>1068</v>
      </c>
      <c r="C120" s="1185"/>
      <c r="D120" s="465">
        <v>30140.000000000025</v>
      </c>
      <c r="E120" s="352">
        <f t="shared" si="1"/>
        <v>0.00603562299183871</v>
      </c>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row>
    <row r="121" spans="2:43" ht="15">
      <c r="B121" s="1185" t="s">
        <v>1069</v>
      </c>
      <c r="C121" s="1185"/>
      <c r="D121" s="465">
        <v>437101.99999999616</v>
      </c>
      <c r="E121" s="352">
        <f t="shared" si="1"/>
        <v>0.08753095159185993</v>
      </c>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row>
    <row r="122" spans="2:43" ht="15">
      <c r="B122" s="1185" t="s">
        <v>1070</v>
      </c>
      <c r="C122" s="1185"/>
      <c r="D122" s="465">
        <v>387166.00000000146</v>
      </c>
      <c r="E122" s="352">
        <f t="shared" si="1"/>
        <v>0.07753112180684249</v>
      </c>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row>
    <row r="123" spans="2:43" ht="15">
      <c r="B123" s="1185" t="s">
        <v>1071</v>
      </c>
      <c r="C123" s="1185"/>
      <c r="D123" s="465">
        <v>388338.9999999989</v>
      </c>
      <c r="E123" s="352">
        <f t="shared" si="1"/>
        <v>0.07776601848134188</v>
      </c>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row>
    <row r="124" spans="2:43" ht="15">
      <c r="B124" s="1185" t="s">
        <v>1072</v>
      </c>
      <c r="C124" s="1185"/>
      <c r="D124" s="465">
        <v>1118077.000000024</v>
      </c>
      <c r="E124" s="352">
        <f t="shared" si="1"/>
        <v>0.2238981834056466</v>
      </c>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row>
    <row r="125" spans="1:43" ht="15">
      <c r="A125" s="329"/>
      <c r="B125" s="329"/>
      <c r="C125" s="329"/>
      <c r="D125" s="329"/>
      <c r="E125" s="329"/>
      <c r="F125" s="329"/>
      <c r="G125" s="329"/>
      <c r="H125" s="329"/>
      <c r="I125" s="329"/>
      <c r="J125" s="329"/>
      <c r="K125" s="329"/>
      <c r="L125" s="329"/>
      <c r="M125" s="329"/>
      <c r="N125" s="329"/>
      <c r="O125"/>
      <c r="P125"/>
      <c r="Q125"/>
      <c r="R125"/>
      <c r="S125"/>
      <c r="T125"/>
      <c r="U125"/>
      <c r="V125"/>
      <c r="W125"/>
      <c r="X125"/>
      <c r="Y125"/>
      <c r="Z125"/>
      <c r="AA125"/>
      <c r="AB125"/>
      <c r="AC125"/>
      <c r="AD125"/>
      <c r="AE125"/>
      <c r="AF125"/>
      <c r="AG125"/>
      <c r="AH125"/>
      <c r="AI125"/>
      <c r="AJ125"/>
      <c r="AK125"/>
      <c r="AL125"/>
      <c r="AM125"/>
      <c r="AN125"/>
      <c r="AO125"/>
      <c r="AP125"/>
      <c r="AQ125"/>
    </row>
    <row r="126" spans="1:43" ht="38.25">
      <c r="A126" s="329"/>
      <c r="B126" s="1188" t="s">
        <v>1079</v>
      </c>
      <c r="C126" s="1188"/>
      <c r="D126" s="323" t="s">
        <v>1157</v>
      </c>
      <c r="E126" s="323" t="s">
        <v>1050</v>
      </c>
      <c r="F126" s="329"/>
      <c r="G126" s="329"/>
      <c r="H126" s="329"/>
      <c r="I126" s="329"/>
      <c r="J126" s="329"/>
      <c r="K126" s="329"/>
      <c r="L126" s="329"/>
      <c r="M126" s="329"/>
      <c r="N126" s="329"/>
      <c r="O126"/>
      <c r="P126"/>
      <c r="Q126"/>
      <c r="R126"/>
      <c r="S126"/>
      <c r="T126"/>
      <c r="U126"/>
      <c r="V126"/>
      <c r="W126"/>
      <c r="X126"/>
      <c r="Y126"/>
      <c r="Z126"/>
      <c r="AA126"/>
      <c r="AB126"/>
      <c r="AC126"/>
      <c r="AD126"/>
      <c r="AE126"/>
      <c r="AF126"/>
      <c r="AG126"/>
      <c r="AH126"/>
      <c r="AI126"/>
      <c r="AJ126"/>
      <c r="AK126"/>
      <c r="AL126"/>
      <c r="AM126"/>
      <c r="AN126"/>
      <c r="AO126"/>
      <c r="AP126"/>
      <c r="AQ126"/>
    </row>
    <row r="127" spans="1:43" ht="15">
      <c r="A127" s="329"/>
      <c r="B127" s="1189" t="s">
        <v>1078</v>
      </c>
      <c r="C127" s="1189"/>
      <c r="D127" s="465">
        <v>226657.99999999985</v>
      </c>
      <c r="E127" s="353">
        <f>+D127/SUM(D127:D128)</f>
        <v>0.2749809527969057</v>
      </c>
      <c r="F127" s="329"/>
      <c r="G127" s="329"/>
      <c r="H127" s="329"/>
      <c r="I127" s="329"/>
      <c r="J127" s="329"/>
      <c r="K127" s="329"/>
      <c r="L127" s="329"/>
      <c r="M127" s="329"/>
      <c r="N127" s="329"/>
      <c r="O127"/>
      <c r="P127"/>
      <c r="Q127"/>
      <c r="R127"/>
      <c r="S127"/>
      <c r="T127"/>
      <c r="U127"/>
      <c r="V127"/>
      <c r="W127"/>
      <c r="X127"/>
      <c r="Y127"/>
      <c r="Z127"/>
      <c r="AA127"/>
      <c r="AB127"/>
      <c r="AC127"/>
      <c r="AD127"/>
      <c r="AE127"/>
      <c r="AF127"/>
      <c r="AG127"/>
      <c r="AH127"/>
      <c r="AI127"/>
      <c r="AJ127"/>
      <c r="AK127"/>
      <c r="AL127"/>
      <c r="AM127"/>
      <c r="AN127"/>
      <c r="AO127"/>
      <c r="AP127"/>
      <c r="AQ127"/>
    </row>
    <row r="128" spans="1:43" ht="15">
      <c r="A128" s="329"/>
      <c r="B128" s="1189" t="s">
        <v>1077</v>
      </c>
      <c r="C128" s="1189"/>
      <c r="D128" s="465">
        <v>597610</v>
      </c>
      <c r="E128" s="353">
        <f>+D128/SUM(D127:D128)</f>
        <v>0.7250190472030943</v>
      </c>
      <c r="F128" s="329"/>
      <c r="G128" s="329"/>
      <c r="H128" s="329"/>
      <c r="I128" s="329"/>
      <c r="J128" s="329"/>
      <c r="K128" s="329"/>
      <c r="L128" s="329"/>
      <c r="M128" s="329"/>
      <c r="N128" s="329"/>
      <c r="O128"/>
      <c r="P128"/>
      <c r="Q128"/>
      <c r="R128"/>
      <c r="S128"/>
      <c r="T128"/>
      <c r="U128"/>
      <c r="V128"/>
      <c r="W128"/>
      <c r="X128"/>
      <c r="Y128"/>
      <c r="Z128"/>
      <c r="AA128"/>
      <c r="AB128"/>
      <c r="AC128"/>
      <c r="AD128"/>
      <c r="AE128"/>
      <c r="AF128"/>
      <c r="AG128"/>
      <c r="AH128"/>
      <c r="AI128"/>
      <c r="AJ128"/>
      <c r="AK128"/>
      <c r="AL128"/>
      <c r="AM128"/>
      <c r="AN128"/>
      <c r="AO128"/>
      <c r="AP128"/>
      <c r="AQ128"/>
    </row>
    <row r="129" spans="1:14" ht="15.75" thickBot="1">
      <c r="A129" s="329"/>
      <c r="B129" s="329"/>
      <c r="C129" s="329"/>
      <c r="D129" s="329"/>
      <c r="E129" s="329"/>
      <c r="F129" s="329"/>
      <c r="G129" s="329"/>
      <c r="H129" s="329"/>
      <c r="I129" s="329"/>
      <c r="J129" s="329"/>
      <c r="K129" s="329"/>
      <c r="L129" s="329"/>
      <c r="M129" s="329"/>
      <c r="N129" s="329"/>
    </row>
    <row r="130" spans="2:9" ht="15">
      <c r="B130" s="293" t="s">
        <v>1462</v>
      </c>
      <c r="C130" s="1209">
        <v>5</v>
      </c>
      <c r="D130" s="1210"/>
      <c r="E130" s="1210"/>
      <c r="F130" s="1210"/>
      <c r="G130" s="1210"/>
      <c r="H130" s="1210"/>
      <c r="I130" s="1211"/>
    </row>
    <row r="131" spans="2:9" ht="15">
      <c r="B131" s="294" t="s">
        <v>1461</v>
      </c>
      <c r="C131" s="1206" t="s">
        <v>1464</v>
      </c>
      <c r="D131" s="1207"/>
      <c r="E131" s="1207"/>
      <c r="F131" s="1207"/>
      <c r="G131" s="1207"/>
      <c r="H131" s="1207"/>
      <c r="I131" s="1208"/>
    </row>
    <row r="132" spans="2:9" ht="13.5" customHeight="1">
      <c r="B132" s="294" t="s">
        <v>73</v>
      </c>
      <c r="C132" s="1180" t="s">
        <v>1566</v>
      </c>
      <c r="D132" s="1180"/>
      <c r="E132" s="1180"/>
      <c r="F132" s="1180"/>
      <c r="G132" s="1180"/>
      <c r="H132" s="1180"/>
      <c r="I132" s="1181"/>
    </row>
    <row r="133" spans="2:9" ht="15">
      <c r="B133" s="294" t="s">
        <v>1010</v>
      </c>
      <c r="C133" s="1182" t="s">
        <v>1459</v>
      </c>
      <c r="D133" s="1160"/>
      <c r="E133" s="1160"/>
      <c r="F133" s="1160"/>
      <c r="G133" s="1160"/>
      <c r="H133" s="1160"/>
      <c r="I133" s="1161"/>
    </row>
    <row r="134" spans="2:9" ht="15">
      <c r="B134" s="294" t="s">
        <v>74</v>
      </c>
      <c r="C134" s="1162">
        <v>44858</v>
      </c>
      <c r="D134" s="1160"/>
      <c r="E134" s="1160"/>
      <c r="F134" s="1160"/>
      <c r="G134" s="1160"/>
      <c r="H134" s="1160"/>
      <c r="I134" s="1161"/>
    </row>
    <row r="135" spans="2:9" ht="31.5" customHeight="1" thickBot="1">
      <c r="B135" s="295" t="s">
        <v>75</v>
      </c>
      <c r="C135" s="1183" t="s">
        <v>1583</v>
      </c>
      <c r="D135" s="1183"/>
      <c r="E135" s="1183"/>
      <c r="F135" s="1183"/>
      <c r="G135" s="1183"/>
      <c r="H135" s="1183"/>
      <c r="I135" s="1184"/>
    </row>
    <row r="136" spans="2:9" ht="15.75" customHeight="1">
      <c r="B136"/>
      <c r="C136"/>
      <c r="D136"/>
      <c r="E136" s="297"/>
      <c r="F136" s="297"/>
      <c r="G136" s="297"/>
      <c r="H136" s="297"/>
      <c r="I136" s="297"/>
    </row>
    <row r="137" spans="2:4" ht="26.25">
      <c r="B137" s="299" t="s">
        <v>70</v>
      </c>
      <c r="C137" s="300" t="s">
        <v>1017</v>
      </c>
      <c r="D137" s="60"/>
    </row>
    <row r="138" spans="2:6" ht="15">
      <c r="B138" s="301" t="s">
        <v>69</v>
      </c>
      <c r="C138" s="453">
        <f>SUM(C139:C162)</f>
        <v>2121365.8522205018</v>
      </c>
      <c r="D138" s="66"/>
      <c r="F138" s="349"/>
    </row>
    <row r="139" spans="2:4" ht="15">
      <c r="B139" s="72" t="s">
        <v>43</v>
      </c>
      <c r="C139" s="454">
        <v>98574.14841210001</v>
      </c>
      <c r="D139" s="68"/>
    </row>
    <row r="140" spans="2:4" ht="15">
      <c r="B140" s="72" t="s">
        <v>223</v>
      </c>
      <c r="C140" s="454">
        <v>18180.571300000003</v>
      </c>
      <c r="D140" s="68"/>
    </row>
    <row r="141" spans="2:4" ht="15">
      <c r="B141" s="72" t="s">
        <v>44</v>
      </c>
      <c r="C141" s="454">
        <v>33399.52044</v>
      </c>
      <c r="D141" s="68"/>
    </row>
    <row r="142" spans="2:4" ht="15">
      <c r="B142" s="72" t="s">
        <v>45</v>
      </c>
      <c r="C142" s="454">
        <v>357459.77829</v>
      </c>
      <c r="D142" s="68"/>
    </row>
    <row r="143" spans="2:4" ht="15">
      <c r="B143" s="72" t="s">
        <v>46</v>
      </c>
      <c r="C143" s="454">
        <v>66387.4743015</v>
      </c>
      <c r="D143" s="68"/>
    </row>
    <row r="144" spans="2:4" ht="15">
      <c r="B144" s="72" t="s">
        <v>47</v>
      </c>
      <c r="C144" s="454">
        <v>383135.70026262605</v>
      </c>
      <c r="D144" s="68"/>
    </row>
    <row r="145" spans="2:4" ht="15">
      <c r="B145" s="72" t="s">
        <v>48</v>
      </c>
      <c r="C145" s="454">
        <v>110781.09178290001</v>
      </c>
      <c r="D145" s="68"/>
    </row>
    <row r="146" spans="2:4" ht="15">
      <c r="B146" s="72" t="s">
        <v>49</v>
      </c>
      <c r="C146" s="454">
        <v>23253.80115310201</v>
      </c>
      <c r="D146" s="68"/>
    </row>
    <row r="147" spans="2:4" ht="15">
      <c r="B147" s="72" t="s">
        <v>50</v>
      </c>
      <c r="C147" s="454">
        <v>54681.512412006</v>
      </c>
      <c r="D147" s="68"/>
    </row>
    <row r="148" spans="2:4" ht="15">
      <c r="B148" s="72" t="s">
        <v>51</v>
      </c>
      <c r="C148" s="454">
        <v>68271.0252687</v>
      </c>
      <c r="D148" s="68"/>
    </row>
    <row r="149" spans="2:4" ht="15">
      <c r="B149" s="72" t="s">
        <v>52</v>
      </c>
      <c r="C149" s="67">
        <v>57189.61593870601</v>
      </c>
      <c r="D149" s="68"/>
    </row>
    <row r="150" spans="2:4" ht="15">
      <c r="B150" s="72" t="s">
        <v>53</v>
      </c>
      <c r="C150" s="67">
        <v>151171.35508000004</v>
      </c>
      <c r="D150" s="68"/>
    </row>
    <row r="151" spans="2:4" ht="15">
      <c r="B151" s="72" t="s">
        <v>54</v>
      </c>
      <c r="C151" s="67">
        <v>56664.945999999996</v>
      </c>
      <c r="D151" s="68"/>
    </row>
    <row r="152" spans="2:4" ht="15">
      <c r="B152" s="73" t="s">
        <v>55</v>
      </c>
      <c r="C152" s="67">
        <v>352867.930640825</v>
      </c>
      <c r="D152" s="68"/>
    </row>
    <row r="153" spans="2:4" ht="15">
      <c r="B153" s="72" t="s">
        <v>56</v>
      </c>
      <c r="C153" s="67">
        <v>1765.5585042</v>
      </c>
      <c r="D153" s="68"/>
    </row>
    <row r="154" spans="2:4" ht="15">
      <c r="B154" s="72" t="s">
        <v>57</v>
      </c>
      <c r="C154" s="67">
        <v>1687.4708356610001</v>
      </c>
      <c r="D154" s="68"/>
    </row>
    <row r="155" spans="2:4" ht="15">
      <c r="B155" s="72" t="s">
        <v>58</v>
      </c>
      <c r="C155" s="67">
        <v>17576.1958104</v>
      </c>
      <c r="D155" s="68"/>
    </row>
    <row r="156" spans="2:4" ht="15">
      <c r="B156" s="72" t="s">
        <v>59</v>
      </c>
      <c r="C156" s="67">
        <v>34999.069031432</v>
      </c>
      <c r="D156" s="68"/>
    </row>
    <row r="157" spans="2:4" ht="15">
      <c r="B157" s="72" t="s">
        <v>60</v>
      </c>
      <c r="C157" s="67">
        <v>42121.71450830964</v>
      </c>
      <c r="D157" s="68"/>
    </row>
    <row r="158" spans="2:4" ht="15">
      <c r="B158" s="72" t="s">
        <v>61</v>
      </c>
      <c r="C158" s="67">
        <v>127009.357</v>
      </c>
      <c r="D158" s="68"/>
    </row>
    <row r="159" spans="2:4" ht="15">
      <c r="B159" s="72" t="s">
        <v>62</v>
      </c>
      <c r="C159" s="67">
        <v>33766.15528143001</v>
      </c>
      <c r="D159" s="68"/>
    </row>
    <row r="160" spans="2:4" ht="15">
      <c r="B160" s="72" t="s">
        <v>63</v>
      </c>
      <c r="C160" s="67">
        <v>24451.253937000005</v>
      </c>
      <c r="D160" s="68"/>
    </row>
    <row r="161" spans="2:4" ht="15">
      <c r="B161" s="72" t="s">
        <v>64</v>
      </c>
      <c r="C161" s="67">
        <v>374.3165964</v>
      </c>
      <c r="D161" s="68"/>
    </row>
    <row r="162" spans="2:4" ht="15">
      <c r="B162" s="72" t="s">
        <v>65</v>
      </c>
      <c r="C162" s="67">
        <v>5596.289433203289</v>
      </c>
      <c r="D162" s="68"/>
    </row>
    <row r="163" spans="2:10" ht="15.75" thickBot="1">
      <c r="B163" s="59"/>
      <c r="C163" s="59"/>
      <c r="D163" s="59"/>
      <c r="E163" s="59"/>
      <c r="F163" s="59"/>
      <c r="G163" s="59"/>
      <c r="H163" s="59"/>
      <c r="I163" s="59"/>
      <c r="J163" s="59"/>
    </row>
    <row r="164" spans="2:43" ht="15" customHeight="1">
      <c r="B164" s="293" t="s">
        <v>1462</v>
      </c>
      <c r="C164" s="1192">
        <v>6</v>
      </c>
      <c r="D164" s="1192"/>
      <c r="E164" s="1192"/>
      <c r="F164" s="1192"/>
      <c r="G164" s="1192"/>
      <c r="H164" s="1192"/>
      <c r="I164" s="1193"/>
      <c r="J164" s="1"/>
      <c r="K164" s="1"/>
      <c r="Q164"/>
      <c r="R164"/>
      <c r="S164"/>
      <c r="T164"/>
      <c r="U164"/>
      <c r="V164"/>
      <c r="W164"/>
      <c r="X164"/>
      <c r="Y164"/>
      <c r="Z164"/>
      <c r="AA164"/>
      <c r="AB164"/>
      <c r="AC164"/>
      <c r="AD164"/>
      <c r="AE164"/>
      <c r="AF164"/>
      <c r="AG164"/>
      <c r="AH164"/>
      <c r="AI164"/>
      <c r="AJ164"/>
      <c r="AK164"/>
      <c r="AL164"/>
      <c r="AM164"/>
      <c r="AN164"/>
      <c r="AO164"/>
      <c r="AP164"/>
      <c r="AQ164"/>
    </row>
    <row r="165" spans="2:43" ht="15" customHeight="1">
      <c r="B165" s="294" t="s">
        <v>1461</v>
      </c>
      <c r="C165" s="1160" t="s">
        <v>1048</v>
      </c>
      <c r="D165" s="1160"/>
      <c r="E165" s="1160"/>
      <c r="F165" s="1160"/>
      <c r="G165" s="1160"/>
      <c r="H165" s="1160"/>
      <c r="I165" s="1161"/>
      <c r="J165" s="1"/>
      <c r="K165" s="1"/>
      <c r="Q165"/>
      <c r="R165"/>
      <c r="S165"/>
      <c r="T165"/>
      <c r="U165"/>
      <c r="V165"/>
      <c r="W165"/>
      <c r="X165"/>
      <c r="Y165"/>
      <c r="Z165"/>
      <c r="AA165"/>
      <c r="AB165"/>
      <c r="AC165"/>
      <c r="AD165"/>
      <c r="AE165"/>
      <c r="AF165"/>
      <c r="AG165"/>
      <c r="AH165"/>
      <c r="AI165"/>
      <c r="AJ165"/>
      <c r="AK165"/>
      <c r="AL165"/>
      <c r="AM165"/>
      <c r="AN165"/>
      <c r="AO165"/>
      <c r="AP165"/>
      <c r="AQ165"/>
    </row>
    <row r="166" spans="2:43" ht="39.75" customHeight="1">
      <c r="B166" s="294" t="s">
        <v>73</v>
      </c>
      <c r="C166" s="1171" t="s">
        <v>1559</v>
      </c>
      <c r="D166" s="1172"/>
      <c r="E166" s="1172"/>
      <c r="F166" s="1172"/>
      <c r="G166" s="1172"/>
      <c r="H166" s="1172"/>
      <c r="I166" s="1173"/>
      <c r="J166" s="1"/>
      <c r="K166" s="1"/>
      <c r="Q166"/>
      <c r="R166"/>
      <c r="S166"/>
      <c r="T166"/>
      <c r="U166"/>
      <c r="V166"/>
      <c r="W166"/>
      <c r="X166"/>
      <c r="Y166"/>
      <c r="Z166"/>
      <c r="AA166"/>
      <c r="AB166"/>
      <c r="AC166"/>
      <c r="AD166"/>
      <c r="AE166"/>
      <c r="AF166"/>
      <c r="AG166"/>
      <c r="AH166"/>
      <c r="AI166"/>
      <c r="AJ166"/>
      <c r="AK166"/>
      <c r="AL166"/>
      <c r="AM166"/>
      <c r="AN166"/>
      <c r="AO166"/>
      <c r="AP166"/>
      <c r="AQ166"/>
    </row>
    <row r="167" spans="2:43" ht="15" customHeight="1">
      <c r="B167" s="294" t="s">
        <v>1010</v>
      </c>
      <c r="C167" s="1174" t="s">
        <v>1560</v>
      </c>
      <c r="D167" s="1160"/>
      <c r="E167" s="1160"/>
      <c r="F167" s="1160"/>
      <c r="G167" s="1160"/>
      <c r="H167" s="1160"/>
      <c r="I167" s="1161"/>
      <c r="J167" s="1"/>
      <c r="K167" s="1"/>
      <c r="Q167"/>
      <c r="R167"/>
      <c r="S167"/>
      <c r="T167"/>
      <c r="U167"/>
      <c r="V167"/>
      <c r="W167"/>
      <c r="X167"/>
      <c r="Y167"/>
      <c r="Z167"/>
      <c r="AA167"/>
      <c r="AB167"/>
      <c r="AC167"/>
      <c r="AD167"/>
      <c r="AE167"/>
      <c r="AF167"/>
      <c r="AG167"/>
      <c r="AH167"/>
      <c r="AI167"/>
      <c r="AJ167"/>
      <c r="AK167"/>
      <c r="AL167"/>
      <c r="AM167"/>
      <c r="AN167"/>
      <c r="AO167"/>
      <c r="AP167"/>
      <c r="AQ167"/>
    </row>
    <row r="168" spans="2:43" ht="15" customHeight="1">
      <c r="B168" s="294" t="s">
        <v>74</v>
      </c>
      <c r="C168" s="1175"/>
      <c r="D168" s="1160"/>
      <c r="E168" s="1160"/>
      <c r="F168" s="1160"/>
      <c r="G168" s="1160"/>
      <c r="H168" s="1160"/>
      <c r="I168" s="1161"/>
      <c r="J168" s="1"/>
      <c r="K168" s="1"/>
      <c r="Q168"/>
      <c r="R168"/>
      <c r="S168"/>
      <c r="T168"/>
      <c r="U168"/>
      <c r="V168"/>
      <c r="W168"/>
      <c r="X168"/>
      <c r="Y168"/>
      <c r="Z168"/>
      <c r="AA168"/>
      <c r="AB168"/>
      <c r="AC168"/>
      <c r="AD168"/>
      <c r="AE168"/>
      <c r="AF168"/>
      <c r="AG168"/>
      <c r="AH168"/>
      <c r="AI168"/>
      <c r="AJ168"/>
      <c r="AK168"/>
      <c r="AL168"/>
      <c r="AM168"/>
      <c r="AN168"/>
      <c r="AO168"/>
      <c r="AP168"/>
      <c r="AQ168"/>
    </row>
    <row r="169" spans="2:43" ht="53.25" customHeight="1" thickBot="1">
      <c r="B169" s="295" t="s">
        <v>75</v>
      </c>
      <c r="C169" s="1183" t="s">
        <v>1561</v>
      </c>
      <c r="D169" s="1183"/>
      <c r="E169" s="1183"/>
      <c r="F169" s="1183"/>
      <c r="G169" s="1183"/>
      <c r="H169" s="1183"/>
      <c r="I169" s="1184"/>
      <c r="J169" s="1"/>
      <c r="K169" s="1"/>
      <c r="Q169"/>
      <c r="R169"/>
      <c r="S169"/>
      <c r="T169"/>
      <c r="U169"/>
      <c r="V169"/>
      <c r="W169"/>
      <c r="X169"/>
      <c r="Y169"/>
      <c r="Z169"/>
      <c r="AA169"/>
      <c r="AB169"/>
      <c r="AC169"/>
      <c r="AD169"/>
      <c r="AE169"/>
      <c r="AF169"/>
      <c r="AG169"/>
      <c r="AH169"/>
      <c r="AI169"/>
      <c r="AJ169"/>
      <c r="AK169"/>
      <c r="AL169"/>
      <c r="AM169"/>
      <c r="AN169"/>
      <c r="AO169"/>
      <c r="AP169"/>
      <c r="AQ169"/>
    </row>
    <row r="170" spans="2:43" ht="15" customHeight="1">
      <c r="B170" s="87"/>
      <c r="C170" s="338"/>
      <c r="D170" s="338"/>
      <c r="E170" s="339"/>
      <c r="F170" s="339"/>
      <c r="J170" s="1"/>
      <c r="K170" s="1"/>
      <c r="Q170"/>
      <c r="R170"/>
      <c r="S170"/>
      <c r="T170"/>
      <c r="U170"/>
      <c r="V170"/>
      <c r="W170"/>
      <c r="X170"/>
      <c r="Y170"/>
      <c r="Z170"/>
      <c r="AA170"/>
      <c r="AB170"/>
      <c r="AC170"/>
      <c r="AD170"/>
      <c r="AE170"/>
      <c r="AF170"/>
      <c r="AG170"/>
      <c r="AH170"/>
      <c r="AI170"/>
      <c r="AJ170"/>
      <c r="AK170"/>
      <c r="AL170"/>
      <c r="AM170"/>
      <c r="AN170"/>
      <c r="AO170"/>
      <c r="AP170"/>
      <c r="AQ170"/>
    </row>
    <row r="171" spans="2:43" ht="15" customHeight="1">
      <c r="B171" s="291" t="s">
        <v>267</v>
      </c>
      <c r="C171" s="273" t="s">
        <v>444</v>
      </c>
      <c r="D171"/>
      <c r="E171" s="339"/>
      <c r="F171" s="339"/>
      <c r="J171" s="1"/>
      <c r="K171" s="1"/>
      <c r="Q171"/>
      <c r="R171"/>
      <c r="S171"/>
      <c r="T171"/>
      <c r="U171"/>
      <c r="V171"/>
      <c r="W171"/>
      <c r="X171"/>
      <c r="Y171"/>
      <c r="Z171"/>
      <c r="AA171"/>
      <c r="AB171"/>
      <c r="AC171"/>
      <c r="AD171"/>
      <c r="AE171"/>
      <c r="AF171"/>
      <c r="AG171"/>
      <c r="AH171"/>
      <c r="AI171"/>
      <c r="AJ171"/>
      <c r="AK171"/>
      <c r="AL171"/>
      <c r="AM171"/>
      <c r="AN171"/>
      <c r="AO171"/>
      <c r="AP171"/>
      <c r="AQ171"/>
    </row>
    <row r="172" spans="2:43" ht="15" customHeight="1">
      <c r="B172" s="119" t="s">
        <v>41</v>
      </c>
      <c r="C172" s="340">
        <v>105</v>
      </c>
      <c r="E172" s="339"/>
      <c r="F172" s="339"/>
      <c r="H172"/>
      <c r="K172" s="1"/>
      <c r="L172" s="1"/>
      <c r="M172" s="1"/>
      <c r="N172" s="1"/>
      <c r="O172" s="1"/>
      <c r="P172" s="1"/>
      <c r="Q172" s="1"/>
      <c r="R172"/>
      <c r="S172"/>
      <c r="T172"/>
      <c r="U172"/>
      <c r="V172"/>
      <c r="W172"/>
      <c r="X172"/>
      <c r="Y172"/>
      <c r="Z172"/>
      <c r="AA172"/>
      <c r="AB172"/>
      <c r="AC172"/>
      <c r="AD172"/>
      <c r="AE172"/>
      <c r="AF172"/>
      <c r="AG172"/>
      <c r="AH172"/>
      <c r="AI172"/>
      <c r="AJ172"/>
      <c r="AK172"/>
      <c r="AL172"/>
      <c r="AM172"/>
      <c r="AN172"/>
      <c r="AO172"/>
      <c r="AP172"/>
      <c r="AQ172"/>
    </row>
    <row r="173" spans="2:43" ht="15" customHeight="1">
      <c r="B173" s="119" t="s">
        <v>439</v>
      </c>
      <c r="C173" s="340">
        <v>42</v>
      </c>
      <c r="E173" s="339"/>
      <c r="F173" s="339"/>
      <c r="K173" s="1"/>
      <c r="L173" s="1"/>
      <c r="M173" s="1"/>
      <c r="N173" s="1"/>
      <c r="O173" s="1"/>
      <c r="P173" s="1"/>
      <c r="Q173" s="1"/>
      <c r="R173"/>
      <c r="S173"/>
      <c r="T173"/>
      <c r="U173"/>
      <c r="V173"/>
      <c r="W173"/>
      <c r="X173"/>
      <c r="Y173"/>
      <c r="Z173"/>
      <c r="AA173"/>
      <c r="AB173"/>
      <c r="AC173"/>
      <c r="AD173"/>
      <c r="AE173"/>
      <c r="AF173"/>
      <c r="AG173"/>
      <c r="AH173"/>
      <c r="AI173"/>
      <c r="AJ173"/>
      <c r="AK173"/>
      <c r="AL173"/>
      <c r="AM173"/>
      <c r="AN173"/>
      <c r="AO173"/>
      <c r="AP173"/>
      <c r="AQ173"/>
    </row>
    <row r="174" spans="2:43" ht="15" customHeight="1">
      <c r="B174" s="119" t="s">
        <v>443</v>
      </c>
      <c r="C174" s="340">
        <v>150</v>
      </c>
      <c r="E174" s="339"/>
      <c r="F174" s="339"/>
      <c r="G174" s="64"/>
      <c r="K174" s="1"/>
      <c r="L174" s="1"/>
      <c r="M174" s="1"/>
      <c r="N174" s="1"/>
      <c r="O174" s="1"/>
      <c r="P174" s="1"/>
      <c r="Q174" s="1"/>
      <c r="R174"/>
      <c r="S174"/>
      <c r="T174"/>
      <c r="U174"/>
      <c r="V174"/>
      <c r="W174"/>
      <c r="X174"/>
      <c r="Y174"/>
      <c r="Z174"/>
      <c r="AA174"/>
      <c r="AB174"/>
      <c r="AC174"/>
      <c r="AD174"/>
      <c r="AE174"/>
      <c r="AF174"/>
      <c r="AG174"/>
      <c r="AH174"/>
      <c r="AI174"/>
      <c r="AJ174"/>
      <c r="AK174"/>
      <c r="AL174"/>
      <c r="AM174"/>
      <c r="AN174"/>
      <c r="AO174"/>
      <c r="AP174"/>
      <c r="AQ174"/>
    </row>
    <row r="175" spans="2:43" ht="15" customHeight="1">
      <c r="B175" s="119" t="s">
        <v>68</v>
      </c>
      <c r="C175" s="340">
        <v>90</v>
      </c>
      <c r="E175" s="339"/>
      <c r="F175" s="339"/>
      <c r="K175" s="1"/>
      <c r="L175" s="1"/>
      <c r="M175" s="1"/>
      <c r="N175" s="1"/>
      <c r="O175" s="1"/>
      <c r="P175" s="1"/>
      <c r="Q175" s="1"/>
      <c r="R175"/>
      <c r="S175"/>
      <c r="T175"/>
      <c r="U175"/>
      <c r="V175"/>
      <c r="W175"/>
      <c r="X175"/>
      <c r="Y175"/>
      <c r="Z175"/>
      <c r="AA175"/>
      <c r="AB175"/>
      <c r="AC175"/>
      <c r="AD175"/>
      <c r="AE175"/>
      <c r="AF175"/>
      <c r="AG175"/>
      <c r="AH175"/>
      <c r="AI175"/>
      <c r="AJ175"/>
      <c r="AK175"/>
      <c r="AL175"/>
      <c r="AM175"/>
      <c r="AN175"/>
      <c r="AO175"/>
      <c r="AP175"/>
      <c r="AQ175"/>
    </row>
    <row r="176" spans="2:43" ht="15" customHeight="1" thickBot="1">
      <c r="B176" s="87"/>
      <c r="C176" s="338"/>
      <c r="D176" s="338"/>
      <c r="E176" s="339"/>
      <c r="F176" s="339"/>
      <c r="J176" s="1"/>
      <c r="K176" s="1"/>
      <c r="Q176"/>
      <c r="R176"/>
      <c r="S176"/>
      <c r="T176"/>
      <c r="U176"/>
      <c r="V176"/>
      <c r="W176"/>
      <c r="X176"/>
      <c r="Y176"/>
      <c r="Z176"/>
      <c r="AA176"/>
      <c r="AB176"/>
      <c r="AC176"/>
      <c r="AD176"/>
      <c r="AE176"/>
      <c r="AF176"/>
      <c r="AG176"/>
      <c r="AH176"/>
      <c r="AI176"/>
      <c r="AJ176"/>
      <c r="AK176"/>
      <c r="AL176"/>
      <c r="AM176"/>
      <c r="AN176"/>
      <c r="AO176"/>
      <c r="AP176"/>
      <c r="AQ176"/>
    </row>
    <row r="177" spans="2:43" ht="15">
      <c r="B177" s="293" t="s">
        <v>1462</v>
      </c>
      <c r="C177" s="1167">
        <v>7</v>
      </c>
      <c r="D177" s="1167"/>
      <c r="E177" s="1167"/>
      <c r="F177" s="1167"/>
      <c r="G177" s="1167"/>
      <c r="H177" s="1167"/>
      <c r="I177" s="1168"/>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row>
    <row r="178" spans="2:43" ht="15">
      <c r="B178" s="294" t="s">
        <v>1461</v>
      </c>
      <c r="C178" s="1169" t="s">
        <v>1045</v>
      </c>
      <c r="D178" s="1169"/>
      <c r="E178" s="1169"/>
      <c r="F178" s="1169"/>
      <c r="G178" s="1169"/>
      <c r="H178" s="1169"/>
      <c r="I178" s="1170"/>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row>
    <row r="179" spans="2:43" ht="42.75" customHeight="1">
      <c r="B179" s="294" t="s">
        <v>73</v>
      </c>
      <c r="C179" s="1171" t="s">
        <v>1559</v>
      </c>
      <c r="D179" s="1172"/>
      <c r="E179" s="1172"/>
      <c r="F179" s="1172"/>
      <c r="G179" s="1172"/>
      <c r="H179" s="1172"/>
      <c r="I179" s="1173"/>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row>
    <row r="180" spans="2:43" ht="15">
      <c r="B180" s="294" t="s">
        <v>1010</v>
      </c>
      <c r="C180" s="1174" t="s">
        <v>1560</v>
      </c>
      <c r="D180" s="1160"/>
      <c r="E180" s="1160"/>
      <c r="F180" s="1160"/>
      <c r="G180" s="1160"/>
      <c r="H180" s="1160"/>
      <c r="I180" s="1161"/>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row>
    <row r="181" spans="2:43" ht="15">
      <c r="B181" s="294" t="s">
        <v>74</v>
      </c>
      <c r="C181" s="1175"/>
      <c r="D181" s="1160"/>
      <c r="E181" s="1160"/>
      <c r="F181" s="1160"/>
      <c r="G181" s="1160"/>
      <c r="H181" s="1160"/>
      <c r="I181" s="116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row>
    <row r="182" spans="2:43" ht="64.5" customHeight="1" thickBot="1">
      <c r="B182" s="295" t="s">
        <v>75</v>
      </c>
      <c r="C182" s="1164" t="s">
        <v>1046</v>
      </c>
      <c r="D182" s="1165"/>
      <c r="E182" s="1165"/>
      <c r="F182" s="1165"/>
      <c r="G182" s="1165"/>
      <c r="H182" s="1165"/>
      <c r="I182" s="1166"/>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row>
    <row r="184" spans="2:43" ht="15">
      <c r="B184" s="291" t="s">
        <v>438</v>
      </c>
      <c r="C184" s="291" t="s">
        <v>1049</v>
      </c>
      <c r="J184" s="1"/>
      <c r="K184" s="1"/>
      <c r="Q184"/>
      <c r="R184"/>
      <c r="S184"/>
      <c r="T184"/>
      <c r="U184"/>
      <c r="V184"/>
      <c r="W184"/>
      <c r="X184"/>
      <c r="Y184"/>
      <c r="Z184"/>
      <c r="AA184"/>
      <c r="AB184"/>
      <c r="AC184"/>
      <c r="AD184"/>
      <c r="AE184"/>
      <c r="AF184"/>
      <c r="AG184"/>
      <c r="AH184"/>
      <c r="AI184"/>
      <c r="AJ184"/>
      <c r="AK184"/>
      <c r="AL184"/>
      <c r="AM184"/>
      <c r="AN184"/>
      <c r="AO184"/>
      <c r="AP184"/>
      <c r="AQ184"/>
    </row>
    <row r="185" spans="2:43" ht="15" customHeight="1">
      <c r="B185" s="119" t="s">
        <v>439</v>
      </c>
      <c r="C185" s="345">
        <v>0.6958762886597938</v>
      </c>
      <c r="J185" s="1"/>
      <c r="K185" s="1"/>
      <c r="Q185"/>
      <c r="R185"/>
      <c r="S185"/>
      <c r="T185"/>
      <c r="U185"/>
      <c r="V185"/>
      <c r="W185"/>
      <c r="X185"/>
      <c r="Y185"/>
      <c r="Z185"/>
      <c r="AA185"/>
      <c r="AB185"/>
      <c r="AC185"/>
      <c r="AD185"/>
      <c r="AE185"/>
      <c r="AF185"/>
      <c r="AG185"/>
      <c r="AH185"/>
      <c r="AI185"/>
      <c r="AJ185"/>
      <c r="AK185"/>
      <c r="AL185"/>
      <c r="AM185"/>
      <c r="AN185"/>
      <c r="AO185"/>
      <c r="AP185"/>
      <c r="AQ185"/>
    </row>
    <row r="186" spans="2:43" ht="15" customHeight="1">
      <c r="B186" s="119" t="s">
        <v>440</v>
      </c>
      <c r="C186" s="345">
        <v>0.10309278350515463</v>
      </c>
      <c r="J186" s="1"/>
      <c r="K186" s="1"/>
      <c r="Q186"/>
      <c r="R186"/>
      <c r="S186"/>
      <c r="T186"/>
      <c r="U186"/>
      <c r="V186"/>
      <c r="W186"/>
      <c r="X186"/>
      <c r="Y186"/>
      <c r="Z186"/>
      <c r="AA186"/>
      <c r="AB186"/>
      <c r="AC186"/>
      <c r="AD186"/>
      <c r="AE186"/>
      <c r="AF186"/>
      <c r="AG186"/>
      <c r="AH186"/>
      <c r="AI186"/>
      <c r="AJ186"/>
      <c r="AK186"/>
      <c r="AL186"/>
      <c r="AM186"/>
      <c r="AN186"/>
      <c r="AO186"/>
      <c r="AP186"/>
      <c r="AQ186"/>
    </row>
    <row r="187" spans="2:43" ht="15" customHeight="1">
      <c r="B187" s="119" t="s">
        <v>441</v>
      </c>
      <c r="C187" s="345">
        <v>0.06701030927835051</v>
      </c>
      <c r="J187" s="1"/>
      <c r="K187" s="1"/>
      <c r="Q187"/>
      <c r="R187"/>
      <c r="S187"/>
      <c r="T187"/>
      <c r="U187"/>
      <c r="V187"/>
      <c r="W187"/>
      <c r="X187"/>
      <c r="Y187"/>
      <c r="Z187"/>
      <c r="AA187"/>
      <c r="AB187"/>
      <c r="AC187"/>
      <c r="AD187"/>
      <c r="AE187"/>
      <c r="AF187"/>
      <c r="AG187"/>
      <c r="AH187"/>
      <c r="AI187"/>
      <c r="AJ187"/>
      <c r="AK187"/>
      <c r="AL187"/>
      <c r="AM187"/>
      <c r="AN187"/>
      <c r="AO187"/>
      <c r="AP187"/>
      <c r="AQ187"/>
    </row>
    <row r="188" spans="2:43" ht="15" customHeight="1">
      <c r="B188" s="119" t="s">
        <v>442</v>
      </c>
      <c r="C188" s="345">
        <v>0.13402061855670103</v>
      </c>
      <c r="J188" s="1"/>
      <c r="K188" s="1"/>
      <c r="Q188"/>
      <c r="R188"/>
      <c r="S188"/>
      <c r="T188"/>
      <c r="U188"/>
      <c r="V188"/>
      <c r="W188"/>
      <c r="X188"/>
      <c r="Y188"/>
      <c r="Z188"/>
      <c r="AA188"/>
      <c r="AB188"/>
      <c r="AC188"/>
      <c r="AD188"/>
      <c r="AE188"/>
      <c r="AF188"/>
      <c r="AG188"/>
      <c r="AH188"/>
      <c r="AI188"/>
      <c r="AJ188"/>
      <c r="AK188"/>
      <c r="AL188"/>
      <c r="AM188"/>
      <c r="AN188"/>
      <c r="AO188"/>
      <c r="AP188"/>
      <c r="AQ188"/>
    </row>
    <row r="189" spans="2:43" ht="15" customHeight="1">
      <c r="B189" s="356" t="s">
        <v>443</v>
      </c>
      <c r="C189" s="357">
        <f>90%*C188</f>
        <v>0.12061855670103093</v>
      </c>
      <c r="J189" s="1"/>
      <c r="K189" s="1"/>
      <c r="Q189"/>
      <c r="R189"/>
      <c r="S189"/>
      <c r="T189"/>
      <c r="U189"/>
      <c r="V189"/>
      <c r="W189"/>
      <c r="X189"/>
      <c r="Y189"/>
      <c r="Z189"/>
      <c r="AA189"/>
      <c r="AB189"/>
      <c r="AC189"/>
      <c r="AD189"/>
      <c r="AE189"/>
      <c r="AF189"/>
      <c r="AG189"/>
      <c r="AH189"/>
      <c r="AI189"/>
      <c r="AJ189"/>
      <c r="AK189"/>
      <c r="AL189"/>
      <c r="AM189"/>
      <c r="AN189"/>
      <c r="AO189"/>
      <c r="AP189"/>
      <c r="AQ189"/>
    </row>
    <row r="190" spans="2:43" ht="15">
      <c r="B190" s="356" t="s">
        <v>445</v>
      </c>
      <c r="C190" s="357">
        <f>10%*C188</f>
        <v>0.013402061855670104</v>
      </c>
      <c r="J190" s="1"/>
      <c r="K190" s="1"/>
      <c r="Q190"/>
      <c r="R190"/>
      <c r="S190"/>
      <c r="T190"/>
      <c r="U190"/>
      <c r="V190"/>
      <c r="W190"/>
      <c r="X190"/>
      <c r="Y190"/>
      <c r="Z190"/>
      <c r="AA190"/>
      <c r="AB190"/>
      <c r="AC190"/>
      <c r="AD190"/>
      <c r="AE190"/>
      <c r="AF190"/>
      <c r="AG190"/>
      <c r="AH190"/>
      <c r="AI190"/>
      <c r="AJ190"/>
      <c r="AK190"/>
      <c r="AL190"/>
      <c r="AM190"/>
      <c r="AN190"/>
      <c r="AO190"/>
      <c r="AP190"/>
      <c r="AQ190"/>
    </row>
    <row r="191" spans="2:43" ht="15" customHeight="1">
      <c r="B191" s="87"/>
      <c r="C191" s="338"/>
      <c r="D191" s="338"/>
      <c r="E191" s="339"/>
      <c r="F191" s="339"/>
      <c r="J191" s="1"/>
      <c r="K191" s="1"/>
      <c r="Q191"/>
      <c r="R191"/>
      <c r="S191"/>
      <c r="T191"/>
      <c r="U191"/>
      <c r="V191"/>
      <c r="W191"/>
      <c r="X191"/>
      <c r="Y191"/>
      <c r="Z191"/>
      <c r="AA191"/>
      <c r="AB191"/>
      <c r="AC191"/>
      <c r="AD191"/>
      <c r="AE191"/>
      <c r="AF191"/>
      <c r="AG191"/>
      <c r="AH191"/>
      <c r="AI191"/>
      <c r="AJ191"/>
      <c r="AK191"/>
      <c r="AL191"/>
      <c r="AM191"/>
      <c r="AN191"/>
      <c r="AO191"/>
      <c r="AP191"/>
      <c r="AQ191"/>
    </row>
    <row r="192" spans="2:43" ht="15">
      <c r="B192" s="1163" t="s">
        <v>1047</v>
      </c>
      <c r="C192" s="1163"/>
      <c r="D192" s="1163"/>
      <c r="E192" s="1163"/>
      <c r="F192" s="1163"/>
      <c r="G192" s="1163"/>
      <c r="H192" s="1163"/>
      <c r="I192" s="1163"/>
      <c r="J192" s="1163"/>
      <c r="K192"/>
      <c r="L192"/>
      <c r="M192"/>
      <c r="N192"/>
      <c r="O192"/>
      <c r="Q192"/>
      <c r="R192"/>
      <c r="S192"/>
      <c r="T192"/>
      <c r="U192"/>
      <c r="V192"/>
      <c r="W192"/>
      <c r="X192"/>
      <c r="Y192"/>
      <c r="Z192"/>
      <c r="AA192"/>
      <c r="AB192"/>
      <c r="AC192"/>
      <c r="AD192"/>
      <c r="AE192"/>
      <c r="AF192"/>
      <c r="AG192"/>
      <c r="AH192"/>
      <c r="AI192"/>
      <c r="AJ192"/>
      <c r="AK192"/>
      <c r="AL192"/>
      <c r="AM192"/>
      <c r="AN192"/>
      <c r="AO192"/>
      <c r="AP192"/>
      <c r="AQ192"/>
    </row>
    <row r="193" spans="2:43" ht="15.75" thickBot="1">
      <c r="B193"/>
      <c r="C193"/>
      <c r="D193"/>
      <c r="E193"/>
      <c r="F193"/>
      <c r="G193"/>
      <c r="H193"/>
      <c r="I193"/>
      <c r="J193"/>
      <c r="K193"/>
      <c r="L193"/>
      <c r="M193"/>
      <c r="N193"/>
      <c r="O193"/>
      <c r="Q193"/>
      <c r="R193"/>
      <c r="S193"/>
      <c r="T193"/>
      <c r="U193"/>
      <c r="V193"/>
      <c r="W193"/>
      <c r="X193"/>
      <c r="Y193"/>
      <c r="Z193"/>
      <c r="AA193"/>
      <c r="AB193"/>
      <c r="AC193"/>
      <c r="AD193"/>
      <c r="AE193"/>
      <c r="AF193"/>
      <c r="AG193"/>
      <c r="AH193"/>
      <c r="AI193"/>
      <c r="AJ193"/>
      <c r="AK193"/>
      <c r="AL193"/>
      <c r="AM193"/>
      <c r="AN193"/>
      <c r="AO193"/>
      <c r="AP193"/>
      <c r="AQ193"/>
    </row>
    <row r="194" spans="2:9" ht="15">
      <c r="B194" s="293" t="s">
        <v>1462</v>
      </c>
      <c r="C194" s="1192">
        <v>8</v>
      </c>
      <c r="D194" s="1192"/>
      <c r="E194" s="1192"/>
      <c r="F194" s="1192"/>
      <c r="G194" s="1192"/>
      <c r="H194" s="1192"/>
      <c r="I194" s="1193"/>
    </row>
    <row r="195" spans="2:9" ht="15">
      <c r="B195" s="294" t="s">
        <v>1461</v>
      </c>
      <c r="C195" s="1160" t="s">
        <v>1567</v>
      </c>
      <c r="D195" s="1160"/>
      <c r="E195" s="1160"/>
      <c r="F195" s="1160"/>
      <c r="G195" s="1160"/>
      <c r="H195" s="1160"/>
      <c r="I195" s="1161"/>
    </row>
    <row r="196" spans="2:9" ht="15">
      <c r="B196" s="294" t="s">
        <v>73</v>
      </c>
      <c r="C196" s="1180" t="s">
        <v>1178</v>
      </c>
      <c r="D196" s="1180"/>
      <c r="E196" s="1180"/>
      <c r="F196" s="1180"/>
      <c r="G196" s="1180"/>
      <c r="H196" s="1180"/>
      <c r="I196" s="1181"/>
    </row>
    <row r="197" spans="2:9" ht="15">
      <c r="B197" s="294" t="s">
        <v>1010</v>
      </c>
      <c r="C197" s="1159" t="s">
        <v>1179</v>
      </c>
      <c r="D197" s="1160"/>
      <c r="E197" s="1160"/>
      <c r="F197" s="1160"/>
      <c r="G197" s="1160"/>
      <c r="H197" s="1160"/>
      <c r="I197" s="1161"/>
    </row>
    <row r="198" spans="2:9" ht="15">
      <c r="B198" s="294" t="s">
        <v>74</v>
      </c>
      <c r="C198" s="1162" t="s">
        <v>1180</v>
      </c>
      <c r="D198" s="1160"/>
      <c r="E198" s="1160"/>
      <c r="F198" s="1160"/>
      <c r="G198" s="1160"/>
      <c r="H198" s="1160"/>
      <c r="I198" s="1161"/>
    </row>
    <row r="199" spans="2:9" ht="29.25" customHeight="1" thickBot="1">
      <c r="B199" s="295" t="s">
        <v>75</v>
      </c>
      <c r="C199" s="1183" t="s">
        <v>1465</v>
      </c>
      <c r="D199" s="1183"/>
      <c r="E199" s="1183"/>
      <c r="F199" s="1183"/>
      <c r="G199" s="1183"/>
      <c r="H199" s="1183"/>
      <c r="I199" s="1184"/>
    </row>
    <row r="201" spans="2:43" s="327" customFormat="1" ht="38.25" customHeight="1">
      <c r="B201" s="330" t="s">
        <v>70</v>
      </c>
      <c r="C201" s="322" t="s">
        <v>1040</v>
      </c>
      <c r="D201" s="328"/>
      <c r="E201" s="328"/>
      <c r="F201" s="321"/>
      <c r="G201" s="321"/>
      <c r="H201" s="321"/>
      <c r="I201" s="321"/>
      <c r="J201" s="321"/>
      <c r="K201" s="328"/>
      <c r="L201" s="328"/>
      <c r="M201" s="328"/>
      <c r="N201" s="328"/>
      <c r="O201" s="328"/>
      <c r="P201" s="328"/>
      <c r="Q201" s="328"/>
      <c r="R201" s="328"/>
      <c r="S201" s="328"/>
      <c r="T201" s="328"/>
      <c r="U201" s="328"/>
      <c r="V201" s="328"/>
      <c r="W201" s="328"/>
      <c r="X201" s="328"/>
      <c r="Y201" s="328"/>
      <c r="Z201" s="328"/>
      <c r="AA201" s="328"/>
      <c r="AB201" s="328"/>
      <c r="AC201" s="328"/>
      <c r="AD201" s="328"/>
      <c r="AE201" s="328"/>
      <c r="AF201" s="328"/>
      <c r="AG201" s="328"/>
      <c r="AH201" s="328"/>
      <c r="AI201" s="328"/>
      <c r="AJ201" s="328"/>
      <c r="AK201" s="328"/>
      <c r="AL201" s="328"/>
      <c r="AM201" s="328"/>
      <c r="AN201" s="328"/>
      <c r="AO201" s="328"/>
      <c r="AP201" s="328"/>
      <c r="AQ201" s="328"/>
    </row>
    <row r="202" spans="2:10" ht="15" customHeight="1">
      <c r="B202" s="72" t="s">
        <v>43</v>
      </c>
      <c r="C202" s="455">
        <v>15</v>
      </c>
      <c r="D202" s="328"/>
      <c r="E202" s="328"/>
      <c r="F202" s="59"/>
      <c r="G202" s="59"/>
      <c r="H202" s="59"/>
      <c r="I202" s="59"/>
      <c r="J202" s="59"/>
    </row>
    <row r="203" spans="2:10" ht="15">
      <c r="B203" s="72" t="s">
        <v>223</v>
      </c>
      <c r="C203" s="455">
        <v>12.5</v>
      </c>
      <c r="D203" s="328"/>
      <c r="E203" s="328"/>
      <c r="F203" s="59"/>
      <c r="G203" s="59"/>
      <c r="H203" s="59"/>
      <c r="I203" s="59"/>
      <c r="J203" s="59"/>
    </row>
    <row r="204" spans="2:10" ht="15">
      <c r="B204" s="72" t="s">
        <v>44</v>
      </c>
      <c r="C204" s="455">
        <v>14.6</v>
      </c>
      <c r="D204" s="328"/>
      <c r="E204" s="328"/>
      <c r="F204" s="59"/>
      <c r="G204" s="59"/>
      <c r="H204" s="59"/>
      <c r="I204" s="59"/>
      <c r="J204" s="59"/>
    </row>
    <row r="205" spans="2:10" ht="15">
      <c r="B205" s="72" t="s">
        <v>45</v>
      </c>
      <c r="C205" s="455">
        <v>17</v>
      </c>
      <c r="D205" s="328"/>
      <c r="E205" s="328"/>
      <c r="F205" s="59"/>
      <c r="G205" s="59"/>
      <c r="H205" s="59"/>
      <c r="I205" s="59"/>
      <c r="J205" s="59"/>
    </row>
    <row r="206" spans="2:10" ht="15">
      <c r="B206" s="72" t="s">
        <v>46</v>
      </c>
      <c r="C206" s="455">
        <v>17</v>
      </c>
      <c r="D206" s="328"/>
      <c r="E206" s="328"/>
      <c r="F206" s="59"/>
      <c r="G206" s="59"/>
      <c r="H206" s="59"/>
      <c r="I206" s="59"/>
      <c r="J206" s="59"/>
    </row>
    <row r="207" spans="2:10" ht="15">
      <c r="B207" s="72" t="s">
        <v>47</v>
      </c>
      <c r="C207" s="455">
        <v>15</v>
      </c>
      <c r="D207" s="328"/>
      <c r="E207" s="328"/>
      <c r="F207" s="59"/>
      <c r="G207" s="59"/>
      <c r="H207" s="59"/>
      <c r="I207" s="59"/>
      <c r="J207" s="59"/>
    </row>
    <row r="208" spans="2:10" ht="15">
      <c r="B208" s="72" t="s">
        <v>48</v>
      </c>
      <c r="C208" s="455">
        <v>12.9</v>
      </c>
      <c r="D208" s="328"/>
      <c r="E208" s="328"/>
      <c r="F208" s="59"/>
      <c r="G208" s="59"/>
      <c r="H208" s="59"/>
      <c r="I208" s="59"/>
      <c r="J208" s="59"/>
    </row>
    <row r="209" spans="2:10" ht="15">
      <c r="B209" s="72" t="s">
        <v>49</v>
      </c>
      <c r="C209" s="455">
        <v>10.7</v>
      </c>
      <c r="D209" s="328"/>
      <c r="E209" s="328"/>
      <c r="F209" s="59"/>
      <c r="G209" s="59"/>
      <c r="H209" s="59"/>
      <c r="I209" s="59"/>
      <c r="J209" s="59"/>
    </row>
    <row r="210" spans="2:10" ht="15">
      <c r="B210" s="72" t="s">
        <v>50</v>
      </c>
      <c r="C210" s="455">
        <v>20.4</v>
      </c>
      <c r="D210" s="328"/>
      <c r="E210" s="328"/>
      <c r="F210" s="59"/>
      <c r="G210" s="59"/>
      <c r="H210" s="59"/>
      <c r="I210" s="59"/>
      <c r="J210" s="59"/>
    </row>
    <row r="211" spans="2:10" ht="15">
      <c r="B211" s="72" t="s">
        <v>51</v>
      </c>
      <c r="C211" s="455">
        <v>22.1</v>
      </c>
      <c r="D211" s="328"/>
      <c r="E211" s="328"/>
      <c r="F211" s="59"/>
      <c r="G211" s="59"/>
      <c r="H211" s="59"/>
      <c r="I211" s="59"/>
      <c r="J211" s="59"/>
    </row>
    <row r="212" spans="2:10" ht="15">
      <c r="B212" s="72" t="s">
        <v>52</v>
      </c>
      <c r="C212" s="455">
        <v>12.3</v>
      </c>
      <c r="D212" s="328"/>
      <c r="E212" s="328"/>
      <c r="F212" s="59"/>
      <c r="G212" s="59"/>
      <c r="H212" s="59"/>
      <c r="I212" s="59"/>
      <c r="J212" s="59"/>
    </row>
    <row r="213" spans="2:10" ht="15">
      <c r="B213" s="72" t="s">
        <v>53</v>
      </c>
      <c r="C213" s="455">
        <v>20.6</v>
      </c>
      <c r="D213" s="328"/>
      <c r="E213" s="328"/>
      <c r="F213" s="59"/>
      <c r="G213" s="59"/>
      <c r="H213" s="59"/>
      <c r="I213" s="59"/>
      <c r="J213" s="59"/>
    </row>
    <row r="214" spans="2:10" ht="15">
      <c r="B214" s="72" t="s">
        <v>54</v>
      </c>
      <c r="C214" s="455">
        <v>21.5</v>
      </c>
      <c r="D214" s="328"/>
      <c r="E214" s="328"/>
      <c r="F214" s="59"/>
      <c r="G214" s="59"/>
      <c r="H214" s="59"/>
      <c r="I214" s="59"/>
      <c r="J214" s="59"/>
    </row>
    <row r="215" spans="2:10" ht="15">
      <c r="B215" s="73" t="s">
        <v>55</v>
      </c>
      <c r="C215" s="455">
        <v>19.6</v>
      </c>
      <c r="D215" s="328"/>
      <c r="E215" s="328"/>
      <c r="F215" s="59"/>
      <c r="G215" s="59"/>
      <c r="H215" s="59"/>
      <c r="I215" s="59"/>
      <c r="J215" s="59"/>
    </row>
    <row r="216" spans="2:10" ht="15">
      <c r="B216" s="72" t="s">
        <v>56</v>
      </c>
      <c r="C216" s="455">
        <v>27.4</v>
      </c>
      <c r="D216" s="328"/>
      <c r="E216" s="328"/>
      <c r="F216" s="59"/>
      <c r="G216" s="59"/>
      <c r="H216" s="59"/>
      <c r="I216" s="59"/>
      <c r="J216" s="59"/>
    </row>
    <row r="217" spans="2:10" ht="15">
      <c r="B217" s="72" t="s">
        <v>57</v>
      </c>
      <c r="C217" s="455">
        <v>26.6</v>
      </c>
      <c r="D217" s="328"/>
      <c r="E217" s="328"/>
      <c r="F217" s="59"/>
      <c r="G217" s="59"/>
      <c r="H217" s="59"/>
      <c r="I217" s="59"/>
      <c r="J217" s="59"/>
    </row>
    <row r="218" spans="2:10" ht="15">
      <c r="B218" s="72" t="s">
        <v>58</v>
      </c>
      <c r="C218" s="455">
        <v>20</v>
      </c>
      <c r="D218" s="328"/>
      <c r="E218" s="328"/>
      <c r="F218" s="59"/>
      <c r="G218" s="59"/>
      <c r="H218" s="59"/>
      <c r="I218" s="59"/>
      <c r="J218" s="59"/>
    </row>
    <row r="219" spans="2:10" ht="15">
      <c r="B219" s="72" t="s">
        <v>59</v>
      </c>
      <c r="C219" s="455">
        <v>5.5</v>
      </c>
      <c r="D219" s="328"/>
      <c r="E219" s="328"/>
      <c r="F219" s="59"/>
      <c r="G219" s="59"/>
      <c r="H219" s="59"/>
      <c r="I219" s="59"/>
      <c r="J219" s="59"/>
    </row>
    <row r="220" spans="2:10" ht="15">
      <c r="B220" s="72" t="s">
        <v>60</v>
      </c>
      <c r="C220" s="455">
        <v>25.4</v>
      </c>
      <c r="D220" s="328"/>
      <c r="E220" s="328"/>
      <c r="F220" s="59"/>
      <c r="G220" s="59"/>
      <c r="H220" s="59"/>
      <c r="I220" s="59"/>
      <c r="J220" s="59"/>
    </row>
    <row r="221" spans="2:10" ht="15">
      <c r="B221" s="72" t="s">
        <v>61</v>
      </c>
      <c r="C221" s="455">
        <v>10.7</v>
      </c>
      <c r="D221" s="328"/>
      <c r="E221" s="328"/>
      <c r="F221" s="59"/>
      <c r="G221" s="59"/>
      <c r="H221" s="59"/>
      <c r="I221" s="59"/>
      <c r="J221" s="59"/>
    </row>
    <row r="222" spans="2:10" ht="15">
      <c r="B222" s="72" t="s">
        <v>62</v>
      </c>
      <c r="C222" s="455">
        <v>23</v>
      </c>
      <c r="D222" s="328"/>
      <c r="E222" s="328"/>
      <c r="F222" s="59"/>
      <c r="G222" s="59"/>
      <c r="H222" s="59"/>
      <c r="I222" s="59"/>
      <c r="J222" s="59"/>
    </row>
    <row r="223" spans="2:10" ht="15">
      <c r="B223" s="72" t="s">
        <v>63</v>
      </c>
      <c r="C223" s="455">
        <v>18.2</v>
      </c>
      <c r="D223" s="328"/>
      <c r="E223" s="328"/>
      <c r="F223" s="59"/>
      <c r="G223" s="59"/>
      <c r="H223" s="59"/>
      <c r="I223" s="59"/>
      <c r="J223" s="59"/>
    </row>
    <row r="224" spans="2:10" ht="15">
      <c r="B224" s="72" t="s">
        <v>64</v>
      </c>
      <c r="C224" s="455">
        <v>26.3</v>
      </c>
      <c r="D224" s="328"/>
      <c r="E224" s="328"/>
      <c r="F224" s="59"/>
      <c r="G224" s="59"/>
      <c r="H224" s="59"/>
      <c r="I224" s="59"/>
      <c r="J224" s="59"/>
    </row>
    <row r="225" spans="2:10" ht="15">
      <c r="B225" s="72" t="s">
        <v>65</v>
      </c>
      <c r="C225" s="455">
        <v>25.7</v>
      </c>
      <c r="D225" s="328"/>
      <c r="E225" s="328"/>
      <c r="F225" s="59"/>
      <c r="G225" s="59"/>
      <c r="H225" s="59"/>
      <c r="I225" s="59"/>
      <c r="J225" s="59"/>
    </row>
    <row r="226" spans="2:10" ht="15.75" thickBot="1">
      <c r="B226"/>
      <c r="C226"/>
      <c r="D226"/>
      <c r="E226"/>
      <c r="F226" s="59"/>
      <c r="G226" s="59"/>
      <c r="H226" s="59"/>
      <c r="I226" s="59"/>
      <c r="J226" s="59"/>
    </row>
    <row r="227" spans="2:15" ht="15">
      <c r="B227" s="293" t="s">
        <v>1462</v>
      </c>
      <c r="C227" s="1167">
        <v>9</v>
      </c>
      <c r="D227" s="1167"/>
      <c r="E227" s="1167"/>
      <c r="F227" s="1167"/>
      <c r="G227" s="1167"/>
      <c r="H227" s="1167"/>
      <c r="I227" s="1168"/>
      <c r="K227"/>
      <c r="L227"/>
      <c r="M227"/>
      <c r="N227"/>
      <c r="O227"/>
    </row>
    <row r="228" spans="2:15" ht="15">
      <c r="B228" s="294" t="s">
        <v>1461</v>
      </c>
      <c r="C228" s="1169" t="s">
        <v>1051</v>
      </c>
      <c r="D228" s="1169"/>
      <c r="E228" s="1169"/>
      <c r="F228" s="1169"/>
      <c r="G228" s="1169"/>
      <c r="H228" s="1169"/>
      <c r="I228" s="1170"/>
      <c r="K228"/>
      <c r="L228"/>
      <c r="M228"/>
      <c r="N228"/>
      <c r="O228"/>
    </row>
    <row r="229" spans="2:15" ht="39.75" customHeight="1">
      <c r="B229" s="294" t="s">
        <v>73</v>
      </c>
      <c r="C229" s="1171" t="s">
        <v>1559</v>
      </c>
      <c r="D229" s="1172"/>
      <c r="E229" s="1172"/>
      <c r="F229" s="1172"/>
      <c r="G229" s="1172"/>
      <c r="H229" s="1172"/>
      <c r="I229" s="1173"/>
      <c r="K229"/>
      <c r="L229"/>
      <c r="M229"/>
      <c r="N229"/>
      <c r="O229"/>
    </row>
    <row r="230" spans="2:15" ht="15">
      <c r="B230" s="294" t="s">
        <v>1010</v>
      </c>
      <c r="C230" s="1174" t="s">
        <v>1560</v>
      </c>
      <c r="D230" s="1160"/>
      <c r="E230" s="1160"/>
      <c r="F230" s="1160"/>
      <c r="G230" s="1160"/>
      <c r="H230" s="1160"/>
      <c r="I230" s="1161"/>
      <c r="K230"/>
      <c r="L230"/>
      <c r="M230"/>
      <c r="N230"/>
      <c r="O230"/>
    </row>
    <row r="231" spans="2:15" ht="15">
      <c r="B231" s="294" t="s">
        <v>74</v>
      </c>
      <c r="C231" s="1175"/>
      <c r="D231" s="1160"/>
      <c r="E231" s="1160"/>
      <c r="F231" s="1160"/>
      <c r="G231" s="1160"/>
      <c r="H231" s="1160"/>
      <c r="I231" s="1161"/>
      <c r="K231"/>
      <c r="L231"/>
      <c r="M231"/>
      <c r="N231"/>
      <c r="O231"/>
    </row>
    <row r="232" spans="2:15" ht="27.75" customHeight="1" thickBot="1">
      <c r="B232" s="295" t="s">
        <v>75</v>
      </c>
      <c r="C232" s="1164" t="s">
        <v>1562</v>
      </c>
      <c r="D232" s="1165"/>
      <c r="E232" s="1165"/>
      <c r="F232" s="1165"/>
      <c r="G232" s="1165"/>
      <c r="H232" s="1165"/>
      <c r="I232" s="1166"/>
      <c r="K232"/>
      <c r="L232"/>
      <c r="M232"/>
      <c r="N232"/>
      <c r="O232"/>
    </row>
    <row r="233" spans="2:15" ht="15">
      <c r="B233"/>
      <c r="C233"/>
      <c r="D233"/>
      <c r="E233"/>
      <c r="F233"/>
      <c r="G233"/>
      <c r="H233"/>
      <c r="I233"/>
      <c r="J233"/>
      <c r="K233"/>
      <c r="L233"/>
      <c r="M233"/>
      <c r="N233"/>
      <c r="O233"/>
    </row>
    <row r="234" spans="2:10" ht="38.25">
      <c r="B234" s="1203" t="s">
        <v>126</v>
      </c>
      <c r="C234" s="291" t="s">
        <v>133</v>
      </c>
      <c r="D234" s="291" t="s">
        <v>134</v>
      </c>
      <c r="E234" s="291" t="s">
        <v>135</v>
      </c>
      <c r="F234" s="291" t="s">
        <v>136</v>
      </c>
      <c r="G234" s="291" t="s">
        <v>137</v>
      </c>
      <c r="H234" s="291" t="s">
        <v>138</v>
      </c>
      <c r="I234" s="291" t="s">
        <v>139</v>
      </c>
      <c r="J234"/>
    </row>
    <row r="235" spans="2:10" ht="15">
      <c r="B235" s="1204"/>
      <c r="C235" s="1216" t="s">
        <v>347</v>
      </c>
      <c r="D235" s="1217"/>
      <c r="E235" s="1217"/>
      <c r="F235" s="1217"/>
      <c r="G235" s="1217"/>
      <c r="H235" s="1217"/>
      <c r="I235" s="1217"/>
      <c r="J235"/>
    </row>
    <row r="236" spans="2:10" ht="15">
      <c r="B236" s="119" t="s">
        <v>145</v>
      </c>
      <c r="C236" s="118">
        <v>0.79</v>
      </c>
      <c r="D236" s="118">
        <v>0</v>
      </c>
      <c r="E236" s="118">
        <v>0.21</v>
      </c>
      <c r="F236" s="118">
        <v>0</v>
      </c>
      <c r="G236" s="118">
        <v>0</v>
      </c>
      <c r="H236" s="118">
        <v>0</v>
      </c>
      <c r="I236" s="118">
        <v>0</v>
      </c>
      <c r="J236"/>
    </row>
    <row r="237" spans="2:10" ht="15">
      <c r="B237" s="119" t="s">
        <v>376</v>
      </c>
      <c r="C237" s="118">
        <v>0.91</v>
      </c>
      <c r="D237" s="118">
        <v>0</v>
      </c>
      <c r="E237" s="118">
        <v>0.09</v>
      </c>
      <c r="F237" s="118">
        <v>0</v>
      </c>
      <c r="G237" s="118">
        <v>0</v>
      </c>
      <c r="H237" s="118">
        <v>0</v>
      </c>
      <c r="I237" s="118">
        <v>0</v>
      </c>
      <c r="J237"/>
    </row>
    <row r="238" spans="2:10" ht="15">
      <c r="B238" s="119" t="s">
        <v>146</v>
      </c>
      <c r="C238" s="118">
        <v>1</v>
      </c>
      <c r="D238" s="118">
        <v>0</v>
      </c>
      <c r="E238" s="118">
        <v>0</v>
      </c>
      <c r="F238" s="118">
        <v>0</v>
      </c>
      <c r="G238" s="118">
        <v>0</v>
      </c>
      <c r="H238" s="118">
        <v>0</v>
      </c>
      <c r="I238" s="118">
        <v>0</v>
      </c>
      <c r="J238"/>
    </row>
    <row r="239" spans="2:10" ht="15">
      <c r="B239" s="119" t="s">
        <v>147</v>
      </c>
      <c r="C239" s="118">
        <v>1</v>
      </c>
      <c r="D239" s="118">
        <v>0</v>
      </c>
      <c r="E239" s="118">
        <v>0</v>
      </c>
      <c r="F239" s="118">
        <v>0</v>
      </c>
      <c r="G239" s="118">
        <v>0</v>
      </c>
      <c r="H239" s="118">
        <v>0</v>
      </c>
      <c r="I239" s="118">
        <v>0</v>
      </c>
      <c r="J239"/>
    </row>
    <row r="240" spans="2:10" ht="15">
      <c r="B240" s="119" t="s">
        <v>148</v>
      </c>
      <c r="C240" s="118">
        <v>1</v>
      </c>
      <c r="D240" s="118">
        <v>0</v>
      </c>
      <c r="E240" s="118">
        <v>0</v>
      </c>
      <c r="F240" s="118">
        <v>0</v>
      </c>
      <c r="G240" s="118">
        <v>0</v>
      </c>
      <c r="H240" s="118">
        <v>0</v>
      </c>
      <c r="I240" s="118">
        <v>0</v>
      </c>
      <c r="J240"/>
    </row>
    <row r="241" spans="2:10" ht="15">
      <c r="B241" s="119" t="s">
        <v>149</v>
      </c>
      <c r="C241" s="118">
        <v>1</v>
      </c>
      <c r="D241" s="118">
        <v>0</v>
      </c>
      <c r="E241" s="118">
        <v>0</v>
      </c>
      <c r="F241" s="118">
        <v>0</v>
      </c>
      <c r="G241" s="118">
        <v>0</v>
      </c>
      <c r="H241" s="118">
        <v>0</v>
      </c>
      <c r="I241" s="118">
        <v>0</v>
      </c>
      <c r="J241"/>
    </row>
    <row r="242" spans="2:10" ht="15">
      <c r="B242" s="119" t="s">
        <v>150</v>
      </c>
      <c r="C242" s="118">
        <v>0.67</v>
      </c>
      <c r="D242" s="118">
        <v>0</v>
      </c>
      <c r="E242" s="118">
        <v>0.33</v>
      </c>
      <c r="F242" s="118">
        <v>0</v>
      </c>
      <c r="G242" s="118">
        <v>0</v>
      </c>
      <c r="H242" s="118">
        <v>0</v>
      </c>
      <c r="I242" s="118">
        <v>0</v>
      </c>
      <c r="J242"/>
    </row>
    <row r="243" spans="2:10" ht="15">
      <c r="B243" s="119" t="s">
        <v>719</v>
      </c>
      <c r="C243" s="118">
        <v>0.89</v>
      </c>
      <c r="D243" s="118">
        <v>0</v>
      </c>
      <c r="E243" s="118">
        <v>0.11</v>
      </c>
      <c r="F243" s="118">
        <v>0</v>
      </c>
      <c r="G243" s="118">
        <v>0</v>
      </c>
      <c r="H243" s="118">
        <v>0</v>
      </c>
      <c r="I243" s="118">
        <v>0</v>
      </c>
      <c r="J243"/>
    </row>
    <row r="244" spans="2:10" ht="15">
      <c r="B244" s="119" t="s">
        <v>720</v>
      </c>
      <c r="C244" s="118">
        <v>0.89</v>
      </c>
      <c r="D244" s="118">
        <v>0</v>
      </c>
      <c r="E244" s="118">
        <v>0.11</v>
      </c>
      <c r="F244" s="118">
        <v>0</v>
      </c>
      <c r="G244" s="118">
        <v>0</v>
      </c>
      <c r="H244" s="118">
        <v>0</v>
      </c>
      <c r="I244" s="118">
        <v>0</v>
      </c>
      <c r="J244"/>
    </row>
    <row r="245" spans="2:10" ht="15">
      <c r="B245" s="119" t="s">
        <v>721</v>
      </c>
      <c r="C245" s="118">
        <v>0</v>
      </c>
      <c r="D245" s="118">
        <v>0</v>
      </c>
      <c r="E245" s="118">
        <v>0</v>
      </c>
      <c r="F245" s="118">
        <v>0</v>
      </c>
      <c r="G245" s="118">
        <v>0</v>
      </c>
      <c r="H245" s="118">
        <v>0.9</v>
      </c>
      <c r="I245" s="118">
        <v>0.1</v>
      </c>
      <c r="J245"/>
    </row>
    <row r="246" spans="2:10" ht="15">
      <c r="B246" s="119" t="s">
        <v>151</v>
      </c>
      <c r="C246" s="118">
        <v>0</v>
      </c>
      <c r="D246" s="118">
        <v>1</v>
      </c>
      <c r="E246" s="118">
        <v>0</v>
      </c>
      <c r="F246" s="118">
        <v>0</v>
      </c>
      <c r="G246" s="118">
        <v>0</v>
      </c>
      <c r="H246" s="118">
        <v>0</v>
      </c>
      <c r="I246" s="118">
        <v>0</v>
      </c>
      <c r="J246"/>
    </row>
    <row r="247" spans="2:10" ht="15">
      <c r="B247" s="1218" t="s">
        <v>73</v>
      </c>
      <c r="C247" s="1219"/>
      <c r="D247" s="1219"/>
      <c r="E247" s="1219"/>
      <c r="F247" s="1219"/>
      <c r="G247" s="1219"/>
      <c r="H247" s="1219"/>
      <c r="I247" s="1220"/>
      <c r="J247"/>
    </row>
    <row r="248" spans="2:10" ht="15" customHeight="1">
      <c r="B248" s="1213" t="s">
        <v>782</v>
      </c>
      <c r="C248" s="1214"/>
      <c r="D248" s="1214"/>
      <c r="E248" s="1214"/>
      <c r="F248" s="1214"/>
      <c r="G248" s="1214"/>
      <c r="H248" s="1214"/>
      <c r="I248" s="1215"/>
      <c r="J248"/>
    </row>
    <row r="249" spans="2:10" ht="15">
      <c r="B249" s="1218" t="s">
        <v>448</v>
      </c>
      <c r="C249" s="1219"/>
      <c r="D249" s="1219"/>
      <c r="E249" s="1219"/>
      <c r="F249" s="1219"/>
      <c r="G249" s="1219"/>
      <c r="H249" s="1219"/>
      <c r="I249" s="1220"/>
      <c r="J249"/>
    </row>
    <row r="250" spans="2:10" ht="55.5" customHeight="1">
      <c r="B250" s="1185" t="s">
        <v>1119</v>
      </c>
      <c r="C250" s="1185"/>
      <c r="D250" s="1185"/>
      <c r="E250" s="1185"/>
      <c r="F250" s="1185"/>
      <c r="G250" s="1185"/>
      <c r="H250" s="1185"/>
      <c r="I250" s="1185"/>
      <c r="J250"/>
    </row>
    <row r="251" spans="2:10" ht="15">
      <c r="B251" s="1212" t="s">
        <v>1120</v>
      </c>
      <c r="C251" s="1212"/>
      <c r="D251" s="1212"/>
      <c r="E251" s="1212"/>
      <c r="F251" s="1212"/>
      <c r="G251" s="1212"/>
      <c r="H251" s="1212"/>
      <c r="I251" s="1212"/>
      <c r="J251"/>
    </row>
    <row r="252" ht="15">
      <c r="J252"/>
    </row>
    <row r="253" ht="15">
      <c r="J253"/>
    </row>
    <row r="254" ht="15">
      <c r="J254"/>
    </row>
    <row r="255" ht="15">
      <c r="J255"/>
    </row>
  </sheetData>
  <mergeCells count="79">
    <mergeCell ref="B251:I251"/>
    <mergeCell ref="B248:I248"/>
    <mergeCell ref="B234:B235"/>
    <mergeCell ref="C235:I235"/>
    <mergeCell ref="B247:I247"/>
    <mergeCell ref="B249:I249"/>
    <mergeCell ref="B250:I250"/>
    <mergeCell ref="B121:C121"/>
    <mergeCell ref="B122:C122"/>
    <mergeCell ref="B123:C123"/>
    <mergeCell ref="B124:C124"/>
    <mergeCell ref="C130:I130"/>
    <mergeCell ref="C131:I131"/>
    <mergeCell ref="C232:I232"/>
    <mergeCell ref="C227:I227"/>
    <mergeCell ref="C228:I228"/>
    <mergeCell ref="C229:I229"/>
    <mergeCell ref="C230:I230"/>
    <mergeCell ref="C231:I231"/>
    <mergeCell ref="C169:I169"/>
    <mergeCell ref="C164:I164"/>
    <mergeCell ref="C166:I166"/>
    <mergeCell ref="C167:I167"/>
    <mergeCell ref="C168:I168"/>
    <mergeCell ref="C199:I199"/>
    <mergeCell ref="C194:I194"/>
    <mergeCell ref="C195:I195"/>
    <mergeCell ref="C196:I196"/>
    <mergeCell ref="C110:I110"/>
    <mergeCell ref="C81:I81"/>
    <mergeCell ref="C111:I111"/>
    <mergeCell ref="B2:J2"/>
    <mergeCell ref="C79:I79"/>
    <mergeCell ref="C80:I80"/>
    <mergeCell ref="C76:I76"/>
    <mergeCell ref="C77:I77"/>
    <mergeCell ref="C78:I78"/>
    <mergeCell ref="C11:I11"/>
    <mergeCell ref="C41:I41"/>
    <mergeCell ref="C42:I42"/>
    <mergeCell ref="C43:I43"/>
    <mergeCell ref="C44:I44"/>
    <mergeCell ref="B48:B49"/>
    <mergeCell ref="C48:E48"/>
    <mergeCell ref="B4:J4"/>
    <mergeCell ref="C45:I45"/>
    <mergeCell ref="C46:I46"/>
    <mergeCell ref="C6:I6"/>
    <mergeCell ref="C7:I7"/>
    <mergeCell ref="C8:I8"/>
    <mergeCell ref="C9:I9"/>
    <mergeCell ref="C10:I10"/>
    <mergeCell ref="C13:I13"/>
    <mergeCell ref="B13:B14"/>
    <mergeCell ref="C112:I112"/>
    <mergeCell ref="C113:I113"/>
    <mergeCell ref="C114:I114"/>
    <mergeCell ref="C165:I165"/>
    <mergeCell ref="C132:I132"/>
    <mergeCell ref="C133:I133"/>
    <mergeCell ref="C134:I134"/>
    <mergeCell ref="C135:I135"/>
    <mergeCell ref="B120:C120"/>
    <mergeCell ref="C115:I115"/>
    <mergeCell ref="B117:C117"/>
    <mergeCell ref="B118:C118"/>
    <mergeCell ref="B119:C119"/>
    <mergeCell ref="B126:C126"/>
    <mergeCell ref="B127:C127"/>
    <mergeCell ref="B128:C128"/>
    <mergeCell ref="C197:I197"/>
    <mergeCell ref="C198:I198"/>
    <mergeCell ref="B192:J192"/>
    <mergeCell ref="C182:I182"/>
    <mergeCell ref="C177:I177"/>
    <mergeCell ref="C178:I178"/>
    <mergeCell ref="C179:I179"/>
    <mergeCell ref="C180:I180"/>
    <mergeCell ref="C181:I181"/>
  </mergeCells>
  <hyperlinks>
    <hyperlink ref="C113" r:id="rId1" display="http://censos.inei.gob.pe/Cenagro/redatam/# "/>
    <hyperlink ref="C9" r:id="rId2" display="https://siea.midagri.gob.pe/portal/publicacion/boletines-anuales/5-ganadera-avicola"/>
    <hyperlink ref="C197" r:id="rId3" display="https://www.inei.gob.pe/media/MenuRecursivo/publicaciones_digitales/Est/Lib1827/libro.pdf"/>
    <hyperlink ref="C79" r:id="rId4" display="https://siea.midagri.gob.pe/portal/publicacion/boletines-anuales/5-ganadera-avicola"/>
    <hyperlink ref="C133" r:id="rId5" display="https://siea.midagri.gob.pe/portal/publicacion/boletines-anuales/5-ganadera-avicola"/>
  </hyperlinks>
  <printOptions/>
  <pageMargins left="0.7" right="0.7" top="0.75" bottom="0.75" header="0.3" footer="0.3"/>
  <pageSetup horizontalDpi="300" verticalDpi="300" orientation="portrait" r:id="rId7"/>
  <drawing r:id="rId6"/>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D9D9D9"/>
  </sheetPr>
  <dimension ref="B2:N31"/>
  <sheetViews>
    <sheetView workbookViewId="0" topLeftCell="A24">
      <selection activeCell="J28" sqref="J28"/>
    </sheetView>
  </sheetViews>
  <sheetFormatPr defaultColWidth="10.8515625" defaultRowHeight="15"/>
  <cols>
    <col min="1" max="1" width="3.28125" style="0" customWidth="1"/>
    <col min="2" max="2" width="21.00390625" style="53" customWidth="1"/>
    <col min="3" max="10" width="16.7109375" style="53" customWidth="1"/>
    <col min="11" max="11" width="11.7109375" style="53" customWidth="1"/>
    <col min="12" max="29" width="10.8515625" style="53" customWidth="1"/>
  </cols>
  <sheetData>
    <row r="1" ht="15.75" thickBot="1"/>
    <row r="2" spans="2:9" ht="13.5" thickBot="1">
      <c r="B2" s="515" t="s">
        <v>0</v>
      </c>
      <c r="C2" s="1477" t="s">
        <v>381</v>
      </c>
      <c r="D2" s="1478"/>
      <c r="E2" s="1478"/>
      <c r="F2" s="1478"/>
      <c r="G2" s="1478"/>
      <c r="H2" s="1478"/>
      <c r="I2" s="1587"/>
    </row>
    <row r="3" spans="2:9" ht="15" thickBot="1">
      <c r="B3" s="516" t="s">
        <v>363</v>
      </c>
      <c r="C3" s="1477" t="s">
        <v>940</v>
      </c>
      <c r="D3" s="1478"/>
      <c r="E3" s="1478"/>
      <c r="F3" s="1478"/>
      <c r="G3" s="1478"/>
      <c r="H3" s="1478"/>
      <c r="I3" s="1587"/>
    </row>
    <row r="4" spans="2:9" ht="26.25" thickBot="1">
      <c r="B4" s="516" t="s">
        <v>879</v>
      </c>
      <c r="C4" s="1477" t="s">
        <v>29</v>
      </c>
      <c r="D4" s="1478"/>
      <c r="E4" s="1478"/>
      <c r="F4" s="1478"/>
      <c r="G4" s="1478"/>
      <c r="H4" s="1478"/>
      <c r="I4" s="1587"/>
    </row>
    <row r="5" spans="2:12" ht="15.75" thickBot="1">
      <c r="B5" s="516" t="s">
        <v>793</v>
      </c>
      <c r="C5" s="1477" t="s">
        <v>8</v>
      </c>
      <c r="D5" s="1478"/>
      <c r="E5" s="1478"/>
      <c r="F5" s="1478"/>
      <c r="G5" s="1478"/>
      <c r="H5" s="1478"/>
      <c r="I5" s="1587"/>
      <c r="L5" t="s">
        <v>695</v>
      </c>
    </row>
    <row r="6" spans="2:9" ht="13.5" thickBot="1">
      <c r="B6" s="149" t="s">
        <v>795</v>
      </c>
      <c r="C6" s="1433" t="s">
        <v>941</v>
      </c>
      <c r="D6" s="1513"/>
      <c r="E6" s="1513"/>
      <c r="F6" s="1513"/>
      <c r="G6" s="1513"/>
      <c r="H6" s="1513"/>
      <c r="I6" s="1553"/>
    </row>
    <row r="7" spans="2:10" ht="128.25" thickBot="1">
      <c r="B7" s="1569"/>
      <c r="C7" s="126" t="s">
        <v>942</v>
      </c>
      <c r="D7" s="126" t="s">
        <v>943</v>
      </c>
      <c r="E7" s="126" t="s">
        <v>944</v>
      </c>
      <c r="F7" s="126" t="s">
        <v>945</v>
      </c>
      <c r="G7" s="126" t="s">
        <v>946</v>
      </c>
      <c r="H7" s="126" t="s">
        <v>947</v>
      </c>
      <c r="I7" s="126" t="s">
        <v>948</v>
      </c>
      <c r="J7" s="167" t="s">
        <v>787</v>
      </c>
    </row>
    <row r="8" spans="2:10" ht="15">
      <c r="B8" s="1515"/>
      <c r="C8" s="1569" t="s">
        <v>814</v>
      </c>
      <c r="D8" s="1569" t="s">
        <v>949</v>
      </c>
      <c r="E8" s="1569" t="s">
        <v>814</v>
      </c>
      <c r="F8" s="1569" t="s">
        <v>814</v>
      </c>
      <c r="G8" s="1569" t="s">
        <v>950</v>
      </c>
      <c r="H8" s="1569" t="s">
        <v>951</v>
      </c>
      <c r="I8" s="1569" t="s">
        <v>907</v>
      </c>
      <c r="J8" s="1628" t="s">
        <v>788</v>
      </c>
    </row>
    <row r="9" spans="2:10" ht="30.75" customHeight="1" thickBot="1">
      <c r="B9" s="1515"/>
      <c r="C9" s="1627"/>
      <c r="D9" s="1534"/>
      <c r="E9" s="1534"/>
      <c r="F9" s="1534"/>
      <c r="G9" s="1534"/>
      <c r="H9" s="1534"/>
      <c r="I9" s="1534"/>
      <c r="J9" s="1629"/>
    </row>
    <row r="10" spans="2:10" ht="57.75" thickBot="1">
      <c r="B10" s="1515"/>
      <c r="C10" s="272"/>
      <c r="D10" s="272" t="s">
        <v>952</v>
      </c>
      <c r="E10" s="165"/>
      <c r="F10" s="165"/>
      <c r="G10" s="272" t="s">
        <v>952</v>
      </c>
      <c r="H10" s="272" t="s">
        <v>952</v>
      </c>
      <c r="I10" s="272" t="s">
        <v>599</v>
      </c>
      <c r="J10" s="1629"/>
    </row>
    <row r="11" spans="2:10" ht="15.75" thickBot="1">
      <c r="B11" s="1583"/>
      <c r="C11" s="128" t="s">
        <v>600</v>
      </c>
      <c r="D11" s="128" t="s">
        <v>601</v>
      </c>
      <c r="E11" s="128" t="s">
        <v>602</v>
      </c>
      <c r="F11" s="128" t="s">
        <v>596</v>
      </c>
      <c r="G11" s="128" t="s">
        <v>603</v>
      </c>
      <c r="H11" s="128" t="s">
        <v>604</v>
      </c>
      <c r="I11" s="128" t="s">
        <v>605</v>
      </c>
      <c r="J11" s="1630"/>
    </row>
    <row r="12" spans="2:11" ht="16.5" thickBot="1" thickTop="1">
      <c r="B12" s="150" t="s">
        <v>455</v>
      </c>
      <c r="C12" s="155">
        <f>+'IP 3C4_3C5'!C12</f>
        <v>329921645</v>
      </c>
      <c r="D12" s="155">
        <f>+'3C5 FE'!C9</f>
        <v>0.11</v>
      </c>
      <c r="E12" s="155">
        <f>+'GEI 3C4'!E12</f>
        <v>84043470.37422732</v>
      </c>
      <c r="F12" s="155">
        <f>'GEI 3C4'!G37+'GEI 3C4'!G38</f>
        <v>694562305.2735676</v>
      </c>
      <c r="G12" s="155">
        <f>+'3C5 FE'!C10</f>
        <v>0.21</v>
      </c>
      <c r="H12" s="155">
        <f>+'3C5 FE'!C7</f>
        <v>0.01</v>
      </c>
      <c r="I12" s="155">
        <f>((C12*D12)+(E12+F12)*G12)*H12</f>
        <v>1997985.9383603693</v>
      </c>
      <c r="J12" s="270">
        <f>+(I12)*'F. de Conversión'!$C$18/'F. de Conversión'!$D$31*44/28</f>
        <v>3.139692188852009</v>
      </c>
      <c r="K12" s="267"/>
    </row>
    <row r="13" spans="2:10" ht="15.75" hidden="1" thickBot="1">
      <c r="B13" s="150"/>
      <c r="C13" s="127"/>
      <c r="D13" s="127"/>
      <c r="E13" s="127"/>
      <c r="F13" s="127"/>
      <c r="G13" s="127"/>
      <c r="H13" s="127"/>
      <c r="I13" s="135"/>
      <c r="J13" s="154"/>
    </row>
    <row r="14" spans="2:10" ht="15.75" hidden="1" thickBot="1">
      <c r="B14" s="150"/>
      <c r="C14" s="127"/>
      <c r="D14" s="134"/>
      <c r="E14" s="134"/>
      <c r="F14" s="134"/>
      <c r="G14" s="134"/>
      <c r="H14" s="134"/>
      <c r="I14" s="135"/>
      <c r="J14" s="154"/>
    </row>
    <row r="15" spans="2:10" ht="15.75" thickBot="1">
      <c r="B15" s="153" t="s">
        <v>2</v>
      </c>
      <c r="C15" s="135"/>
      <c r="D15" s="135"/>
      <c r="E15" s="135"/>
      <c r="F15" s="135"/>
      <c r="G15" s="135"/>
      <c r="H15" s="135"/>
      <c r="I15" s="166">
        <f>SUM(I12)</f>
        <v>1997985.9383603693</v>
      </c>
      <c r="J15" s="270"/>
    </row>
    <row r="16" ht="15.75" thickBot="1"/>
    <row r="17" spans="2:11" ht="15.75" thickBot="1">
      <c r="B17" s="510" t="s">
        <v>0</v>
      </c>
      <c r="C17" s="1477" t="s">
        <v>381</v>
      </c>
      <c r="D17" s="1478"/>
      <c r="E17" s="1478"/>
      <c r="F17" s="1478"/>
      <c r="G17" s="1478"/>
      <c r="H17" s="1478"/>
      <c r="I17" s="1478"/>
      <c r="J17" s="1479"/>
      <c r="K17" s="268"/>
    </row>
    <row r="18" spans="2:11" ht="15.75" thickBot="1">
      <c r="B18" s="511" t="s">
        <v>363</v>
      </c>
      <c r="C18" s="1477" t="s">
        <v>953</v>
      </c>
      <c r="D18" s="1478"/>
      <c r="E18" s="1478"/>
      <c r="F18" s="1478"/>
      <c r="G18" s="1478"/>
      <c r="H18" s="1478"/>
      <c r="I18" s="1478"/>
      <c r="J18" s="1479"/>
      <c r="K18" s="268"/>
    </row>
    <row r="19" spans="2:11" ht="15.75" thickBot="1">
      <c r="B19" s="511" t="s">
        <v>879</v>
      </c>
      <c r="C19" s="1477" t="s">
        <v>29</v>
      </c>
      <c r="D19" s="1478"/>
      <c r="E19" s="1478"/>
      <c r="F19" s="1478"/>
      <c r="G19" s="1478"/>
      <c r="H19" s="1478"/>
      <c r="I19" s="1478"/>
      <c r="J19" s="1479"/>
      <c r="K19" s="268"/>
    </row>
    <row r="20" spans="2:14" ht="15.75" thickBot="1">
      <c r="B20" s="511" t="s">
        <v>793</v>
      </c>
      <c r="C20" s="1477" t="s">
        <v>866</v>
      </c>
      <c r="D20" s="1478"/>
      <c r="E20" s="1478"/>
      <c r="F20" s="1478"/>
      <c r="G20" s="1478"/>
      <c r="H20" s="1478"/>
      <c r="I20" s="1478"/>
      <c r="J20" s="1479"/>
      <c r="K20" s="268"/>
      <c r="N20"/>
    </row>
    <row r="21" spans="2:12" ht="15.75" thickBot="1">
      <c r="B21" s="149" t="s">
        <v>795</v>
      </c>
      <c r="C21" s="1433" t="s">
        <v>954</v>
      </c>
      <c r="D21" s="1513"/>
      <c r="E21" s="1513"/>
      <c r="F21" s="1513"/>
      <c r="G21" s="1513"/>
      <c r="H21" s="1513"/>
      <c r="I21" s="1513"/>
      <c r="J21" s="1434"/>
      <c r="K21" s="269"/>
      <c r="L21" s="269"/>
    </row>
    <row r="22" spans="2:12" ht="141" thickBot="1">
      <c r="B22" s="1569" t="s">
        <v>955</v>
      </c>
      <c r="C22" s="126" t="s">
        <v>956</v>
      </c>
      <c r="D22" s="126" t="s">
        <v>957</v>
      </c>
      <c r="E22" s="126" t="s">
        <v>958</v>
      </c>
      <c r="F22" s="126" t="s">
        <v>959</v>
      </c>
      <c r="G22" s="126" t="s">
        <v>960</v>
      </c>
      <c r="H22" s="126" t="s">
        <v>961</v>
      </c>
      <c r="I22" s="126" t="s">
        <v>962</v>
      </c>
      <c r="J22" s="126" t="s">
        <v>963</v>
      </c>
      <c r="K22" s="167" t="s">
        <v>787</v>
      </c>
      <c r="L22" s="167" t="s">
        <v>606</v>
      </c>
    </row>
    <row r="23" spans="2:12" ht="15" customHeight="1">
      <c r="B23" s="1515"/>
      <c r="C23" s="1569" t="s">
        <v>814</v>
      </c>
      <c r="D23" s="1569" t="s">
        <v>814</v>
      </c>
      <c r="E23" s="1569" t="s">
        <v>814</v>
      </c>
      <c r="F23" s="1569" t="s">
        <v>814</v>
      </c>
      <c r="G23" s="1569" t="s">
        <v>814</v>
      </c>
      <c r="H23" s="1569" t="s">
        <v>964</v>
      </c>
      <c r="I23" s="271" t="s">
        <v>567</v>
      </c>
      <c r="J23" s="1569" t="s">
        <v>931</v>
      </c>
      <c r="K23" s="1628" t="s">
        <v>585</v>
      </c>
      <c r="L23" s="1628" t="s">
        <v>585</v>
      </c>
    </row>
    <row r="24" spans="2:12" ht="15">
      <c r="B24" s="1515"/>
      <c r="C24" s="1515"/>
      <c r="D24" s="1515"/>
      <c r="E24" s="1515"/>
      <c r="F24" s="1515"/>
      <c r="G24" s="1515"/>
      <c r="H24" s="1515"/>
      <c r="I24" s="271" t="s">
        <v>965</v>
      </c>
      <c r="J24" s="1515"/>
      <c r="K24" s="1629"/>
      <c r="L24" s="1629"/>
    </row>
    <row r="25" spans="2:12" ht="15.75" thickBot="1">
      <c r="B25" s="1515"/>
      <c r="C25" s="1534"/>
      <c r="D25" s="1534"/>
      <c r="E25" s="1534"/>
      <c r="F25" s="1534"/>
      <c r="G25" s="1534"/>
      <c r="H25" s="1534"/>
      <c r="I25" s="272" t="s">
        <v>966</v>
      </c>
      <c r="J25" s="1534"/>
      <c r="K25" s="1629"/>
      <c r="L25" s="1629"/>
    </row>
    <row r="26" spans="2:12" ht="57.75" thickBot="1">
      <c r="B26" s="1515"/>
      <c r="C26" s="127"/>
      <c r="D26" s="127"/>
      <c r="E26" s="127"/>
      <c r="F26" s="127"/>
      <c r="G26" s="127"/>
      <c r="H26" s="127" t="s">
        <v>952</v>
      </c>
      <c r="I26" s="127" t="s">
        <v>952</v>
      </c>
      <c r="J26" s="127" t="s">
        <v>967</v>
      </c>
      <c r="K26" s="1629"/>
      <c r="L26" s="1629"/>
    </row>
    <row r="27" spans="2:12" ht="15.75" thickBot="1">
      <c r="B27" s="1583"/>
      <c r="C27" s="128" t="s">
        <v>600</v>
      </c>
      <c r="D27" s="128" t="s">
        <v>602</v>
      </c>
      <c r="E27" s="128" t="s">
        <v>596</v>
      </c>
      <c r="F27" s="128" t="s">
        <v>607</v>
      </c>
      <c r="G27" s="128" t="s">
        <v>608</v>
      </c>
      <c r="H27" s="128" t="s">
        <v>968</v>
      </c>
      <c r="I27" s="128" t="s">
        <v>609</v>
      </c>
      <c r="J27" s="128" t="s">
        <v>610</v>
      </c>
      <c r="K27" s="1630"/>
      <c r="L27" s="1630"/>
    </row>
    <row r="28" spans="2:12" ht="16.5" thickBot="1" thickTop="1">
      <c r="B28" s="150" t="s">
        <v>455</v>
      </c>
      <c r="C28" s="151">
        <f>'IP 3C4_3C5'!C12</f>
        <v>329921645</v>
      </c>
      <c r="D28" s="155">
        <f>'IP 3C4_3C5'!G48</f>
        <v>84043470.37422732</v>
      </c>
      <c r="E28" s="155">
        <f>'IP 3C4_3C5'!F198</f>
        <v>694562305.2735676</v>
      </c>
      <c r="F28" s="155">
        <f>'IP 3C4_3C5'!$Q$101</f>
        <v>367152671.64722204</v>
      </c>
      <c r="G28" s="168">
        <f>'IP 3C4_3C5'!E169</f>
        <v>2858.7869177607977</v>
      </c>
      <c r="H28" s="169">
        <f>+'3C5 FE'!C11</f>
        <v>0.24</v>
      </c>
      <c r="I28" s="169">
        <f>+'3C5 FE'!C8</f>
        <v>0.011</v>
      </c>
      <c r="J28" s="1096">
        <f>(C28+D28+E28+F28+G28)*H28*I28</f>
        <v>3895802.990856306</v>
      </c>
      <c r="K28" s="170">
        <f>+(J28)*'F. de Conversión'!$C$18/'F. de Conversión'!$D$31*44/28</f>
        <v>6.121976128488481</v>
      </c>
      <c r="L28" s="170">
        <f>J12+K28</f>
        <v>9.26166831734049</v>
      </c>
    </row>
    <row r="29" spans="2:12" ht="15.75" hidden="1" thickBot="1">
      <c r="B29" s="150"/>
      <c r="C29" s="127"/>
      <c r="D29" s="127"/>
      <c r="E29" s="127"/>
      <c r="F29" s="127"/>
      <c r="G29" s="127"/>
      <c r="H29" s="127"/>
      <c r="I29" s="127"/>
      <c r="J29" s="148"/>
      <c r="K29" s="148"/>
      <c r="L29" s="170">
        <f>+(J29+I13)*'F. de Conversión'!$C$18/'F. de Conversión'!$D$31*44/28</f>
        <v>0</v>
      </c>
    </row>
    <row r="30" spans="2:12" ht="15.75" hidden="1" thickBot="1">
      <c r="B30" s="150"/>
      <c r="C30" s="127"/>
      <c r="D30" s="134"/>
      <c r="E30" s="134"/>
      <c r="F30" s="134"/>
      <c r="G30" s="134"/>
      <c r="H30" s="134"/>
      <c r="I30" s="134"/>
      <c r="J30" s="148"/>
      <c r="K30" s="148"/>
      <c r="L30" s="170">
        <f>+(J30+I14)*'F. de Conversión'!$C$18/'F. de Conversión'!$D$31*44/28</f>
        <v>0</v>
      </c>
    </row>
    <row r="31" spans="2:12" ht="15.75" thickBot="1">
      <c r="B31" s="153" t="s">
        <v>2</v>
      </c>
      <c r="C31" s="135"/>
      <c r="D31" s="135"/>
      <c r="E31" s="135"/>
      <c r="F31" s="135"/>
      <c r="G31" s="135"/>
      <c r="H31" s="135"/>
      <c r="I31" s="135"/>
      <c r="J31" s="170">
        <f>SUM(J28)</f>
        <v>3895802.990856306</v>
      </c>
      <c r="K31" s="170"/>
      <c r="L31" s="170"/>
    </row>
  </sheetData>
  <mergeCells count="29">
    <mergeCell ref="L23:L27"/>
    <mergeCell ref="C20:J20"/>
    <mergeCell ref="C21:J21"/>
    <mergeCell ref="B22:B27"/>
    <mergeCell ref="C23:C25"/>
    <mergeCell ref="D23:D25"/>
    <mergeCell ref="E23:E25"/>
    <mergeCell ref="F23:F25"/>
    <mergeCell ref="G23:G25"/>
    <mergeCell ref="H23:H25"/>
    <mergeCell ref="J23:J25"/>
    <mergeCell ref="K23:K27"/>
    <mergeCell ref="C19:J19"/>
    <mergeCell ref="C2:I2"/>
    <mergeCell ref="C3:I3"/>
    <mergeCell ref="C4:I4"/>
    <mergeCell ref="C5:I5"/>
    <mergeCell ref="C6:I6"/>
    <mergeCell ref="G8:G9"/>
    <mergeCell ref="H8:H9"/>
    <mergeCell ref="I8:I9"/>
    <mergeCell ref="C17:J17"/>
    <mergeCell ref="C18:J18"/>
    <mergeCell ref="J8:J11"/>
    <mergeCell ref="B7:B11"/>
    <mergeCell ref="C8:C9"/>
    <mergeCell ref="D8:D9"/>
    <mergeCell ref="E8:E9"/>
    <mergeCell ref="F8:F9"/>
  </mergeCells>
  <printOptions/>
  <pageMargins left="0.7" right="0.7" top="0.75" bottom="0.75" header="0.3" footer="0.3"/>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D9D9D9"/>
  </sheetPr>
  <dimension ref="B2:K149"/>
  <sheetViews>
    <sheetView zoomScale="90" zoomScaleNormal="90" workbookViewId="0" topLeftCell="A10">
      <selection activeCell="F25" sqref="F25"/>
    </sheetView>
  </sheetViews>
  <sheetFormatPr defaultColWidth="10.8515625" defaultRowHeight="15"/>
  <cols>
    <col min="1" max="1" width="2.8515625" style="0" customWidth="1"/>
    <col min="2" max="2" width="18.421875" style="0" customWidth="1"/>
    <col min="3" max="8" width="21.421875" style="0" customWidth="1"/>
    <col min="9" max="9" width="21.28125" style="0" customWidth="1"/>
    <col min="10" max="10" width="12.28125" style="0" bestFit="1" customWidth="1"/>
    <col min="11" max="11" width="14.28125" style="0" customWidth="1"/>
  </cols>
  <sheetData>
    <row r="1" ht="15" customHeight="1" thickBot="1"/>
    <row r="2" spans="2:9" ht="15.75" thickBot="1">
      <c r="B2" s="1637" t="s">
        <v>0</v>
      </c>
      <c r="C2" s="1638"/>
      <c r="D2" s="1639" t="s">
        <v>381</v>
      </c>
      <c r="E2" s="1640"/>
      <c r="F2" s="1640"/>
      <c r="G2" s="1640"/>
      <c r="H2" s="1640"/>
      <c r="I2" s="1641"/>
    </row>
    <row r="3" spans="2:9" ht="15.75" customHeight="1" thickBot="1">
      <c r="B3" s="1637" t="s">
        <v>789</v>
      </c>
      <c r="C3" s="1638"/>
      <c r="D3" s="1639" t="s">
        <v>1205</v>
      </c>
      <c r="E3" s="1640"/>
      <c r="F3" s="1640"/>
      <c r="G3" s="1640"/>
      <c r="H3" s="1640"/>
      <c r="I3" s="1641"/>
    </row>
    <row r="4" spans="2:9" ht="15.75" customHeight="1" thickBot="1">
      <c r="B4" s="1637" t="s">
        <v>791</v>
      </c>
      <c r="C4" s="1638"/>
      <c r="D4" s="1639" t="s">
        <v>30</v>
      </c>
      <c r="E4" s="1640"/>
      <c r="F4" s="1640"/>
      <c r="G4" s="1640"/>
      <c r="H4" s="1640"/>
      <c r="I4" s="1641"/>
    </row>
    <row r="5" spans="2:11" ht="15.75" thickBot="1">
      <c r="B5" s="1637" t="s">
        <v>793</v>
      </c>
      <c r="C5" s="1638"/>
      <c r="D5" s="1637" t="s">
        <v>825</v>
      </c>
      <c r="E5" s="1646"/>
      <c r="F5" s="1646"/>
      <c r="G5" s="1646"/>
      <c r="H5" s="1646"/>
      <c r="I5" s="1638"/>
      <c r="K5" t="s">
        <v>695</v>
      </c>
    </row>
    <row r="6" spans="2:9" ht="15.75" customHeight="1" thickBot="1">
      <c r="B6" s="1642" t="s">
        <v>795</v>
      </c>
      <c r="C6" s="1643"/>
      <c r="D6" s="583" t="s">
        <v>808</v>
      </c>
      <c r="E6" s="1644" t="s">
        <v>969</v>
      </c>
      <c r="F6" s="1645"/>
      <c r="G6" s="1644" t="s">
        <v>970</v>
      </c>
      <c r="H6" s="1645"/>
      <c r="I6" s="1647" t="s">
        <v>1206</v>
      </c>
    </row>
    <row r="7" spans="2:10" ht="123" customHeight="1" thickBot="1">
      <c r="B7" s="1631" t="s">
        <v>1207</v>
      </c>
      <c r="C7" s="1631" t="s">
        <v>1208</v>
      </c>
      <c r="D7" s="561" t="s">
        <v>1209</v>
      </c>
      <c r="E7" s="561" t="s">
        <v>971</v>
      </c>
      <c r="F7" s="561" t="s">
        <v>1210</v>
      </c>
      <c r="G7" s="561" t="s">
        <v>1211</v>
      </c>
      <c r="H7" s="561" t="s">
        <v>1212</v>
      </c>
      <c r="I7" s="1648"/>
      <c r="J7" s="584"/>
    </row>
    <row r="8" spans="2:9" ht="37.5" thickBot="1">
      <c r="B8" s="1634"/>
      <c r="C8" s="1634"/>
      <c r="D8" s="562" t="s">
        <v>1213</v>
      </c>
      <c r="E8" s="562" t="s">
        <v>5</v>
      </c>
      <c r="F8" s="562" t="s">
        <v>1213</v>
      </c>
      <c r="G8" s="562" t="s">
        <v>1214</v>
      </c>
      <c r="H8" s="562" t="s">
        <v>1215</v>
      </c>
      <c r="I8" s="1647" t="s">
        <v>1216</v>
      </c>
    </row>
    <row r="9" spans="2:9" ht="15" customHeight="1">
      <c r="B9" s="1634"/>
      <c r="C9" s="1634"/>
      <c r="D9" s="1631"/>
      <c r="E9" s="1631" t="s">
        <v>972</v>
      </c>
      <c r="F9" s="563" t="s">
        <v>1217</v>
      </c>
      <c r="G9" s="1631" t="s">
        <v>952</v>
      </c>
      <c r="H9" s="1631" t="s">
        <v>1218</v>
      </c>
      <c r="I9" s="1655"/>
    </row>
    <row r="10" spans="2:11" ht="39.75" customHeight="1" thickBot="1">
      <c r="B10" s="1632"/>
      <c r="C10" s="1632"/>
      <c r="D10" s="1632"/>
      <c r="E10" s="1632"/>
      <c r="F10" s="562" t="s">
        <v>1219</v>
      </c>
      <c r="G10" s="1632"/>
      <c r="H10" s="1632"/>
      <c r="I10" s="1655"/>
      <c r="K10" s="585"/>
    </row>
    <row r="11" spans="2:11" ht="18.75" thickBot="1">
      <c r="B11" s="586" t="s">
        <v>6</v>
      </c>
      <c r="C11" s="587" t="s">
        <v>31</v>
      </c>
      <c r="D11" s="564" t="s">
        <v>1220</v>
      </c>
      <c r="E11" s="564" t="s">
        <v>1221</v>
      </c>
      <c r="F11" s="564" t="s">
        <v>1222</v>
      </c>
      <c r="G11" s="564" t="s">
        <v>1223</v>
      </c>
      <c r="H11" s="564" t="s">
        <v>1224</v>
      </c>
      <c r="I11" s="1648"/>
      <c r="K11" s="585"/>
    </row>
    <row r="12" spans="2:11" ht="16.5" thickBot="1" thickTop="1">
      <c r="B12" s="1633" t="s">
        <v>134</v>
      </c>
      <c r="C12" s="574" t="s">
        <v>118</v>
      </c>
      <c r="D12" s="567">
        <f>'GEI 3A1_3A2 (N1) '!H34</f>
        <v>0</v>
      </c>
      <c r="E12" s="575">
        <f>'3C6 FE'!C12</f>
        <v>0.07</v>
      </c>
      <c r="F12" s="567">
        <f>D12*E12</f>
        <v>0</v>
      </c>
      <c r="G12" s="575">
        <f>'3C6 FE'!$C$7</f>
        <v>0.01</v>
      </c>
      <c r="H12" s="567">
        <f>F12*G12*44/28</f>
        <v>0</v>
      </c>
      <c r="I12" s="588">
        <f>+H12*'F. de Conversión'!$C$18/'F. de Conversión'!$D$31</f>
        <v>0</v>
      </c>
      <c r="K12" s="585"/>
    </row>
    <row r="13" spans="2:9" ht="16.5" customHeight="1" thickBot="1">
      <c r="B13" s="1634"/>
      <c r="C13" s="574" t="s">
        <v>375</v>
      </c>
      <c r="D13" s="567">
        <f>'GEI 3A1_3A2 (N1) '!H35</f>
        <v>0</v>
      </c>
      <c r="E13" s="575">
        <f>'3C6 FE'!C13</f>
        <v>0</v>
      </c>
      <c r="F13" s="567">
        <f aca="true" t="shared" si="0" ref="F13:F21">D13*E13</f>
        <v>0</v>
      </c>
      <c r="G13" s="575">
        <f>'3C6 FE'!$C$7</f>
        <v>0.01</v>
      </c>
      <c r="H13" s="567">
        <f aca="true" t="shared" si="1" ref="H13:H22">F13*G13*44/28</f>
        <v>0</v>
      </c>
      <c r="I13" s="588">
        <f>+H13*'F. de Conversión'!$C$18/'F. de Conversión'!$D$31</f>
        <v>0</v>
      </c>
    </row>
    <row r="14" spans="2:9" ht="15.75" thickBot="1">
      <c r="B14" s="1634"/>
      <c r="C14" s="574" t="s">
        <v>40</v>
      </c>
      <c r="D14" s="567">
        <f>'GEI 3A1_3A2 (N1) '!H36</f>
        <v>0</v>
      </c>
      <c r="E14" s="575">
        <f>'3C6 FE'!C14</f>
        <v>0</v>
      </c>
      <c r="F14" s="567">
        <f t="shared" si="0"/>
        <v>0</v>
      </c>
      <c r="G14" s="575">
        <f>'3C6 FE'!$C$7</f>
        <v>0.01</v>
      </c>
      <c r="H14" s="567">
        <f t="shared" si="1"/>
        <v>0</v>
      </c>
      <c r="I14" s="588">
        <f>+H14*'F. de Conversión'!$C$18/'F. de Conversión'!$D$31</f>
        <v>0</v>
      </c>
    </row>
    <row r="15" spans="2:9" ht="15.75" thickBot="1">
      <c r="B15" s="1634"/>
      <c r="C15" s="574" t="s">
        <v>39</v>
      </c>
      <c r="D15" s="567">
        <f>'GEI 3A1_3A2 (N1) '!H37</f>
        <v>0</v>
      </c>
      <c r="E15" s="575">
        <f>'3C6 FE'!C15</f>
        <v>0</v>
      </c>
      <c r="F15" s="567">
        <f t="shared" si="0"/>
        <v>0</v>
      </c>
      <c r="G15" s="575">
        <f>'3C6 FE'!$C$7</f>
        <v>0.01</v>
      </c>
      <c r="H15" s="567">
        <f t="shared" si="1"/>
        <v>0</v>
      </c>
      <c r="I15" s="588">
        <f>+H15*'F. de Conversión'!$C$18/'F. de Conversión'!$D$31</f>
        <v>0</v>
      </c>
    </row>
    <row r="16" spans="2:9" ht="15.75" thickBot="1">
      <c r="B16" s="1634"/>
      <c r="C16" s="574" t="s">
        <v>66</v>
      </c>
      <c r="D16" s="567">
        <f>'GEI 3A1_3A2 (N1) '!H38</f>
        <v>0</v>
      </c>
      <c r="E16" s="575">
        <f>'3C6 FE'!C16</f>
        <v>0</v>
      </c>
      <c r="F16" s="567">
        <f t="shared" si="0"/>
        <v>0</v>
      </c>
      <c r="G16" s="575">
        <f>'3C6 FE'!$C$7</f>
        <v>0.01</v>
      </c>
      <c r="H16" s="567">
        <f t="shared" si="1"/>
        <v>0</v>
      </c>
      <c r="I16" s="588">
        <f>+H16*'F. de Conversión'!$C$18/'F. de Conversión'!$D$31</f>
        <v>0</v>
      </c>
    </row>
    <row r="17" spans="2:9" ht="15.75" thickBot="1">
      <c r="B17" s="1634"/>
      <c r="C17" s="574" t="s">
        <v>109</v>
      </c>
      <c r="D17" s="567">
        <f>'GEI 3A1_3A2 (N1) '!H39</f>
        <v>0</v>
      </c>
      <c r="E17" s="575">
        <f>'3C6 FE'!C17</f>
        <v>0</v>
      </c>
      <c r="F17" s="567">
        <f t="shared" si="0"/>
        <v>0</v>
      </c>
      <c r="G17" s="575">
        <f>'3C6 FE'!$C$7</f>
        <v>0.01</v>
      </c>
      <c r="H17" s="567">
        <f t="shared" si="1"/>
        <v>0</v>
      </c>
      <c r="I17" s="588">
        <f>+H17*'F. de Conversión'!$C$18/'F. de Conversión'!$D$31</f>
        <v>0</v>
      </c>
    </row>
    <row r="18" spans="2:9" ht="15.75" thickBot="1">
      <c r="B18" s="1634"/>
      <c r="C18" s="574" t="s">
        <v>41</v>
      </c>
      <c r="D18" s="567">
        <f>'GEI 3A1_3A2 (N1) '!H40</f>
        <v>0</v>
      </c>
      <c r="E18" s="575">
        <f>'3C6 FE'!C18</f>
        <v>0</v>
      </c>
      <c r="F18" s="567">
        <f t="shared" si="0"/>
        <v>0</v>
      </c>
      <c r="G18" s="575">
        <f>'3C6 FE'!$C$7</f>
        <v>0.01</v>
      </c>
      <c r="H18" s="567">
        <f t="shared" si="1"/>
        <v>0</v>
      </c>
      <c r="I18" s="588">
        <f>+H18*'F. de Conversión'!$C$18/'F. de Conversión'!$D$31</f>
        <v>0</v>
      </c>
    </row>
    <row r="19" spans="2:9" ht="15.75" thickBot="1">
      <c r="B19" s="1634"/>
      <c r="C19" s="574" t="s">
        <v>37</v>
      </c>
      <c r="D19" s="567">
        <f>'GEI 3A1_3A2 (N1) '!H41</f>
        <v>0</v>
      </c>
      <c r="E19" s="575">
        <f>'3C6 FE'!C19</f>
        <v>0</v>
      </c>
      <c r="F19" s="567">
        <f t="shared" si="0"/>
        <v>0</v>
      </c>
      <c r="G19" s="575">
        <f>'3C6 FE'!$C$7</f>
        <v>0.01</v>
      </c>
      <c r="H19" s="567">
        <f t="shared" si="1"/>
        <v>0</v>
      </c>
      <c r="I19" s="588">
        <f>+H19*'F. de Conversión'!$C$18/'F. de Conversión'!$D$31</f>
        <v>0</v>
      </c>
    </row>
    <row r="20" spans="2:9" ht="15.75" thickBot="1">
      <c r="B20" s="1634"/>
      <c r="C20" s="574" t="s">
        <v>38</v>
      </c>
      <c r="D20" s="567">
        <f>'GEI 3A1_3A2 (N1) '!H42</f>
        <v>0</v>
      </c>
      <c r="E20" s="575">
        <f>'3C6 FE'!C20</f>
        <v>0</v>
      </c>
      <c r="F20" s="567">
        <f t="shared" si="0"/>
        <v>0</v>
      </c>
      <c r="G20" s="575">
        <f>'3C6 FE'!$C$7</f>
        <v>0.01</v>
      </c>
      <c r="H20" s="567">
        <f t="shared" si="1"/>
        <v>0</v>
      </c>
      <c r="I20" s="588">
        <f>+H20*'F. de Conversión'!$C$18/'F. de Conversión'!$D$31</f>
        <v>0</v>
      </c>
    </row>
    <row r="21" spans="2:9" ht="15.75" thickBot="1">
      <c r="B21" s="1634"/>
      <c r="C21" s="574" t="s">
        <v>36</v>
      </c>
      <c r="D21" s="567">
        <f>'GEI 3A1_3A2 (N1) '!H43</f>
        <v>0</v>
      </c>
      <c r="E21" s="575">
        <f>'3C6 FE'!C21</f>
        <v>0</v>
      </c>
      <c r="F21" s="567">
        <f t="shared" si="0"/>
        <v>0</v>
      </c>
      <c r="G21" s="589">
        <f>'3C6 FE'!$C$7</f>
        <v>0.01</v>
      </c>
      <c r="H21" s="590">
        <f t="shared" si="1"/>
        <v>0</v>
      </c>
      <c r="I21" s="588">
        <f>+H21*'F. de Conversión'!$C$18/'F. de Conversión'!$D$31</f>
        <v>0</v>
      </c>
    </row>
    <row r="22" spans="2:9" ht="15.75" thickBot="1">
      <c r="B22" s="1632"/>
      <c r="C22" s="574" t="s">
        <v>68</v>
      </c>
      <c r="D22" s="567">
        <f>'GEI 3A1_3A2 (N1) '!H44</f>
        <v>4323233.75162954</v>
      </c>
      <c r="E22" s="575">
        <f>'3C6 FE'!C22</f>
        <v>0</v>
      </c>
      <c r="F22" s="567">
        <f>D22*E22</f>
        <v>0</v>
      </c>
      <c r="G22" s="575">
        <f>'3C6 FE'!$C$7</f>
        <v>0.01</v>
      </c>
      <c r="H22" s="567">
        <f t="shared" si="1"/>
        <v>0</v>
      </c>
      <c r="I22" s="588">
        <f>+H22*'F. de Conversión'!$C$18/'F. de Conversión'!$D$31</f>
        <v>0</v>
      </c>
    </row>
    <row r="23" spans="2:9" ht="15.75" thickBot="1">
      <c r="B23" s="1635" t="s">
        <v>15</v>
      </c>
      <c r="C23" s="1636"/>
      <c r="D23" s="591">
        <f>SUM(D12:D22)</f>
        <v>4323233.75162954</v>
      </c>
      <c r="E23" s="570"/>
      <c r="F23" s="570"/>
      <c r="G23" s="570"/>
      <c r="H23" s="591">
        <f>SUM(H12:H22)</f>
        <v>0</v>
      </c>
      <c r="I23" s="592">
        <f>SUM(I12:I22)</f>
        <v>0</v>
      </c>
    </row>
    <row r="24" spans="2:11" ht="16.5" thickBot="1" thickTop="1">
      <c r="B24" s="1633" t="s">
        <v>152</v>
      </c>
      <c r="C24" s="574" t="s">
        <v>118</v>
      </c>
      <c r="D24" s="567">
        <f>'GEI 3A1_3A2 (N1) '!H46</f>
        <v>17329965.045119997</v>
      </c>
      <c r="E24" s="575">
        <f>'3C6 FE'!D12</f>
        <v>0.3</v>
      </c>
      <c r="F24" s="567">
        <f>D24*E24</f>
        <v>5198989.513535999</v>
      </c>
      <c r="G24" s="575">
        <f>'3C6 FE'!$C$7</f>
        <v>0.01</v>
      </c>
      <c r="H24" s="567">
        <f>F24*G24*44/28</f>
        <v>81698.40664127997</v>
      </c>
      <c r="I24" s="588">
        <f>+H24*'F. de Conversión'!$C$18/'F. de Conversión'!$D$31</f>
        <v>0.08169840664127996</v>
      </c>
      <c r="K24" s="585"/>
    </row>
    <row r="25" spans="2:9" ht="17.25" customHeight="1" thickBot="1">
      <c r="B25" s="1634"/>
      <c r="C25" s="574" t="s">
        <v>375</v>
      </c>
      <c r="D25" s="567">
        <f>'GEI 3A1_3A2 (N1) '!H47</f>
        <v>16998595.36129625</v>
      </c>
      <c r="E25" s="575">
        <f>'3C6 FE'!D13</f>
        <v>0.45</v>
      </c>
      <c r="F25" s="567">
        <f aca="true" t="shared" si="2" ref="F25:F34">D25*E25</f>
        <v>7649367.912583313</v>
      </c>
      <c r="G25" s="575">
        <f>'3C6 FE'!$C$7</f>
        <v>0.01</v>
      </c>
      <c r="H25" s="567">
        <f>F25*G25*44/28</f>
        <v>120204.3529120235</v>
      </c>
      <c r="I25" s="588">
        <f>+H25*'F. de Conversión'!$C$18/'F. de Conversión'!$D$31</f>
        <v>0.1202043529120235</v>
      </c>
    </row>
    <row r="26" spans="2:9" ht="15.75" thickBot="1">
      <c r="B26" s="1634"/>
      <c r="C26" s="574" t="s">
        <v>40</v>
      </c>
      <c r="D26" s="567">
        <f>'GEI 3A1_3A2 (N1) '!H48</f>
        <v>0</v>
      </c>
      <c r="E26" s="575">
        <f>'3C6 FE'!D14</f>
        <v>0.12</v>
      </c>
      <c r="F26" s="567">
        <f t="shared" si="2"/>
        <v>0</v>
      </c>
      <c r="G26" s="575">
        <f>'3C6 FE'!$C$7</f>
        <v>0.01</v>
      </c>
      <c r="H26" s="567">
        <f aca="true" t="shared" si="3" ref="H26:H34">F26*G26*44/28</f>
        <v>0</v>
      </c>
      <c r="I26" s="588">
        <f>+H26*'F. de Conversión'!$C$18/'F. de Conversión'!$D$31</f>
        <v>0</v>
      </c>
    </row>
    <row r="27" spans="2:9" ht="15.75" thickBot="1">
      <c r="B27" s="1634"/>
      <c r="C27" s="574" t="s">
        <v>39</v>
      </c>
      <c r="D27" s="567">
        <f>'GEI 3A1_3A2 (N1) '!H49</f>
        <v>0</v>
      </c>
      <c r="E27" s="575">
        <f>'3C6 FE'!D15</f>
        <v>0.12</v>
      </c>
      <c r="F27" s="567">
        <f t="shared" si="2"/>
        <v>0</v>
      </c>
      <c r="G27" s="575">
        <f>'3C6 FE'!$C$7</f>
        <v>0.01</v>
      </c>
      <c r="H27" s="567">
        <f t="shared" si="3"/>
        <v>0</v>
      </c>
      <c r="I27" s="588">
        <f>+H27*'F. de Conversión'!$C$18/'F. de Conversión'!$D$31</f>
        <v>0</v>
      </c>
    </row>
    <row r="28" spans="2:9" ht="15.75" thickBot="1">
      <c r="B28" s="1634"/>
      <c r="C28" s="574" t="s">
        <v>66</v>
      </c>
      <c r="D28" s="567">
        <f>'GEI 3A1_3A2 (N1) '!H50</f>
        <v>0</v>
      </c>
      <c r="E28" s="575">
        <f>'3C6 FE'!D16</f>
        <v>0.12</v>
      </c>
      <c r="F28" s="567">
        <f t="shared" si="2"/>
        <v>0</v>
      </c>
      <c r="G28" s="575">
        <f>'3C6 FE'!$C$7</f>
        <v>0.01</v>
      </c>
      <c r="H28" s="567">
        <f t="shared" si="3"/>
        <v>0</v>
      </c>
      <c r="I28" s="588">
        <f>+H28*'F. de Conversión'!$C$18/'F. de Conversión'!$D$31</f>
        <v>0</v>
      </c>
    </row>
    <row r="29" spans="2:9" ht="15.75" thickBot="1">
      <c r="B29" s="1634"/>
      <c r="C29" s="574" t="s">
        <v>109</v>
      </c>
      <c r="D29" s="567">
        <f>'GEI 3A1_3A2 (N1) '!H51</f>
        <v>0</v>
      </c>
      <c r="E29" s="575">
        <f>'3C6 FE'!D17</f>
        <v>0.12</v>
      </c>
      <c r="F29" s="567">
        <f t="shared" si="2"/>
        <v>0</v>
      </c>
      <c r="G29" s="575">
        <f>'3C6 FE'!$C$7</f>
        <v>0.01</v>
      </c>
      <c r="H29" s="567">
        <f t="shared" si="3"/>
        <v>0</v>
      </c>
      <c r="I29" s="588">
        <f>+H29*'F. de Conversión'!$C$18/'F. de Conversión'!$D$31</f>
        <v>0</v>
      </c>
    </row>
    <row r="30" spans="2:9" ht="15.75" thickBot="1">
      <c r="B30" s="1634"/>
      <c r="C30" s="574" t="s">
        <v>41</v>
      </c>
      <c r="D30" s="567">
        <f>'GEI 3A1_3A2 (N1) '!H52</f>
        <v>4662995.478371999</v>
      </c>
      <c r="E30" s="575">
        <f>'3C6 FE'!D18</f>
        <v>0.45</v>
      </c>
      <c r="F30" s="567">
        <f t="shared" si="2"/>
        <v>2098347.9652674</v>
      </c>
      <c r="G30" s="575">
        <f>'3C6 FE'!$C$7</f>
        <v>0.01</v>
      </c>
      <c r="H30" s="567">
        <f t="shared" si="3"/>
        <v>32974.039454202</v>
      </c>
      <c r="I30" s="588">
        <f>+H30*'F. de Conversión'!$C$18/'F. de Conversión'!$D$31</f>
        <v>0.032974039454202</v>
      </c>
    </row>
    <row r="31" spans="2:9" ht="15.75" thickBot="1">
      <c r="B31" s="1634"/>
      <c r="C31" s="574" t="s">
        <v>37</v>
      </c>
      <c r="D31" s="567">
        <f>'GEI 3A1_3A2 (N1) '!H53</f>
        <v>18514843.12654121</v>
      </c>
      <c r="E31" s="575">
        <f>'3C6 FE'!D19</f>
        <v>0.12</v>
      </c>
      <c r="F31" s="567">
        <f t="shared" si="2"/>
        <v>2221781.175184945</v>
      </c>
      <c r="G31" s="575">
        <f>'3C6 FE'!$C$7</f>
        <v>0.01</v>
      </c>
      <c r="H31" s="567">
        <f t="shared" si="3"/>
        <v>34913.70418147771</v>
      </c>
      <c r="I31" s="588">
        <f>+H31*'F. de Conversión'!$C$18/'F. de Conversión'!$D$31</f>
        <v>0.03491370418147771</v>
      </c>
    </row>
    <row r="32" spans="2:9" ht="15.75" thickBot="1">
      <c r="B32" s="1634"/>
      <c r="C32" s="574" t="s">
        <v>38</v>
      </c>
      <c r="D32" s="567">
        <f>'GEI 3A1_3A2 (N1) '!H54</f>
        <v>14325279.757933233</v>
      </c>
      <c r="E32" s="575">
        <f>'3C6 FE'!D20</f>
        <v>0.12</v>
      </c>
      <c r="F32" s="567">
        <f t="shared" si="2"/>
        <v>1719033.570951988</v>
      </c>
      <c r="G32" s="575">
        <f>'3C6 FE'!$C$7</f>
        <v>0.01</v>
      </c>
      <c r="H32" s="567">
        <f t="shared" si="3"/>
        <v>27013.384686388385</v>
      </c>
      <c r="I32" s="588">
        <f>+H32*'F. de Conversión'!$C$18/'F. de Conversión'!$D$31</f>
        <v>0.027013384686388385</v>
      </c>
    </row>
    <row r="33" spans="2:9" ht="15.75" thickBot="1">
      <c r="B33" s="1634"/>
      <c r="C33" s="574" t="s">
        <v>36</v>
      </c>
      <c r="D33" s="590">
        <f>'GEI 3A1_3A2 (N1) '!H55</f>
        <v>0</v>
      </c>
      <c r="E33" s="589">
        <f>'3C6 FE'!D21</f>
        <v>0</v>
      </c>
      <c r="F33" s="590">
        <f t="shared" si="2"/>
        <v>0</v>
      </c>
      <c r="G33" s="589">
        <f>'3C6 FE'!$C$7</f>
        <v>0.01</v>
      </c>
      <c r="H33" s="590">
        <f t="shared" si="3"/>
        <v>0</v>
      </c>
      <c r="I33" s="588">
        <f>+H33*'F. de Conversión'!$C$18/'F. de Conversión'!$D$31</f>
        <v>0</v>
      </c>
    </row>
    <row r="34" spans="2:9" ht="15.75" thickBot="1">
      <c r="B34" s="1632"/>
      <c r="C34" s="574" t="s">
        <v>68</v>
      </c>
      <c r="D34" s="567">
        <f>'GEI 3A1_3A2 (N1) '!H56</f>
        <v>0</v>
      </c>
      <c r="E34" s="575">
        <f>'3C6 FE'!D22</f>
        <v>0.12</v>
      </c>
      <c r="F34" s="567">
        <f t="shared" si="2"/>
        <v>0</v>
      </c>
      <c r="G34" s="575">
        <f>'3C6 FE'!$C$7</f>
        <v>0.01</v>
      </c>
      <c r="H34" s="567">
        <f t="shared" si="3"/>
        <v>0</v>
      </c>
      <c r="I34" s="588">
        <f>+H34*'F. de Conversión'!$C$18/'F. de Conversión'!$D$31</f>
        <v>0</v>
      </c>
    </row>
    <row r="35" spans="2:9" ht="15.75" thickBot="1">
      <c r="B35" s="1635" t="s">
        <v>15</v>
      </c>
      <c r="C35" s="1636"/>
      <c r="D35" s="591">
        <f>SUM(D24:D34)</f>
        <v>71831678.76926269</v>
      </c>
      <c r="E35" s="570"/>
      <c r="F35" s="570"/>
      <c r="G35" s="570"/>
      <c r="H35" s="591">
        <f>SUM(H24:H34)</f>
        <v>296803.88787537155</v>
      </c>
      <c r="I35" s="592">
        <f>SUM(I24:I34)</f>
        <v>0.2968038878753715</v>
      </c>
    </row>
    <row r="36" spans="2:9" ht="16.5" thickBot="1" thickTop="1">
      <c r="B36" s="1633" t="s">
        <v>137</v>
      </c>
      <c r="C36" s="574" t="s">
        <v>118</v>
      </c>
      <c r="D36" s="567">
        <f>'GEI 3A1_3A2 (N1) '!H58</f>
        <v>0</v>
      </c>
      <c r="E36" s="575">
        <f>'3C6 FE'!E12</f>
        <v>0</v>
      </c>
      <c r="F36" s="567">
        <f>D36*E36</f>
        <v>0</v>
      </c>
      <c r="G36" s="575">
        <f>'3C6 FE'!$C$7</f>
        <v>0.01</v>
      </c>
      <c r="H36" s="567">
        <f>F36*G36*44/28</f>
        <v>0</v>
      </c>
      <c r="I36" s="588">
        <f>+H36*'F. de Conversión'!$C$18/'F. de Conversión'!$D$31</f>
        <v>0</v>
      </c>
    </row>
    <row r="37" spans="2:9" ht="15.75" thickBot="1">
      <c r="B37" s="1634"/>
      <c r="C37" s="574" t="s">
        <v>375</v>
      </c>
      <c r="D37" s="567">
        <f>'GEI 3A1_3A2 (N1) '!H59</f>
        <v>0</v>
      </c>
      <c r="E37" s="575">
        <f>'3C6 FE'!E13</f>
        <v>0</v>
      </c>
      <c r="F37" s="567">
        <f aca="true" t="shared" si="4" ref="F37:F46">D37*E37</f>
        <v>0</v>
      </c>
      <c r="G37" s="575">
        <f>'3C6 FE'!$C$7</f>
        <v>0.01</v>
      </c>
      <c r="H37" s="567">
        <f aca="true" t="shared" si="5" ref="H37:H46">F37*G37*44/28</f>
        <v>0</v>
      </c>
      <c r="I37" s="588">
        <f>+H37*'F. de Conversión'!$C$18/'F. de Conversión'!$D$31</f>
        <v>0</v>
      </c>
    </row>
    <row r="38" spans="2:9" ht="15.75" thickBot="1">
      <c r="B38" s="1634"/>
      <c r="C38" s="574" t="s">
        <v>40</v>
      </c>
      <c r="D38" s="567">
        <f>'GEI 3A1_3A2 (N1) '!H60</f>
        <v>0</v>
      </c>
      <c r="E38" s="575">
        <f>'3C6 FE'!E14</f>
        <v>0</v>
      </c>
      <c r="F38" s="567">
        <f t="shared" si="4"/>
        <v>0</v>
      </c>
      <c r="G38" s="575">
        <f>'3C6 FE'!$C$7</f>
        <v>0.01</v>
      </c>
      <c r="H38" s="567">
        <f t="shared" si="5"/>
        <v>0</v>
      </c>
      <c r="I38" s="588">
        <f>+H38*'F. de Conversión'!$C$18/'F. de Conversión'!$D$31</f>
        <v>0</v>
      </c>
    </row>
    <row r="39" spans="2:9" ht="15.75" thickBot="1">
      <c r="B39" s="1634"/>
      <c r="C39" s="574" t="s">
        <v>39</v>
      </c>
      <c r="D39" s="567">
        <f>'GEI 3A1_3A2 (N1) '!H61</f>
        <v>0</v>
      </c>
      <c r="E39" s="575">
        <f>'3C6 FE'!E15</f>
        <v>0</v>
      </c>
      <c r="F39" s="567">
        <f t="shared" si="4"/>
        <v>0</v>
      </c>
      <c r="G39" s="575">
        <f>'3C6 FE'!$C$7</f>
        <v>0.01</v>
      </c>
      <c r="H39" s="567">
        <f t="shared" si="5"/>
        <v>0</v>
      </c>
      <c r="I39" s="588">
        <f>+H39*'F. de Conversión'!$C$18/'F. de Conversión'!$D$31</f>
        <v>0</v>
      </c>
    </row>
    <row r="40" spans="2:9" ht="15.75" thickBot="1">
      <c r="B40" s="1634"/>
      <c r="C40" s="574" t="s">
        <v>66</v>
      </c>
      <c r="D40" s="567">
        <f>'GEI 3A1_3A2 (N1) '!H62</f>
        <v>0</v>
      </c>
      <c r="E40" s="575">
        <f>'3C6 FE'!E16</f>
        <v>0</v>
      </c>
      <c r="F40" s="567">
        <f t="shared" si="4"/>
        <v>0</v>
      </c>
      <c r="G40" s="575">
        <f>'3C6 FE'!$C$7</f>
        <v>0.01</v>
      </c>
      <c r="H40" s="567">
        <f t="shared" si="5"/>
        <v>0</v>
      </c>
      <c r="I40" s="588">
        <f>+H40*'F. de Conversión'!$C$18/'F. de Conversión'!$D$31</f>
        <v>0</v>
      </c>
    </row>
    <row r="41" spans="2:9" ht="15.75" thickBot="1">
      <c r="B41" s="1634"/>
      <c r="C41" s="574" t="s">
        <v>109</v>
      </c>
      <c r="D41" s="567">
        <f>'GEI 3A1_3A2 (N1) '!H63</f>
        <v>0</v>
      </c>
      <c r="E41" s="575">
        <f>'3C6 FE'!E17</f>
        <v>0</v>
      </c>
      <c r="F41" s="567">
        <f t="shared" si="4"/>
        <v>0</v>
      </c>
      <c r="G41" s="575">
        <f>'3C6 FE'!$C$7</f>
        <v>0.01</v>
      </c>
      <c r="H41" s="567">
        <f t="shared" si="5"/>
        <v>0</v>
      </c>
      <c r="I41" s="588">
        <f>+H41*'F. de Conversión'!$C$18/'F. de Conversión'!$D$31</f>
        <v>0</v>
      </c>
    </row>
    <row r="42" spans="2:9" ht="15.75" thickBot="1">
      <c r="B42" s="1634"/>
      <c r="C42" s="574" t="s">
        <v>41</v>
      </c>
      <c r="D42" s="567">
        <f>'GEI 3A1_3A2 (N1) '!H64</f>
        <v>0</v>
      </c>
      <c r="E42" s="575">
        <f>'3C6 FE'!E18</f>
        <v>0</v>
      </c>
      <c r="F42" s="567">
        <f t="shared" si="4"/>
        <v>0</v>
      </c>
      <c r="G42" s="575">
        <f>'3C6 FE'!$C$7</f>
        <v>0.01</v>
      </c>
      <c r="H42" s="567">
        <f t="shared" si="5"/>
        <v>0</v>
      </c>
      <c r="I42" s="588">
        <f>+H42*'F. de Conversión'!$C$18/'F. de Conversión'!$D$31</f>
        <v>0</v>
      </c>
    </row>
    <row r="43" spans="2:9" ht="15.75" thickBot="1">
      <c r="B43" s="1634"/>
      <c r="C43" s="574" t="s">
        <v>37</v>
      </c>
      <c r="D43" s="567">
        <f>'GEI 3A1_3A2 (N1) '!H65</f>
        <v>0</v>
      </c>
      <c r="E43" s="575">
        <f>'3C6 FE'!E19</f>
        <v>0</v>
      </c>
      <c r="F43" s="567">
        <f t="shared" si="4"/>
        <v>0</v>
      </c>
      <c r="G43" s="575">
        <f>'3C6 FE'!$C$7</f>
        <v>0.01</v>
      </c>
      <c r="H43" s="567">
        <f t="shared" si="5"/>
        <v>0</v>
      </c>
      <c r="I43" s="588">
        <f>+H43*'F. de Conversión'!$C$18/'F. de Conversión'!$D$31</f>
        <v>0</v>
      </c>
    </row>
    <row r="44" spans="2:9" ht="15.75" thickBot="1">
      <c r="B44" s="1634"/>
      <c r="C44" s="574" t="s">
        <v>38</v>
      </c>
      <c r="D44" s="567">
        <f>'GEI 3A1_3A2 (N1) '!H66</f>
        <v>0</v>
      </c>
      <c r="E44" s="575">
        <f>'3C6 FE'!E20</f>
        <v>0</v>
      </c>
      <c r="F44" s="567">
        <f t="shared" si="4"/>
        <v>0</v>
      </c>
      <c r="G44" s="575">
        <f>'3C6 FE'!$C$7</f>
        <v>0.01</v>
      </c>
      <c r="H44" s="567">
        <f t="shared" si="5"/>
        <v>0</v>
      </c>
      <c r="I44" s="588">
        <f>+H44*'F. de Conversión'!$C$18/'F. de Conversión'!$D$31</f>
        <v>0</v>
      </c>
    </row>
    <row r="45" spans="2:9" ht="15.75" thickBot="1">
      <c r="B45" s="1634"/>
      <c r="C45" s="574" t="s">
        <v>36</v>
      </c>
      <c r="D45" s="590">
        <f>'GEI 3A1_3A2 (N1) '!H67</f>
        <v>0</v>
      </c>
      <c r="E45" s="589">
        <f>'3C6 FE'!E21</f>
        <v>0</v>
      </c>
      <c r="F45" s="590">
        <f t="shared" si="4"/>
        <v>0</v>
      </c>
      <c r="G45" s="589">
        <f>'3C6 FE'!$C$7</f>
        <v>0.01</v>
      </c>
      <c r="H45" s="590">
        <f t="shared" si="5"/>
        <v>0</v>
      </c>
      <c r="I45" s="588">
        <f>+H45*'F. de Conversión'!$C$18/'F. de Conversión'!$D$31</f>
        <v>0</v>
      </c>
    </row>
    <row r="46" spans="2:9" ht="15.75" thickBot="1">
      <c r="B46" s="1632"/>
      <c r="C46" s="574" t="s">
        <v>68</v>
      </c>
      <c r="D46" s="567">
        <f>'GEI 3A1_3A2 (N1) '!H68</f>
        <v>0</v>
      </c>
      <c r="E46" s="575">
        <f>'3C6 FE'!E22</f>
        <v>0</v>
      </c>
      <c r="F46" s="567">
        <f t="shared" si="4"/>
        <v>0</v>
      </c>
      <c r="G46" s="575">
        <f>'3C6 FE'!$C$7</f>
        <v>0.01</v>
      </c>
      <c r="H46" s="567">
        <f t="shared" si="5"/>
        <v>0</v>
      </c>
      <c r="I46" s="588">
        <f>+H46*'F. de Conversión'!$C$18/'F. de Conversión'!$D$31</f>
        <v>0</v>
      </c>
    </row>
    <row r="47" spans="2:9" ht="15.75" thickBot="1">
      <c r="B47" s="1635" t="s">
        <v>15</v>
      </c>
      <c r="C47" s="1636"/>
      <c r="D47" s="591">
        <f>SUM(D36:D46)</f>
        <v>0</v>
      </c>
      <c r="E47" s="570"/>
      <c r="F47" s="570"/>
      <c r="G47" s="570"/>
      <c r="H47" s="593">
        <f>SUM(H36:H46)</f>
        <v>0</v>
      </c>
      <c r="I47" s="594">
        <f>SUM(I36:I46)</f>
        <v>0</v>
      </c>
    </row>
    <row r="48" spans="2:9" ht="16.5" thickBot="1" thickTop="1">
      <c r="B48" s="1633" t="s">
        <v>138</v>
      </c>
      <c r="C48" s="574" t="s">
        <v>118</v>
      </c>
      <c r="D48" s="567">
        <f>'GEI 3A1_3A2 (N1) '!H70</f>
        <v>0</v>
      </c>
      <c r="E48" s="575">
        <f>'3C6 FE'!F12</f>
        <v>0</v>
      </c>
      <c r="F48" s="567">
        <f>D48*E48</f>
        <v>0</v>
      </c>
      <c r="G48" s="575">
        <f>'3C6 FE'!$C$7</f>
        <v>0.01</v>
      </c>
      <c r="H48" s="567">
        <f>F48*G48*44/28</f>
        <v>0</v>
      </c>
      <c r="I48" s="588">
        <f>+H48*'F. de Conversión'!$C$18/'F. de Conversión'!$D$31</f>
        <v>0</v>
      </c>
    </row>
    <row r="49" spans="2:9" ht="15.75" customHeight="1" thickBot="1">
      <c r="B49" s="1634"/>
      <c r="C49" s="574" t="s">
        <v>375</v>
      </c>
      <c r="D49" s="567">
        <f>'GEI 3A1_3A2 (N1) '!H71</f>
        <v>0</v>
      </c>
      <c r="E49" s="575">
        <f>'3C6 FE'!F13</f>
        <v>0</v>
      </c>
      <c r="F49" s="567">
        <f aca="true" t="shared" si="6" ref="F49:F58">D49*E49</f>
        <v>0</v>
      </c>
      <c r="G49" s="575">
        <f>'3C6 FE'!$C$7</f>
        <v>0.01</v>
      </c>
      <c r="H49" s="567">
        <f aca="true" t="shared" si="7" ref="H49:H58">F49*G49*44/28</f>
        <v>0</v>
      </c>
      <c r="I49" s="588">
        <f>+H49*'F. de Conversión'!$C$18/'F. de Conversión'!$D$31</f>
        <v>0</v>
      </c>
    </row>
    <row r="50" spans="2:9" ht="15.75" thickBot="1">
      <c r="B50" s="1634"/>
      <c r="C50" s="574" t="s">
        <v>40</v>
      </c>
      <c r="D50" s="567">
        <f>'GEI 3A1_3A2 (N1) '!H72</f>
        <v>0</v>
      </c>
      <c r="E50" s="575">
        <f>'3C6 FE'!F14</f>
        <v>0</v>
      </c>
      <c r="F50" s="567">
        <f t="shared" si="6"/>
        <v>0</v>
      </c>
      <c r="G50" s="575">
        <f>'3C6 FE'!$C$7</f>
        <v>0.01</v>
      </c>
      <c r="H50" s="567">
        <f t="shared" si="7"/>
        <v>0</v>
      </c>
      <c r="I50" s="588">
        <f>+H50*'F. de Conversión'!$C$18/'F. de Conversión'!$D$31</f>
        <v>0</v>
      </c>
    </row>
    <row r="51" spans="2:9" ht="15.75" thickBot="1">
      <c r="B51" s="1634"/>
      <c r="C51" s="574" t="s">
        <v>39</v>
      </c>
      <c r="D51" s="567">
        <f>'GEI 3A1_3A2 (N1) '!H73</f>
        <v>0</v>
      </c>
      <c r="E51" s="575">
        <f>'3C6 FE'!F15</f>
        <v>0</v>
      </c>
      <c r="F51" s="567">
        <f t="shared" si="6"/>
        <v>0</v>
      </c>
      <c r="G51" s="575">
        <f>'3C6 FE'!$C$7</f>
        <v>0.01</v>
      </c>
      <c r="H51" s="567">
        <f t="shared" si="7"/>
        <v>0</v>
      </c>
      <c r="I51" s="588">
        <f>+H51*'F. de Conversión'!$C$18/'F. de Conversión'!$D$31</f>
        <v>0</v>
      </c>
    </row>
    <row r="52" spans="2:9" ht="15.75" thickBot="1">
      <c r="B52" s="1634"/>
      <c r="C52" s="574" t="s">
        <v>66</v>
      </c>
      <c r="D52" s="567">
        <f>'GEI 3A1_3A2 (N1) '!H74</f>
        <v>0</v>
      </c>
      <c r="E52" s="575">
        <f>'3C6 FE'!F16</f>
        <v>0</v>
      </c>
      <c r="F52" s="567">
        <f t="shared" si="6"/>
        <v>0</v>
      </c>
      <c r="G52" s="575">
        <f>'3C6 FE'!$C$7</f>
        <v>0.01</v>
      </c>
      <c r="H52" s="567">
        <f t="shared" si="7"/>
        <v>0</v>
      </c>
      <c r="I52" s="588">
        <f>+H52*'F. de Conversión'!$C$18/'F. de Conversión'!$D$31</f>
        <v>0</v>
      </c>
    </row>
    <row r="53" spans="2:9" ht="15.75" thickBot="1">
      <c r="B53" s="1634"/>
      <c r="C53" s="574" t="s">
        <v>109</v>
      </c>
      <c r="D53" s="567">
        <f>'GEI 3A1_3A2 (N1) '!H75</f>
        <v>0</v>
      </c>
      <c r="E53" s="575">
        <f>'3C6 FE'!F17</f>
        <v>0</v>
      </c>
      <c r="F53" s="567">
        <f t="shared" si="6"/>
        <v>0</v>
      </c>
      <c r="G53" s="575">
        <f>'3C6 FE'!$C$7</f>
        <v>0.01</v>
      </c>
      <c r="H53" s="567">
        <f t="shared" si="7"/>
        <v>0</v>
      </c>
      <c r="I53" s="588">
        <f>+H53*'F. de Conversión'!$C$18/'F. de Conversión'!$D$31</f>
        <v>0</v>
      </c>
    </row>
    <row r="54" spans="2:9" ht="15.75" thickBot="1">
      <c r="B54" s="1634"/>
      <c r="C54" s="574" t="s">
        <v>41</v>
      </c>
      <c r="D54" s="567">
        <f>'GEI 3A1_3A2 (N1) '!H76</f>
        <v>0</v>
      </c>
      <c r="E54" s="575">
        <f>'3C6 FE'!F18</f>
        <v>0</v>
      </c>
      <c r="F54" s="567">
        <f t="shared" si="6"/>
        <v>0</v>
      </c>
      <c r="G54" s="575">
        <f>'3C6 FE'!$C$7</f>
        <v>0.01</v>
      </c>
      <c r="H54" s="567">
        <f t="shared" si="7"/>
        <v>0</v>
      </c>
      <c r="I54" s="588">
        <f>+H54*'F. de Conversión'!$C$18/'F. de Conversión'!$D$31</f>
        <v>0</v>
      </c>
    </row>
    <row r="55" spans="2:9" ht="15.75" thickBot="1">
      <c r="B55" s="1634"/>
      <c r="C55" s="574" t="s">
        <v>37</v>
      </c>
      <c r="D55" s="567">
        <f>'GEI 3A1_3A2 (N1) '!H77</f>
        <v>0</v>
      </c>
      <c r="E55" s="575">
        <f>'3C6 FE'!F19</f>
        <v>0</v>
      </c>
      <c r="F55" s="567">
        <f t="shared" si="6"/>
        <v>0</v>
      </c>
      <c r="G55" s="575">
        <f>'3C6 FE'!$C$7</f>
        <v>0.01</v>
      </c>
      <c r="H55" s="567">
        <f t="shared" si="7"/>
        <v>0</v>
      </c>
      <c r="I55" s="588">
        <f>+H55*'F. de Conversión'!$C$18/'F. de Conversión'!$D$31</f>
        <v>0</v>
      </c>
    </row>
    <row r="56" spans="2:9" ht="15.75" thickBot="1">
      <c r="B56" s="1634"/>
      <c r="C56" s="574" t="s">
        <v>38</v>
      </c>
      <c r="D56" s="567">
        <f>'GEI 3A1_3A2 (N1) '!H78</f>
        <v>0</v>
      </c>
      <c r="E56" s="575">
        <f>'3C6 FE'!F20</f>
        <v>0</v>
      </c>
      <c r="F56" s="567">
        <f t="shared" si="6"/>
        <v>0</v>
      </c>
      <c r="G56" s="575">
        <f>'3C6 FE'!$C$7</f>
        <v>0.01</v>
      </c>
      <c r="H56" s="567">
        <f t="shared" si="7"/>
        <v>0</v>
      </c>
      <c r="I56" s="588">
        <f>+H56*'F. de Conversión'!$C$18/'F. de Conversión'!$D$31</f>
        <v>0</v>
      </c>
    </row>
    <row r="57" spans="2:9" ht="15.75" thickBot="1">
      <c r="B57" s="1634"/>
      <c r="C57" s="574" t="s">
        <v>36</v>
      </c>
      <c r="D57" s="590">
        <f>'GEI 3A1_3A2 (N1) '!H79</f>
        <v>55595195.86161523</v>
      </c>
      <c r="E57" s="589">
        <f>'3C6 FE'!F21</f>
        <v>0.4</v>
      </c>
      <c r="F57" s="590">
        <f t="shared" si="6"/>
        <v>22238078.344646096</v>
      </c>
      <c r="G57" s="589">
        <f>'3C6 FE'!$C$7</f>
        <v>0.01</v>
      </c>
      <c r="H57" s="590">
        <f t="shared" si="7"/>
        <v>349455.5168444387</v>
      </c>
      <c r="I57" s="588">
        <f>+H57*'F. de Conversión'!$C$18/'F. de Conversión'!$D$31</f>
        <v>0.34945551684443865</v>
      </c>
    </row>
    <row r="58" spans="2:9" ht="15.75" thickBot="1">
      <c r="B58" s="1632"/>
      <c r="C58" s="574" t="s">
        <v>68</v>
      </c>
      <c r="D58" s="567">
        <f>'GEI 3A1_3A2 (N1) '!H80</f>
        <v>0</v>
      </c>
      <c r="E58" s="575">
        <f>'3C6 FE'!F22</f>
        <v>0</v>
      </c>
      <c r="F58" s="567">
        <f t="shared" si="6"/>
        <v>0</v>
      </c>
      <c r="G58" s="575">
        <f>'3C6 FE'!$C$7</f>
        <v>0.01</v>
      </c>
      <c r="H58" s="567">
        <f t="shared" si="7"/>
        <v>0</v>
      </c>
      <c r="I58" s="588">
        <f>+H58*'F. de Conversión'!$C$18/'F. de Conversión'!$D$31</f>
        <v>0</v>
      </c>
    </row>
    <row r="59" spans="2:9" ht="15.75" thickBot="1">
      <c r="B59" s="1635" t="s">
        <v>15</v>
      </c>
      <c r="C59" s="1636"/>
      <c r="D59" s="591">
        <f>SUM(D48:D58)</f>
        <v>55595195.86161523</v>
      </c>
      <c r="E59" s="570"/>
      <c r="F59" s="570"/>
      <c r="G59" s="570"/>
      <c r="H59" s="591">
        <f>SUM(H48:H58)</f>
        <v>349455.5168444387</v>
      </c>
      <c r="I59" s="592">
        <f>SUM(I48:I58)</f>
        <v>0.34945551684443865</v>
      </c>
    </row>
    <row r="60" spans="2:9" ht="16.5" thickBot="1" thickTop="1">
      <c r="B60" s="1633" t="s">
        <v>139</v>
      </c>
      <c r="C60" s="574" t="s">
        <v>118</v>
      </c>
      <c r="D60" s="567">
        <f>'GEI 3A1_3A2 (N1) '!H82</f>
        <v>0</v>
      </c>
      <c r="E60" s="575">
        <f>'3C6 FE'!G12</f>
        <v>0</v>
      </c>
      <c r="F60" s="567">
        <f>D60*E60</f>
        <v>0</v>
      </c>
      <c r="G60" s="575">
        <f>'3C6 FE'!$C$7</f>
        <v>0.01</v>
      </c>
      <c r="H60" s="567">
        <f>F60*G60*44/28</f>
        <v>0</v>
      </c>
      <c r="I60" s="588">
        <f>+H60*'F. de Conversión'!$C$18/'F. de Conversión'!$D$31</f>
        <v>0</v>
      </c>
    </row>
    <row r="61" spans="2:9" ht="15" customHeight="1" thickBot="1">
      <c r="B61" s="1634"/>
      <c r="C61" s="574" t="s">
        <v>375</v>
      </c>
      <c r="D61" s="567">
        <f>'GEI 3A1_3A2 (N1) '!H83</f>
        <v>0</v>
      </c>
      <c r="E61" s="575">
        <f>'3C6 FE'!G13</f>
        <v>0</v>
      </c>
      <c r="F61" s="567">
        <f aca="true" t="shared" si="8" ref="F61:F70">D61*E61</f>
        <v>0</v>
      </c>
      <c r="G61" s="575">
        <f>'3C6 FE'!$C$7</f>
        <v>0.01</v>
      </c>
      <c r="H61" s="567">
        <f aca="true" t="shared" si="9" ref="H61:H70">F61*G61*44/28</f>
        <v>0</v>
      </c>
      <c r="I61" s="588">
        <f>+H61*'F. de Conversión'!$C$18/'F. de Conversión'!$D$31</f>
        <v>0</v>
      </c>
    </row>
    <row r="62" spans="2:9" ht="15.75" thickBot="1">
      <c r="B62" s="1634"/>
      <c r="C62" s="574" t="s">
        <v>40</v>
      </c>
      <c r="D62" s="567">
        <f>'GEI 3A1_3A2 (N1) '!H84</f>
        <v>0</v>
      </c>
      <c r="E62" s="575">
        <f>'3C6 FE'!G14</f>
        <v>0</v>
      </c>
      <c r="F62" s="567">
        <f t="shared" si="8"/>
        <v>0</v>
      </c>
      <c r="G62" s="575">
        <f>'3C6 FE'!$C$7</f>
        <v>0.01</v>
      </c>
      <c r="H62" s="567">
        <f t="shared" si="9"/>
        <v>0</v>
      </c>
      <c r="I62" s="588">
        <f>+H62*'F. de Conversión'!$C$18/'F. de Conversión'!$D$31</f>
        <v>0</v>
      </c>
    </row>
    <row r="63" spans="2:9" ht="15.75" thickBot="1">
      <c r="B63" s="1634"/>
      <c r="C63" s="574" t="s">
        <v>39</v>
      </c>
      <c r="D63" s="567">
        <f>'GEI 3A1_3A2 (N1) '!H85</f>
        <v>0</v>
      </c>
      <c r="E63" s="575">
        <f>'3C6 FE'!G15</f>
        <v>0</v>
      </c>
      <c r="F63" s="567">
        <f t="shared" si="8"/>
        <v>0</v>
      </c>
      <c r="G63" s="575">
        <f>'3C6 FE'!$C$7</f>
        <v>0.01</v>
      </c>
      <c r="H63" s="567">
        <f t="shared" si="9"/>
        <v>0</v>
      </c>
      <c r="I63" s="588">
        <f>+H63*'F. de Conversión'!$C$18/'F. de Conversión'!$D$31</f>
        <v>0</v>
      </c>
    </row>
    <row r="64" spans="2:9" ht="15.75" thickBot="1">
      <c r="B64" s="1634"/>
      <c r="C64" s="574" t="s">
        <v>66</v>
      </c>
      <c r="D64" s="567">
        <f>'GEI 3A1_3A2 (N1) '!H86</f>
        <v>0</v>
      </c>
      <c r="E64" s="575">
        <f>'3C6 FE'!G16</f>
        <v>0</v>
      </c>
      <c r="F64" s="567">
        <f t="shared" si="8"/>
        <v>0</v>
      </c>
      <c r="G64" s="575">
        <f>'3C6 FE'!$C$7</f>
        <v>0.01</v>
      </c>
      <c r="H64" s="567">
        <f t="shared" si="9"/>
        <v>0</v>
      </c>
      <c r="I64" s="588">
        <f>+H64*'F. de Conversión'!$C$18/'F. de Conversión'!$D$31</f>
        <v>0</v>
      </c>
    </row>
    <row r="65" spans="2:9" ht="15.75" thickBot="1">
      <c r="B65" s="1634"/>
      <c r="C65" s="574" t="s">
        <v>109</v>
      </c>
      <c r="D65" s="567">
        <f>'GEI 3A1_3A2 (N1) '!H87</f>
        <v>0</v>
      </c>
      <c r="E65" s="575">
        <f>'3C6 FE'!G17</f>
        <v>0</v>
      </c>
      <c r="F65" s="567">
        <f t="shared" si="8"/>
        <v>0</v>
      </c>
      <c r="G65" s="575">
        <f>'3C6 FE'!$C$7</f>
        <v>0.01</v>
      </c>
      <c r="H65" s="567">
        <f t="shared" si="9"/>
        <v>0</v>
      </c>
      <c r="I65" s="588">
        <f>+H65*'F. de Conversión'!$C$18/'F. de Conversión'!$D$31</f>
        <v>0</v>
      </c>
    </row>
    <row r="66" spans="2:9" ht="15.75" thickBot="1">
      <c r="B66" s="1634"/>
      <c r="C66" s="574" t="s">
        <v>41</v>
      </c>
      <c r="D66" s="567">
        <f>'GEI 3A1_3A2 (N1) '!H88</f>
        <v>0</v>
      </c>
      <c r="E66" s="575">
        <f>'3C6 FE'!G18</f>
        <v>0</v>
      </c>
      <c r="F66" s="567">
        <f t="shared" si="8"/>
        <v>0</v>
      </c>
      <c r="G66" s="575">
        <f>'3C6 FE'!$C$7</f>
        <v>0.01</v>
      </c>
      <c r="H66" s="567">
        <f t="shared" si="9"/>
        <v>0</v>
      </c>
      <c r="I66" s="588">
        <f>+H66*'F. de Conversión'!$C$18/'F. de Conversión'!$D$31</f>
        <v>0</v>
      </c>
    </row>
    <row r="67" spans="2:9" ht="15.75" thickBot="1">
      <c r="B67" s="1634"/>
      <c r="C67" s="574" t="s">
        <v>37</v>
      </c>
      <c r="D67" s="567">
        <f>'GEI 3A1_3A2 (N1) '!H89</f>
        <v>0</v>
      </c>
      <c r="E67" s="575">
        <f>'3C6 FE'!G19</f>
        <v>0</v>
      </c>
      <c r="F67" s="567">
        <f t="shared" si="8"/>
        <v>0</v>
      </c>
      <c r="G67" s="575">
        <f>'3C6 FE'!$C$7</f>
        <v>0.01</v>
      </c>
      <c r="H67" s="567">
        <f t="shared" si="9"/>
        <v>0</v>
      </c>
      <c r="I67" s="588">
        <f>+H67*'F. de Conversión'!$C$18/'F. de Conversión'!$D$31</f>
        <v>0</v>
      </c>
    </row>
    <row r="68" spans="2:9" ht="15.75" thickBot="1">
      <c r="B68" s="1634"/>
      <c r="C68" s="574" t="s">
        <v>38</v>
      </c>
      <c r="D68" s="567">
        <f>'GEI 3A1_3A2 (N1) '!H90</f>
        <v>0</v>
      </c>
      <c r="E68" s="575">
        <f>'3C6 FE'!G20</f>
        <v>0</v>
      </c>
      <c r="F68" s="567">
        <f t="shared" si="8"/>
        <v>0</v>
      </c>
      <c r="G68" s="575">
        <f>'3C6 FE'!$C$7</f>
        <v>0.01</v>
      </c>
      <c r="H68" s="567">
        <f t="shared" si="9"/>
        <v>0</v>
      </c>
      <c r="I68" s="588">
        <f>+H68*'F. de Conversión'!$C$18/'F. de Conversión'!$D$31</f>
        <v>0</v>
      </c>
    </row>
    <row r="69" spans="2:9" ht="15.75" thickBot="1">
      <c r="B69" s="1634"/>
      <c r="C69" s="574" t="s">
        <v>36</v>
      </c>
      <c r="D69" s="590">
        <f>'GEI 3A1_3A2 (N1) '!H91</f>
        <v>6177243.9846239155</v>
      </c>
      <c r="E69" s="589">
        <f>'3C6 FE'!G21</f>
        <v>0.55</v>
      </c>
      <c r="F69" s="590">
        <f t="shared" si="8"/>
        <v>3397484.191543154</v>
      </c>
      <c r="G69" s="589">
        <f>'3C6 FE'!$C$7</f>
        <v>0.01</v>
      </c>
      <c r="H69" s="590">
        <f t="shared" si="9"/>
        <v>53389.03729567814</v>
      </c>
      <c r="I69" s="588">
        <f>+H69*'F. de Conversión'!$C$18/'F. de Conversión'!$D$31</f>
        <v>0.05338903729567815</v>
      </c>
    </row>
    <row r="70" spans="2:9" ht="15.75" thickBot="1">
      <c r="B70" s="1632"/>
      <c r="C70" s="574" t="s">
        <v>68</v>
      </c>
      <c r="D70" s="567">
        <f>'GEI 3A1_3A2 (N1) '!H92</f>
        <v>0</v>
      </c>
      <c r="E70" s="575">
        <f>'3C6 FE'!G22</f>
        <v>0</v>
      </c>
      <c r="F70" s="567">
        <f t="shared" si="8"/>
        <v>0</v>
      </c>
      <c r="G70" s="575">
        <f>'3C6 FE'!$C$7</f>
        <v>0.01</v>
      </c>
      <c r="H70" s="567">
        <f t="shared" si="9"/>
        <v>0</v>
      </c>
      <c r="I70" s="588">
        <f>+H70*'F. de Conversión'!$C$18/'F. de Conversión'!$D$31</f>
        <v>0</v>
      </c>
    </row>
    <row r="71" spans="2:9" ht="15.75" thickBot="1">
      <c r="B71" s="1635" t="s">
        <v>15</v>
      </c>
      <c r="C71" s="1636"/>
      <c r="D71" s="591">
        <f>SUM(D60:D70)</f>
        <v>6177243.9846239155</v>
      </c>
      <c r="E71" s="570"/>
      <c r="F71" s="570"/>
      <c r="G71" s="570"/>
      <c r="H71" s="595">
        <f>SUM(H60:H70)</f>
        <v>53389.03729567814</v>
      </c>
      <c r="I71" s="595">
        <f>SUM(I60:I70)</f>
        <v>0.05338903729567815</v>
      </c>
    </row>
    <row r="72" spans="2:9" ht="15.75" thickBot="1">
      <c r="B72" s="1635" t="s">
        <v>2</v>
      </c>
      <c r="C72" s="1636"/>
      <c r="D72" s="592">
        <f>SUM(D23,D35,D47,D59,D71)</f>
        <v>137927352.36713138</v>
      </c>
      <c r="E72" s="570"/>
      <c r="F72" s="570"/>
      <c r="G72" s="570"/>
      <c r="H72" s="592">
        <f>SUM(H23,H35,H47,H59,H71)</f>
        <v>699648.4420154884</v>
      </c>
      <c r="I72" s="592">
        <f>SUM(I23,I35,I47,I59,I71)</f>
        <v>0.6996484420154883</v>
      </c>
    </row>
    <row r="73" spans="2:8" s="307" customFormat="1" ht="25.5" customHeight="1">
      <c r="B73" s="1649" t="s">
        <v>1235</v>
      </c>
      <c r="C73" s="1650"/>
      <c r="D73" s="1650"/>
      <c r="E73" s="1650"/>
      <c r="F73" s="1650"/>
      <c r="G73" s="1650"/>
      <c r="H73" s="1651"/>
    </row>
    <row r="74" spans="2:8" s="307" customFormat="1" ht="14.25">
      <c r="B74" s="1652" t="s">
        <v>1236</v>
      </c>
      <c r="C74" s="1653"/>
      <c r="D74" s="1653"/>
      <c r="E74" s="1653"/>
      <c r="F74" s="1653"/>
      <c r="G74" s="1653"/>
      <c r="H74" s="1654"/>
    </row>
    <row r="75" spans="2:8" s="307" customFormat="1" ht="15" thickBot="1">
      <c r="B75" s="1656" t="s">
        <v>1237</v>
      </c>
      <c r="C75" s="1657"/>
      <c r="D75" s="1657"/>
      <c r="E75" s="1657"/>
      <c r="F75" s="1657"/>
      <c r="G75" s="1657"/>
      <c r="H75" s="1658"/>
    </row>
    <row r="76" spans="2:8" s="307" customFormat="1" ht="15" thickBot="1">
      <c r="B76" s="601"/>
      <c r="C76" s="601"/>
      <c r="D76" s="597"/>
      <c r="E76" s="597"/>
      <c r="F76" s="597"/>
      <c r="G76" s="597"/>
      <c r="H76" s="597"/>
    </row>
    <row r="77" spans="2:9" ht="15.75" thickBot="1">
      <c r="B77" s="1637" t="s">
        <v>0</v>
      </c>
      <c r="C77" s="1638"/>
      <c r="D77" s="1639" t="s">
        <v>381</v>
      </c>
      <c r="E77" s="1640"/>
      <c r="F77" s="1640"/>
      <c r="G77" s="1640"/>
      <c r="H77" s="1640"/>
      <c r="I77" s="1641"/>
    </row>
    <row r="78" spans="2:9" ht="15.75" thickBot="1">
      <c r="B78" s="1637" t="s">
        <v>789</v>
      </c>
      <c r="C78" s="1638"/>
      <c r="D78" s="1639" t="s">
        <v>1205</v>
      </c>
      <c r="E78" s="1640"/>
      <c r="F78" s="1640"/>
      <c r="G78" s="1640"/>
      <c r="H78" s="1640"/>
      <c r="I78" s="1641"/>
    </row>
    <row r="79" spans="2:9" ht="15.75" customHeight="1" thickBot="1">
      <c r="B79" s="1637" t="s">
        <v>791</v>
      </c>
      <c r="C79" s="1638"/>
      <c r="D79" s="1639" t="s">
        <v>30</v>
      </c>
      <c r="E79" s="1640"/>
      <c r="F79" s="1640"/>
      <c r="G79" s="1640"/>
      <c r="H79" s="1640"/>
      <c r="I79" s="1641"/>
    </row>
    <row r="80" spans="2:9" ht="15.75" thickBot="1">
      <c r="B80" s="1637" t="s">
        <v>793</v>
      </c>
      <c r="C80" s="1638"/>
      <c r="D80" s="1639" t="s">
        <v>866</v>
      </c>
      <c r="E80" s="1640"/>
      <c r="F80" s="1640"/>
      <c r="G80" s="1640"/>
      <c r="H80" s="1640"/>
      <c r="I80" s="1661"/>
    </row>
    <row r="81" spans="2:9" ht="15.75" customHeight="1" thickBot="1">
      <c r="B81" s="1642" t="s">
        <v>795</v>
      </c>
      <c r="C81" s="1643"/>
      <c r="D81" s="1644" t="s">
        <v>973</v>
      </c>
      <c r="E81" s="1659"/>
      <c r="F81" s="1659"/>
      <c r="G81" s="1659"/>
      <c r="H81" s="1659"/>
      <c r="I81" s="1660"/>
    </row>
    <row r="82" spans="2:9" ht="120.75" thickBot="1">
      <c r="B82" s="1631" t="s">
        <v>1225</v>
      </c>
      <c r="C82" s="1631" t="s">
        <v>1226</v>
      </c>
      <c r="D82" s="561" t="s">
        <v>1209</v>
      </c>
      <c r="E82" s="561" t="s">
        <v>974</v>
      </c>
      <c r="F82" s="561" t="s">
        <v>975</v>
      </c>
      <c r="G82" s="561" t="s">
        <v>976</v>
      </c>
      <c r="H82" s="561" t="s">
        <v>977</v>
      </c>
      <c r="I82" s="561" t="s">
        <v>978</v>
      </c>
    </row>
    <row r="83" spans="2:9" ht="18" thickBot="1">
      <c r="B83" s="1634"/>
      <c r="C83" s="1634"/>
      <c r="D83" s="562" t="s">
        <v>1227</v>
      </c>
      <c r="E83" s="562" t="s">
        <v>979</v>
      </c>
      <c r="F83" s="562" t="s">
        <v>980</v>
      </c>
      <c r="G83" s="562" t="s">
        <v>5</v>
      </c>
      <c r="H83" s="562" t="s">
        <v>1228</v>
      </c>
      <c r="I83" s="562" t="s">
        <v>1227</v>
      </c>
    </row>
    <row r="84" spans="2:9" ht="55.5" thickBot="1">
      <c r="B84" s="1632"/>
      <c r="C84" s="1632"/>
      <c r="D84" s="562"/>
      <c r="E84" s="562" t="s">
        <v>981</v>
      </c>
      <c r="F84" s="562"/>
      <c r="G84" s="562" t="s">
        <v>817</v>
      </c>
      <c r="H84" s="562" t="s">
        <v>982</v>
      </c>
      <c r="I84" s="562" t="s">
        <v>1229</v>
      </c>
    </row>
    <row r="85" spans="2:9" ht="18.75" thickBot="1">
      <c r="B85" s="586" t="s">
        <v>6</v>
      </c>
      <c r="C85" s="587" t="s">
        <v>1</v>
      </c>
      <c r="D85" s="564" t="s">
        <v>1220</v>
      </c>
      <c r="E85" s="564" t="s">
        <v>1230</v>
      </c>
      <c r="F85" s="564" t="s">
        <v>1231</v>
      </c>
      <c r="G85" s="564" t="s">
        <v>1232</v>
      </c>
      <c r="H85" s="564" t="s">
        <v>1233</v>
      </c>
      <c r="I85" s="564" t="s">
        <v>1234</v>
      </c>
    </row>
    <row r="86" spans="2:9" ht="16.5" thickBot="1" thickTop="1">
      <c r="B86" s="1633" t="s">
        <v>134</v>
      </c>
      <c r="C86" s="574" t="s">
        <v>118</v>
      </c>
      <c r="D86" s="590">
        <f>'GEI 3A1_3A2 (N1) '!H34</f>
        <v>0</v>
      </c>
      <c r="E86" s="590">
        <f>+'3C6 FE'!C27</f>
        <v>22</v>
      </c>
      <c r="F86" s="590">
        <f>+'IP 3A1_3A2_3C6'!C38</f>
        <v>905818</v>
      </c>
      <c r="G86" s="590">
        <f>+'IB 3A1_3A2_3C6'!D236</f>
        <v>0</v>
      </c>
      <c r="H86" s="596"/>
      <c r="I86" s="590">
        <f>D86*(1-(E86/100))+F86*G86*H86</f>
        <v>0</v>
      </c>
    </row>
    <row r="87" spans="2:9" ht="15.75" customHeight="1" thickBot="1">
      <c r="B87" s="1634"/>
      <c r="C87" s="574" t="s">
        <v>1082</v>
      </c>
      <c r="D87" s="590">
        <f>'GEI 3A1_3A2 (N1) '!H35</f>
        <v>0</v>
      </c>
      <c r="E87" s="590">
        <f>+'3C6 FE'!C28</f>
        <v>0</v>
      </c>
      <c r="F87" s="590">
        <f>+'IP 3A1_3A2_3C6'!D38</f>
        <v>4694075</v>
      </c>
      <c r="G87" s="590">
        <f>+'IB 3A1_3A2_3C6'!D237</f>
        <v>0</v>
      </c>
      <c r="H87" s="596"/>
      <c r="I87" s="590">
        <f aca="true" t="shared" si="10" ref="I87:I96">D87*(1-(E87/100))+F87*G87*H87</f>
        <v>0</v>
      </c>
    </row>
    <row r="88" spans="2:9" ht="15.75" thickBot="1">
      <c r="B88" s="1634"/>
      <c r="C88" s="574" t="s">
        <v>40</v>
      </c>
      <c r="D88" s="590">
        <f>'GEI 3A1_3A2 (N1) '!H36</f>
        <v>0</v>
      </c>
      <c r="E88" s="590">
        <f>+'3C6 FE'!C29</f>
        <v>0</v>
      </c>
      <c r="F88" s="590">
        <f>+'IP 3A1_3A2_3C6'!D8</f>
        <v>11371639</v>
      </c>
      <c r="G88" s="590">
        <f>+'IB 3A1_3A2_3C6'!D238</f>
        <v>0</v>
      </c>
      <c r="H88" s="596"/>
      <c r="I88" s="590">
        <f t="shared" si="10"/>
        <v>0</v>
      </c>
    </row>
    <row r="89" spans="2:9" ht="15.75" thickBot="1">
      <c r="B89" s="1634"/>
      <c r="C89" s="574" t="s">
        <v>39</v>
      </c>
      <c r="D89" s="590">
        <f>'GEI 3A1_3A2 (N1) '!H37</f>
        <v>0</v>
      </c>
      <c r="E89" s="590">
        <f>+'3C6 FE'!C30</f>
        <v>0</v>
      </c>
      <c r="F89" s="590">
        <f>+'IP 3A1_3A2_3C6'!E8</f>
        <v>1801882</v>
      </c>
      <c r="G89" s="590">
        <f>+'IB 3A1_3A2_3C6'!D239</f>
        <v>0</v>
      </c>
      <c r="H89" s="596"/>
      <c r="I89" s="590">
        <f t="shared" si="10"/>
        <v>0</v>
      </c>
    </row>
    <row r="90" spans="2:9" ht="15.75" thickBot="1">
      <c r="B90" s="1634"/>
      <c r="C90" s="574" t="s">
        <v>66</v>
      </c>
      <c r="D90" s="590">
        <f>'GEI 3A1_3A2 (N1) '!H38</f>
        <v>0</v>
      </c>
      <c r="E90" s="590">
        <f>+'3C6 FE'!C31</f>
        <v>0</v>
      </c>
      <c r="F90" s="590">
        <f>+'IP 3A1_3A2_3C6'!F8</f>
        <v>478241.719092125</v>
      </c>
      <c r="G90" s="590">
        <f>+'IB 3A1_3A2_3C6'!D240</f>
        <v>0</v>
      </c>
      <c r="H90" s="596"/>
      <c r="I90" s="590">
        <f t="shared" si="10"/>
        <v>0</v>
      </c>
    </row>
    <row r="91" spans="2:9" ht="15.75" thickBot="1">
      <c r="B91" s="1634"/>
      <c r="C91" s="574" t="s">
        <v>109</v>
      </c>
      <c r="D91" s="590">
        <f>'GEI 3A1_3A2 (N1) '!H39</f>
        <v>0</v>
      </c>
      <c r="E91" s="590">
        <f>+'3C6 FE'!C32</f>
        <v>0</v>
      </c>
      <c r="F91" s="590">
        <f>+'IP 3A1_3A2_3C6'!G8</f>
        <v>541066.206435821</v>
      </c>
      <c r="G91" s="590">
        <f>+'IB 3A1_3A2_3C6'!D241</f>
        <v>0</v>
      </c>
      <c r="H91" s="596"/>
      <c r="I91" s="590">
        <f t="shared" si="10"/>
        <v>0</v>
      </c>
    </row>
    <row r="92" spans="2:9" ht="15.75" thickBot="1">
      <c r="B92" s="1634"/>
      <c r="C92" s="574" t="s">
        <v>41</v>
      </c>
      <c r="D92" s="590">
        <f>'GEI 3A1_3A2 (N1) '!H40</f>
        <v>0</v>
      </c>
      <c r="E92" s="590">
        <f>+'3C6 FE'!C33</f>
        <v>0</v>
      </c>
      <c r="F92" s="590">
        <f>+'IP 3A1_3A2_3C6'!H8</f>
        <v>940552.0273972602</v>
      </c>
      <c r="G92" s="590">
        <f>+'IB 3A1_3A2_3C6'!D242</f>
        <v>0</v>
      </c>
      <c r="H92" s="596"/>
      <c r="I92" s="590">
        <f t="shared" si="10"/>
        <v>0</v>
      </c>
    </row>
    <row r="93" spans="2:9" ht="15.75" thickBot="1">
      <c r="B93" s="1634"/>
      <c r="C93" s="574" t="s">
        <v>37</v>
      </c>
      <c r="D93" s="590">
        <f>'GEI 3A1_3A2 (N1) '!H41</f>
        <v>0</v>
      </c>
      <c r="E93" s="590">
        <f>+'3C6 FE'!C34</f>
        <v>0</v>
      </c>
      <c r="F93" s="590">
        <f>+'IP 3A1_3A2_3C6'!I8</f>
        <v>4456049</v>
      </c>
      <c r="G93" s="590">
        <f>+'IB 3A1_3A2_3C6'!D243</f>
        <v>0</v>
      </c>
      <c r="H93" s="596"/>
      <c r="I93" s="590">
        <f t="shared" si="10"/>
        <v>0</v>
      </c>
    </row>
    <row r="94" spans="2:9" ht="15.75" thickBot="1">
      <c r="B94" s="1634"/>
      <c r="C94" s="574" t="s">
        <v>38</v>
      </c>
      <c r="D94" s="590">
        <f>'GEI 3A1_3A2 (N1) '!H42</f>
        <v>0</v>
      </c>
      <c r="E94" s="590">
        <f>+'3C6 FE'!C35</f>
        <v>0</v>
      </c>
      <c r="F94" s="590">
        <f>+'IP 3A1_3A2_3C6'!J8</f>
        <v>1095921</v>
      </c>
      <c r="G94" s="590">
        <f>+'IB 3A1_3A2_3C6'!D244</f>
        <v>0</v>
      </c>
      <c r="H94" s="596"/>
      <c r="I94" s="590">
        <f t="shared" si="10"/>
        <v>0</v>
      </c>
    </row>
    <row r="95" spans="2:9" ht="15.75" thickBot="1">
      <c r="B95" s="1634"/>
      <c r="C95" s="574" t="s">
        <v>36</v>
      </c>
      <c r="D95" s="590">
        <f>'GEI 3A1_3A2 (N1) '!H43</f>
        <v>0</v>
      </c>
      <c r="E95" s="590">
        <f>+'3C6 FE'!C36</f>
        <v>0</v>
      </c>
      <c r="F95" s="590">
        <f>+'IP 3A1_3A2_3C6'!K8</f>
        <v>52662900.840135574</v>
      </c>
      <c r="G95" s="590">
        <f>+'IB 3A1_3A2_3C6'!D245</f>
        <v>0</v>
      </c>
      <c r="H95" s="596"/>
      <c r="I95" s="590">
        <f t="shared" si="10"/>
        <v>0</v>
      </c>
    </row>
    <row r="96" spans="2:9" ht="15.75" thickBot="1">
      <c r="B96" s="1632"/>
      <c r="C96" s="574" t="s">
        <v>68</v>
      </c>
      <c r="D96" s="590">
        <f>'GEI 3A1_3A2 (N1) '!H44</f>
        <v>4323233.75162954</v>
      </c>
      <c r="E96" s="590">
        <f>+'3C6 FE'!C37</f>
        <v>0</v>
      </c>
      <c r="F96" s="590">
        <f>+'IP 3A1_3A2_3C6'!L8</f>
        <v>3971222.8514355808</v>
      </c>
      <c r="G96" s="590">
        <f>+'IB 3A1_3A2_3C6'!D246</f>
        <v>1</v>
      </c>
      <c r="H96" s="596"/>
      <c r="I96" s="590">
        <f t="shared" si="10"/>
        <v>4323233.75162954</v>
      </c>
    </row>
    <row r="97" spans="2:9" ht="15.75" thickBot="1">
      <c r="B97" s="1635" t="s">
        <v>15</v>
      </c>
      <c r="C97" s="1636"/>
      <c r="D97" s="576"/>
      <c r="E97" s="570"/>
      <c r="F97" s="570"/>
      <c r="G97" s="570"/>
      <c r="H97" s="570"/>
      <c r="I97" s="591">
        <f>+SUM(I86:I96)</f>
        <v>4323233.75162954</v>
      </c>
    </row>
    <row r="98" spans="2:9" ht="16.5" thickBot="1" thickTop="1">
      <c r="B98" s="1633" t="s">
        <v>152</v>
      </c>
      <c r="C98" s="574" t="s">
        <v>118</v>
      </c>
      <c r="D98" s="590">
        <f>'GEI 3A1_3A2 (N1) '!H46</f>
        <v>17329965.045119997</v>
      </c>
      <c r="E98" s="590">
        <f>'3C6 FE'!D27</f>
        <v>40</v>
      </c>
      <c r="F98" s="590">
        <f>+F86</f>
        <v>905818</v>
      </c>
      <c r="G98" s="590">
        <f>'GEI 3A1_3A2 (N1) '!G46</f>
        <v>0.21</v>
      </c>
      <c r="H98" s="596"/>
      <c r="I98" s="590">
        <f>D98*(1-(E98/100))+F98*G98*H98</f>
        <v>10397979.027071998</v>
      </c>
    </row>
    <row r="99" spans="2:9" ht="18.75" customHeight="1" thickBot="1">
      <c r="B99" s="1634"/>
      <c r="C99" s="574" t="s">
        <v>1082</v>
      </c>
      <c r="D99" s="590">
        <f>'GEI 3A1_3A2 (N1) '!H47</f>
        <v>16998595.36129625</v>
      </c>
      <c r="E99" s="590">
        <f>'3C6 FE'!D28</f>
        <v>50</v>
      </c>
      <c r="F99" s="590">
        <f aca="true" t="shared" si="11" ref="F99:F108">+F87</f>
        <v>4694075</v>
      </c>
      <c r="G99" s="590">
        <f>'GEI 3A1_3A2 (N1) '!G47</f>
        <v>0.09</v>
      </c>
      <c r="H99" s="596"/>
      <c r="I99" s="590">
        <f aca="true" t="shared" si="12" ref="I99:I108">D99*(1-(E99/100))+F99*G99*H99</f>
        <v>8499297.680648126</v>
      </c>
    </row>
    <row r="100" spans="2:9" ht="15.75" thickBot="1">
      <c r="B100" s="1634"/>
      <c r="C100" s="574" t="s">
        <v>40</v>
      </c>
      <c r="D100" s="590">
        <f>'GEI 3A1_3A2 (N1) '!H48</f>
        <v>0</v>
      </c>
      <c r="E100" s="590">
        <f>'3C6 FE'!D29</f>
        <v>15</v>
      </c>
      <c r="F100" s="590">
        <f t="shared" si="11"/>
        <v>11371639</v>
      </c>
      <c r="G100" s="590">
        <f>'GEI 3A1_3A2 (N1) '!G48</f>
        <v>0</v>
      </c>
      <c r="H100" s="596"/>
      <c r="I100" s="590">
        <f t="shared" si="12"/>
        <v>0</v>
      </c>
    </row>
    <row r="101" spans="2:9" ht="15.75" thickBot="1">
      <c r="B101" s="1634"/>
      <c r="C101" s="574" t="s">
        <v>39</v>
      </c>
      <c r="D101" s="590">
        <f>'GEI 3A1_3A2 (N1) '!H49</f>
        <v>0</v>
      </c>
      <c r="E101" s="590">
        <f>'3C6 FE'!D30</f>
        <v>15</v>
      </c>
      <c r="F101" s="590">
        <f t="shared" si="11"/>
        <v>1801882</v>
      </c>
      <c r="G101" s="590">
        <f>'GEI 3A1_3A2 (N1) '!G49</f>
        <v>0</v>
      </c>
      <c r="H101" s="596"/>
      <c r="I101" s="590">
        <f t="shared" si="12"/>
        <v>0</v>
      </c>
    </row>
    <row r="102" spans="2:9" ht="15.75" thickBot="1">
      <c r="B102" s="1634"/>
      <c r="C102" s="574" t="s">
        <v>66</v>
      </c>
      <c r="D102" s="590">
        <f>'GEI 3A1_3A2 (N1) '!H50</f>
        <v>0</v>
      </c>
      <c r="E102" s="590">
        <f>'3C6 FE'!D31</f>
        <v>15</v>
      </c>
      <c r="F102" s="590">
        <f t="shared" si="11"/>
        <v>478241.719092125</v>
      </c>
      <c r="G102" s="590">
        <f>'GEI 3A1_3A2 (N1) '!G50</f>
        <v>0</v>
      </c>
      <c r="H102" s="596"/>
      <c r="I102" s="590">
        <f t="shared" si="12"/>
        <v>0</v>
      </c>
    </row>
    <row r="103" spans="2:9" ht="15.75" thickBot="1">
      <c r="B103" s="1634"/>
      <c r="C103" s="574" t="s">
        <v>109</v>
      </c>
      <c r="D103" s="590">
        <f>'GEI 3A1_3A2 (N1) '!H51</f>
        <v>0</v>
      </c>
      <c r="E103" s="590">
        <f>'3C6 FE'!D32</f>
        <v>15</v>
      </c>
      <c r="F103" s="590">
        <f t="shared" si="11"/>
        <v>541066.206435821</v>
      </c>
      <c r="G103" s="590">
        <f>'GEI 3A1_3A2 (N1) '!G51</f>
        <v>0</v>
      </c>
      <c r="H103" s="596"/>
      <c r="I103" s="590">
        <f t="shared" si="12"/>
        <v>0</v>
      </c>
    </row>
    <row r="104" spans="2:9" ht="15.75" thickBot="1">
      <c r="B104" s="1634"/>
      <c r="C104" s="574" t="s">
        <v>41</v>
      </c>
      <c r="D104" s="590">
        <f>'GEI 3A1_3A2 (N1) '!H52</f>
        <v>4662995.478371999</v>
      </c>
      <c r="E104" s="590">
        <f>'3C6 FE'!D33</f>
        <v>50</v>
      </c>
      <c r="F104" s="590">
        <f t="shared" si="11"/>
        <v>940552.0273972602</v>
      </c>
      <c r="G104" s="590">
        <f>'GEI 3A1_3A2 (N1) '!G52</f>
        <v>0.33</v>
      </c>
      <c r="H104" s="596"/>
      <c r="I104" s="590">
        <f t="shared" si="12"/>
        <v>2331497.7391859996</v>
      </c>
    </row>
    <row r="105" spans="2:9" ht="15.75" thickBot="1">
      <c r="B105" s="1634"/>
      <c r="C105" s="574" t="s">
        <v>37</v>
      </c>
      <c r="D105" s="590">
        <f>'GEI 3A1_3A2 (N1) '!H53</f>
        <v>18514843.12654121</v>
      </c>
      <c r="E105" s="590">
        <f>'3C6 FE'!D34</f>
        <v>15</v>
      </c>
      <c r="F105" s="590">
        <f t="shared" si="11"/>
        <v>4456049</v>
      </c>
      <c r="G105" s="590">
        <f>'GEI 3A1_3A2 (N1) '!G53</f>
        <v>0.11</v>
      </c>
      <c r="H105" s="596"/>
      <c r="I105" s="590">
        <f t="shared" si="12"/>
        <v>15737616.657560026</v>
      </c>
    </row>
    <row r="106" spans="2:9" ht="15.75" thickBot="1">
      <c r="B106" s="1634"/>
      <c r="C106" s="574" t="s">
        <v>38</v>
      </c>
      <c r="D106" s="590">
        <f>'GEI 3A1_3A2 (N1) '!H54</f>
        <v>14325279.757933233</v>
      </c>
      <c r="E106" s="590">
        <f>'3C6 FE'!D35</f>
        <v>15</v>
      </c>
      <c r="F106" s="590">
        <f t="shared" si="11"/>
        <v>1095921</v>
      </c>
      <c r="G106" s="590">
        <f>'GEI 3A1_3A2 (N1) '!G54</f>
        <v>0.11</v>
      </c>
      <c r="H106" s="596"/>
      <c r="I106" s="590">
        <f t="shared" si="12"/>
        <v>12176487.794243248</v>
      </c>
    </row>
    <row r="107" spans="2:9" ht="15.75" thickBot="1">
      <c r="B107" s="1634"/>
      <c r="C107" s="574" t="s">
        <v>36</v>
      </c>
      <c r="D107" s="590">
        <f>'GEI 3A1_3A2 (N1) '!H55</f>
        <v>0</v>
      </c>
      <c r="E107" s="590">
        <f>'3C6 FE'!D36</f>
        <v>0</v>
      </c>
      <c r="F107" s="590">
        <f t="shared" si="11"/>
        <v>52662900.840135574</v>
      </c>
      <c r="G107" s="590">
        <f>'GEI 3A1_3A2 (N1) '!G55</f>
        <v>0</v>
      </c>
      <c r="H107" s="596"/>
      <c r="I107" s="590">
        <f t="shared" si="12"/>
        <v>0</v>
      </c>
    </row>
    <row r="108" spans="2:9" ht="15.75" thickBot="1">
      <c r="B108" s="1632"/>
      <c r="C108" s="574" t="s">
        <v>68</v>
      </c>
      <c r="D108" s="590">
        <f>'GEI 3A1_3A2 (N1) '!H56</f>
        <v>0</v>
      </c>
      <c r="E108" s="590">
        <f>'3C6 FE'!D37</f>
        <v>15</v>
      </c>
      <c r="F108" s="590">
        <f t="shared" si="11"/>
        <v>3971222.8514355808</v>
      </c>
      <c r="G108" s="590">
        <f>'GEI 3A1_3A2 (N1) '!G56</f>
        <v>0</v>
      </c>
      <c r="H108" s="596"/>
      <c r="I108" s="590">
        <f t="shared" si="12"/>
        <v>0</v>
      </c>
    </row>
    <row r="109" spans="2:9" ht="15.75" thickBot="1">
      <c r="B109" s="1635" t="s">
        <v>15</v>
      </c>
      <c r="C109" s="1636"/>
      <c r="D109" s="576"/>
      <c r="E109" s="570"/>
      <c r="F109" s="570"/>
      <c r="G109" s="570"/>
      <c r="H109" s="570"/>
      <c r="I109" s="591">
        <f>+SUM(I98:I108)</f>
        <v>49142878.898709394</v>
      </c>
    </row>
    <row r="110" spans="2:9" ht="16.5" thickBot="1" thickTop="1">
      <c r="B110" s="1633" t="s">
        <v>137</v>
      </c>
      <c r="C110" s="574" t="s">
        <v>118</v>
      </c>
      <c r="D110" s="590">
        <f>'GEI 3A1_3A2 (N1) '!H58</f>
        <v>0</v>
      </c>
      <c r="E110" s="590">
        <f>'3C6 FE'!E27</f>
        <v>0</v>
      </c>
      <c r="F110" s="590">
        <f>+F86</f>
        <v>905818</v>
      </c>
      <c r="G110" s="590">
        <f>'GEI 3A1_3A2 (N1) '!G58</f>
        <v>0</v>
      </c>
      <c r="H110" s="596"/>
      <c r="I110" s="590">
        <f>D110*(1-(E110/100))+F110*G110*H110</f>
        <v>0</v>
      </c>
    </row>
    <row r="111" spans="2:9" ht="18" customHeight="1" thickBot="1">
      <c r="B111" s="1634"/>
      <c r="C111" s="574" t="s">
        <v>1082</v>
      </c>
      <c r="D111" s="590">
        <f>'GEI 3A1_3A2 (N1) '!H59</f>
        <v>0</v>
      </c>
      <c r="E111" s="590">
        <f>'3C6 FE'!E28</f>
        <v>0</v>
      </c>
      <c r="F111" s="590">
        <f aca="true" t="shared" si="13" ref="F111:F120">+F87</f>
        <v>4694075</v>
      </c>
      <c r="G111" s="590">
        <f>'GEI 3A1_3A2 (N1) '!G59</f>
        <v>0</v>
      </c>
      <c r="H111" s="596"/>
      <c r="I111" s="590">
        <f aca="true" t="shared" si="14" ref="I111:I120">D111*(1-(E111/100))+F111*G111*H111</f>
        <v>0</v>
      </c>
    </row>
    <row r="112" spans="2:9" ht="15.75" thickBot="1">
      <c r="B112" s="1634"/>
      <c r="C112" s="574" t="s">
        <v>40</v>
      </c>
      <c r="D112" s="590">
        <f>'GEI 3A1_3A2 (N1) '!H60</f>
        <v>0</v>
      </c>
      <c r="E112" s="590">
        <f>'3C6 FE'!E29</f>
        <v>0</v>
      </c>
      <c r="F112" s="590">
        <f t="shared" si="13"/>
        <v>11371639</v>
      </c>
      <c r="G112" s="590">
        <f>'GEI 3A1_3A2 (N1) '!G60</f>
        <v>0</v>
      </c>
      <c r="H112" s="596"/>
      <c r="I112" s="590">
        <f t="shared" si="14"/>
        <v>0</v>
      </c>
    </row>
    <row r="113" spans="2:9" ht="15.75" thickBot="1">
      <c r="B113" s="1634"/>
      <c r="C113" s="574" t="s">
        <v>39</v>
      </c>
      <c r="D113" s="590">
        <f>'GEI 3A1_3A2 (N1) '!H61</f>
        <v>0</v>
      </c>
      <c r="E113" s="590">
        <f>'3C6 FE'!E30</f>
        <v>0</v>
      </c>
      <c r="F113" s="590">
        <f t="shared" si="13"/>
        <v>1801882</v>
      </c>
      <c r="G113" s="590">
        <f>'GEI 3A1_3A2 (N1) '!G61</f>
        <v>0</v>
      </c>
      <c r="H113" s="596"/>
      <c r="I113" s="590">
        <f t="shared" si="14"/>
        <v>0</v>
      </c>
    </row>
    <row r="114" spans="2:9" ht="15.75" thickBot="1">
      <c r="B114" s="1634"/>
      <c r="C114" s="574" t="s">
        <v>66</v>
      </c>
      <c r="D114" s="590">
        <f>'GEI 3A1_3A2 (N1) '!H62</f>
        <v>0</v>
      </c>
      <c r="E114" s="590">
        <f>'3C6 FE'!E31</f>
        <v>0</v>
      </c>
      <c r="F114" s="590">
        <f t="shared" si="13"/>
        <v>478241.719092125</v>
      </c>
      <c r="G114" s="590">
        <f>'GEI 3A1_3A2 (N1) '!G62</f>
        <v>0</v>
      </c>
      <c r="H114" s="596"/>
      <c r="I114" s="590">
        <f t="shared" si="14"/>
        <v>0</v>
      </c>
    </row>
    <row r="115" spans="2:9" ht="15.75" thickBot="1">
      <c r="B115" s="1634"/>
      <c r="C115" s="574" t="s">
        <v>109</v>
      </c>
      <c r="D115" s="590">
        <f>'GEI 3A1_3A2 (N1) '!H63</f>
        <v>0</v>
      </c>
      <c r="E115" s="590">
        <f>'3C6 FE'!E32</f>
        <v>0</v>
      </c>
      <c r="F115" s="590">
        <f t="shared" si="13"/>
        <v>541066.206435821</v>
      </c>
      <c r="G115" s="590">
        <f>'GEI 3A1_3A2 (N1) '!G63</f>
        <v>0</v>
      </c>
      <c r="H115" s="596"/>
      <c r="I115" s="590">
        <f t="shared" si="14"/>
        <v>0</v>
      </c>
    </row>
    <row r="116" spans="2:9" ht="15.75" thickBot="1">
      <c r="B116" s="1634"/>
      <c r="C116" s="574" t="s">
        <v>41</v>
      </c>
      <c r="D116" s="590">
        <f>'GEI 3A1_3A2 (N1) '!H64</f>
        <v>0</v>
      </c>
      <c r="E116" s="590">
        <f>'3C6 FE'!E33</f>
        <v>0</v>
      </c>
      <c r="F116" s="590">
        <f t="shared" si="13"/>
        <v>940552.0273972602</v>
      </c>
      <c r="G116" s="590">
        <f>'GEI 3A1_3A2 (N1) '!G64</f>
        <v>0</v>
      </c>
      <c r="H116" s="596"/>
      <c r="I116" s="590">
        <f t="shared" si="14"/>
        <v>0</v>
      </c>
    </row>
    <row r="117" spans="2:9" ht="15.75" thickBot="1">
      <c r="B117" s="1634"/>
      <c r="C117" s="574" t="s">
        <v>37</v>
      </c>
      <c r="D117" s="590">
        <f>'GEI 3A1_3A2 (N1) '!H65</f>
        <v>0</v>
      </c>
      <c r="E117" s="590">
        <f>'3C6 FE'!E34</f>
        <v>0</v>
      </c>
      <c r="F117" s="590">
        <f t="shared" si="13"/>
        <v>4456049</v>
      </c>
      <c r="G117" s="590">
        <f>'GEI 3A1_3A2 (N1) '!G65</f>
        <v>0</v>
      </c>
      <c r="H117" s="596"/>
      <c r="I117" s="590">
        <f t="shared" si="14"/>
        <v>0</v>
      </c>
    </row>
    <row r="118" spans="2:9" ht="15.75" thickBot="1">
      <c r="B118" s="1634"/>
      <c r="C118" s="574" t="s">
        <v>38</v>
      </c>
      <c r="D118" s="590">
        <f>'GEI 3A1_3A2 (N1) '!H66</f>
        <v>0</v>
      </c>
      <c r="E118" s="590">
        <f>'3C6 FE'!E35</f>
        <v>0</v>
      </c>
      <c r="F118" s="590">
        <f t="shared" si="13"/>
        <v>1095921</v>
      </c>
      <c r="G118" s="590">
        <f>'GEI 3A1_3A2 (N1) '!G66</f>
        <v>0</v>
      </c>
      <c r="H118" s="596"/>
      <c r="I118" s="590">
        <f t="shared" si="14"/>
        <v>0</v>
      </c>
    </row>
    <row r="119" spans="2:9" ht="15.75" thickBot="1">
      <c r="B119" s="1634"/>
      <c r="C119" s="574" t="s">
        <v>36</v>
      </c>
      <c r="D119" s="590">
        <f>'GEI 3A1_3A2 (N1) '!H67</f>
        <v>0</v>
      </c>
      <c r="E119" s="590">
        <f>'3C6 FE'!E36</f>
        <v>0</v>
      </c>
      <c r="F119" s="590">
        <f t="shared" si="13"/>
        <v>52662900.840135574</v>
      </c>
      <c r="G119" s="590">
        <f>'GEI 3A1_3A2 (N1) '!G67</f>
        <v>0</v>
      </c>
      <c r="H119" s="596"/>
      <c r="I119" s="590">
        <f t="shared" si="14"/>
        <v>0</v>
      </c>
    </row>
    <row r="120" spans="2:9" ht="15.75" thickBot="1">
      <c r="B120" s="1632"/>
      <c r="C120" s="574" t="s">
        <v>68</v>
      </c>
      <c r="D120" s="590">
        <f>'GEI 3A1_3A2 (N1) '!H68</f>
        <v>0</v>
      </c>
      <c r="E120" s="590">
        <f>'3C6 FE'!E37</f>
        <v>0</v>
      </c>
      <c r="F120" s="590">
        <f t="shared" si="13"/>
        <v>3971222.8514355808</v>
      </c>
      <c r="G120" s="590">
        <f>'GEI 3A1_3A2 (N1) '!G68</f>
        <v>0</v>
      </c>
      <c r="H120" s="596"/>
      <c r="I120" s="590">
        <f t="shared" si="14"/>
        <v>0</v>
      </c>
    </row>
    <row r="121" spans="2:9" ht="15.75" thickBot="1">
      <c r="B121" s="1635" t="s">
        <v>15</v>
      </c>
      <c r="C121" s="1636"/>
      <c r="D121" s="576"/>
      <c r="E121" s="570"/>
      <c r="F121" s="570"/>
      <c r="G121" s="570"/>
      <c r="H121" s="570"/>
      <c r="I121" s="591">
        <f>+SUM(I110:I120)</f>
        <v>0</v>
      </c>
    </row>
    <row r="122" spans="2:9" ht="16.5" thickBot="1" thickTop="1">
      <c r="B122" s="1633" t="s">
        <v>138</v>
      </c>
      <c r="C122" s="574" t="s">
        <v>118</v>
      </c>
      <c r="D122" s="590">
        <f>'GEI 3A1_3A2 (N1) '!H70</f>
        <v>0</v>
      </c>
      <c r="E122" s="590">
        <f>'3C6 FE'!F27</f>
        <v>0</v>
      </c>
      <c r="F122" s="590">
        <f>+F86</f>
        <v>905818</v>
      </c>
      <c r="G122" s="590">
        <f>'GEI 3A1_3A2 (N1) '!G70</f>
        <v>0</v>
      </c>
      <c r="H122" s="596"/>
      <c r="I122" s="590">
        <f>D122*(1-(E122/100))+F122*G122*H122</f>
        <v>0</v>
      </c>
    </row>
    <row r="123" spans="2:9" ht="15" customHeight="1" thickBot="1">
      <c r="B123" s="1634"/>
      <c r="C123" s="574" t="s">
        <v>1082</v>
      </c>
      <c r="D123" s="590">
        <f>'GEI 3A1_3A2 (N1) '!H71</f>
        <v>0</v>
      </c>
      <c r="E123" s="590">
        <f>'3C6 FE'!F28</f>
        <v>0</v>
      </c>
      <c r="F123" s="590">
        <f aca="true" t="shared" si="15" ref="F123:F132">+F87</f>
        <v>4694075</v>
      </c>
      <c r="G123" s="590">
        <f>'GEI 3A1_3A2 (N1) '!G71</f>
        <v>0</v>
      </c>
      <c r="H123" s="596"/>
      <c r="I123" s="590">
        <f aca="true" t="shared" si="16" ref="I123:I132">D123*(1-(E123/100))+F123*G123*H123</f>
        <v>0</v>
      </c>
    </row>
    <row r="124" spans="2:9" ht="15.75" thickBot="1">
      <c r="B124" s="1634"/>
      <c r="C124" s="574" t="s">
        <v>40</v>
      </c>
      <c r="D124" s="590">
        <f>'GEI 3A1_3A2 (N1) '!H72</f>
        <v>0</v>
      </c>
      <c r="E124" s="590">
        <f>'3C6 FE'!F29</f>
        <v>0</v>
      </c>
      <c r="F124" s="590">
        <f t="shared" si="15"/>
        <v>11371639</v>
      </c>
      <c r="G124" s="590">
        <f>'GEI 3A1_3A2 (N1) '!G72</f>
        <v>0</v>
      </c>
      <c r="H124" s="596"/>
      <c r="I124" s="590">
        <f t="shared" si="16"/>
        <v>0</v>
      </c>
    </row>
    <row r="125" spans="2:9" ht="15.75" thickBot="1">
      <c r="B125" s="1634"/>
      <c r="C125" s="574" t="s">
        <v>39</v>
      </c>
      <c r="D125" s="590">
        <f>'GEI 3A1_3A2 (N1) '!H73</f>
        <v>0</v>
      </c>
      <c r="E125" s="590">
        <f>'3C6 FE'!F30</f>
        <v>0</v>
      </c>
      <c r="F125" s="590">
        <f t="shared" si="15"/>
        <v>1801882</v>
      </c>
      <c r="G125" s="590">
        <f>'GEI 3A1_3A2 (N1) '!G73</f>
        <v>0</v>
      </c>
      <c r="H125" s="596"/>
      <c r="I125" s="590">
        <f t="shared" si="16"/>
        <v>0</v>
      </c>
    </row>
    <row r="126" spans="2:9" ht="15.75" thickBot="1">
      <c r="B126" s="1634"/>
      <c r="C126" s="574" t="s">
        <v>66</v>
      </c>
      <c r="D126" s="590">
        <f>'GEI 3A1_3A2 (N1) '!H74</f>
        <v>0</v>
      </c>
      <c r="E126" s="590">
        <f>'3C6 FE'!F31</f>
        <v>0</v>
      </c>
      <c r="F126" s="590">
        <f t="shared" si="15"/>
        <v>478241.719092125</v>
      </c>
      <c r="G126" s="590">
        <f>'GEI 3A1_3A2 (N1) '!G74</f>
        <v>0</v>
      </c>
      <c r="H126" s="596"/>
      <c r="I126" s="590">
        <f t="shared" si="16"/>
        <v>0</v>
      </c>
    </row>
    <row r="127" spans="2:9" ht="15.75" thickBot="1">
      <c r="B127" s="1634"/>
      <c r="C127" s="574" t="s">
        <v>109</v>
      </c>
      <c r="D127" s="590">
        <f>'GEI 3A1_3A2 (N1) '!H75</f>
        <v>0</v>
      </c>
      <c r="E127" s="590">
        <f>'3C6 FE'!F32</f>
        <v>0</v>
      </c>
      <c r="F127" s="590">
        <f t="shared" si="15"/>
        <v>541066.206435821</v>
      </c>
      <c r="G127" s="590">
        <f>'GEI 3A1_3A2 (N1) '!G75</f>
        <v>0</v>
      </c>
      <c r="H127" s="596"/>
      <c r="I127" s="590">
        <f t="shared" si="16"/>
        <v>0</v>
      </c>
    </row>
    <row r="128" spans="2:9" ht="15.75" thickBot="1">
      <c r="B128" s="1634"/>
      <c r="C128" s="574" t="s">
        <v>41</v>
      </c>
      <c r="D128" s="590">
        <f>'GEI 3A1_3A2 (N1) '!H76</f>
        <v>0</v>
      </c>
      <c r="E128" s="590">
        <f>'3C6 FE'!F33</f>
        <v>0</v>
      </c>
      <c r="F128" s="590">
        <f t="shared" si="15"/>
        <v>940552.0273972602</v>
      </c>
      <c r="G128" s="590">
        <f>'GEI 3A1_3A2 (N1) '!G76</f>
        <v>0</v>
      </c>
      <c r="H128" s="596"/>
      <c r="I128" s="590">
        <f t="shared" si="16"/>
        <v>0</v>
      </c>
    </row>
    <row r="129" spans="2:9" ht="15.75" thickBot="1">
      <c r="B129" s="1634"/>
      <c r="C129" s="574" t="s">
        <v>37</v>
      </c>
      <c r="D129" s="590">
        <f>'GEI 3A1_3A2 (N1) '!H77</f>
        <v>0</v>
      </c>
      <c r="E129" s="590">
        <f>'3C6 FE'!F34</f>
        <v>0</v>
      </c>
      <c r="F129" s="590">
        <f t="shared" si="15"/>
        <v>4456049</v>
      </c>
      <c r="G129" s="590">
        <f>'GEI 3A1_3A2 (N1) '!G77</f>
        <v>0</v>
      </c>
      <c r="H129" s="596"/>
      <c r="I129" s="590">
        <f t="shared" si="16"/>
        <v>0</v>
      </c>
    </row>
    <row r="130" spans="2:9" ht="15.75" thickBot="1">
      <c r="B130" s="1634"/>
      <c r="C130" s="574" t="s">
        <v>38</v>
      </c>
      <c r="D130" s="590">
        <f>'GEI 3A1_3A2 (N1) '!H78</f>
        <v>0</v>
      </c>
      <c r="E130" s="590">
        <f>'3C6 FE'!F35</f>
        <v>0</v>
      </c>
      <c r="F130" s="590">
        <f t="shared" si="15"/>
        <v>1095921</v>
      </c>
      <c r="G130" s="590">
        <f>'GEI 3A1_3A2 (N1) '!G78</f>
        <v>0</v>
      </c>
      <c r="H130" s="596"/>
      <c r="I130" s="590">
        <f t="shared" si="16"/>
        <v>0</v>
      </c>
    </row>
    <row r="131" spans="2:9" ht="15.75" thickBot="1">
      <c r="B131" s="1634"/>
      <c r="C131" s="574" t="s">
        <v>36</v>
      </c>
      <c r="D131" s="590">
        <f>'GEI 3A1_3A2 (N1) '!H79</f>
        <v>55595195.86161523</v>
      </c>
      <c r="E131" s="590">
        <f>'3C6 FE'!F36</f>
        <v>50</v>
      </c>
      <c r="F131" s="590">
        <f t="shared" si="15"/>
        <v>52662900.840135574</v>
      </c>
      <c r="G131" s="590">
        <f>'GEI 3A1_3A2 (N1) '!G79</f>
        <v>0.9</v>
      </c>
      <c r="H131" s="596"/>
      <c r="I131" s="590">
        <f t="shared" si="16"/>
        <v>27797597.930807617</v>
      </c>
    </row>
    <row r="132" spans="2:9" ht="15.75" thickBot="1">
      <c r="B132" s="1632"/>
      <c r="C132" s="574" t="s">
        <v>68</v>
      </c>
      <c r="D132" s="590">
        <f>'GEI 3A1_3A2 (N1) '!H80</f>
        <v>0</v>
      </c>
      <c r="E132" s="590">
        <f>'3C6 FE'!F37</f>
        <v>0</v>
      </c>
      <c r="F132" s="590">
        <f t="shared" si="15"/>
        <v>3971222.8514355808</v>
      </c>
      <c r="G132" s="590">
        <f>'GEI 3A1_3A2 (N1) '!G80</f>
        <v>0</v>
      </c>
      <c r="H132" s="596"/>
      <c r="I132" s="590">
        <f t="shared" si="16"/>
        <v>0</v>
      </c>
    </row>
    <row r="133" spans="2:9" ht="15.75" thickBot="1">
      <c r="B133" s="1635" t="s">
        <v>15</v>
      </c>
      <c r="C133" s="1636"/>
      <c r="D133" s="576"/>
      <c r="E133" s="570"/>
      <c r="F133" s="570"/>
      <c r="G133" s="570"/>
      <c r="H133" s="570"/>
      <c r="I133" s="591">
        <f>+SUM(I122:I132)</f>
        <v>27797597.930807617</v>
      </c>
    </row>
    <row r="134" spans="2:9" ht="16.5" thickBot="1" thickTop="1">
      <c r="B134" s="1633" t="s">
        <v>139</v>
      </c>
      <c r="C134" s="574" t="s">
        <v>118</v>
      </c>
      <c r="D134" s="590">
        <f>'GEI 3A1_3A2 (N1) '!H82</f>
        <v>0</v>
      </c>
      <c r="E134" s="590">
        <f>'3C6 FE'!G27</f>
        <v>0</v>
      </c>
      <c r="F134" s="590">
        <f>+F86</f>
        <v>905818</v>
      </c>
      <c r="G134" s="590">
        <f>'GEI 3A1_3A2 (N1) '!G82</f>
        <v>0</v>
      </c>
      <c r="H134" s="596"/>
      <c r="I134" s="590">
        <f>D134*(1-(E134/100))+F134*G134*H134</f>
        <v>0</v>
      </c>
    </row>
    <row r="135" spans="2:9" ht="17.25" customHeight="1" thickBot="1">
      <c r="B135" s="1634"/>
      <c r="C135" s="574" t="s">
        <v>1082</v>
      </c>
      <c r="D135" s="590">
        <f>'GEI 3A1_3A2 (N1) '!H83</f>
        <v>0</v>
      </c>
      <c r="E135" s="590">
        <f>'3C6 FE'!G28</f>
        <v>0</v>
      </c>
      <c r="F135" s="590">
        <f aca="true" t="shared" si="17" ref="F135:F144">+F87</f>
        <v>4694075</v>
      </c>
      <c r="G135" s="590">
        <f>'GEI 3A1_3A2 (N1) '!G83</f>
        <v>0</v>
      </c>
      <c r="H135" s="596"/>
      <c r="I135" s="590">
        <f aca="true" t="shared" si="18" ref="I135:I144">D135*(1-(E135/100))+F135*G135*H135</f>
        <v>0</v>
      </c>
    </row>
    <row r="136" spans="2:9" ht="15.75" thickBot="1">
      <c r="B136" s="1634"/>
      <c r="C136" s="574" t="s">
        <v>40</v>
      </c>
      <c r="D136" s="590">
        <f>'GEI 3A1_3A2 (N1) '!H84</f>
        <v>0</v>
      </c>
      <c r="E136" s="590">
        <f>'3C6 FE'!G29</f>
        <v>0</v>
      </c>
      <c r="F136" s="590">
        <f t="shared" si="17"/>
        <v>11371639</v>
      </c>
      <c r="G136" s="590">
        <f>'GEI 3A1_3A2 (N1) '!G84</f>
        <v>0</v>
      </c>
      <c r="H136" s="596"/>
      <c r="I136" s="590">
        <f t="shared" si="18"/>
        <v>0</v>
      </c>
    </row>
    <row r="137" spans="2:9" ht="15.75" thickBot="1">
      <c r="B137" s="1634"/>
      <c r="C137" s="574" t="s">
        <v>39</v>
      </c>
      <c r="D137" s="590">
        <f>'GEI 3A1_3A2 (N1) '!H85</f>
        <v>0</v>
      </c>
      <c r="E137" s="590">
        <f>'3C6 FE'!G30</f>
        <v>0</v>
      </c>
      <c r="F137" s="590">
        <f t="shared" si="17"/>
        <v>1801882</v>
      </c>
      <c r="G137" s="590">
        <f>'GEI 3A1_3A2 (N1) '!G85</f>
        <v>0</v>
      </c>
      <c r="H137" s="596"/>
      <c r="I137" s="590">
        <f t="shared" si="18"/>
        <v>0</v>
      </c>
    </row>
    <row r="138" spans="2:9" ht="15.75" thickBot="1">
      <c r="B138" s="1634"/>
      <c r="C138" s="574" t="s">
        <v>66</v>
      </c>
      <c r="D138" s="590">
        <f>'GEI 3A1_3A2 (N1) '!H86</f>
        <v>0</v>
      </c>
      <c r="E138" s="590">
        <f>'3C6 FE'!G31</f>
        <v>0</v>
      </c>
      <c r="F138" s="590">
        <f t="shared" si="17"/>
        <v>478241.719092125</v>
      </c>
      <c r="G138" s="590">
        <f>'GEI 3A1_3A2 (N1) '!G86</f>
        <v>0</v>
      </c>
      <c r="H138" s="596"/>
      <c r="I138" s="590">
        <f t="shared" si="18"/>
        <v>0</v>
      </c>
    </row>
    <row r="139" spans="2:9" ht="15.75" thickBot="1">
      <c r="B139" s="1634"/>
      <c r="C139" s="574" t="s">
        <v>109</v>
      </c>
      <c r="D139" s="590">
        <f>'GEI 3A1_3A2 (N1) '!H87</f>
        <v>0</v>
      </c>
      <c r="E139" s="590">
        <f>'3C6 FE'!G32</f>
        <v>0</v>
      </c>
      <c r="F139" s="590">
        <f t="shared" si="17"/>
        <v>541066.206435821</v>
      </c>
      <c r="G139" s="590">
        <f>'GEI 3A1_3A2 (N1) '!G87</f>
        <v>0</v>
      </c>
      <c r="H139" s="596"/>
      <c r="I139" s="590">
        <f t="shared" si="18"/>
        <v>0</v>
      </c>
    </row>
    <row r="140" spans="2:9" ht="15.75" thickBot="1">
      <c r="B140" s="1634"/>
      <c r="C140" s="574" t="s">
        <v>41</v>
      </c>
      <c r="D140" s="590">
        <f>'GEI 3A1_3A2 (N1) '!H88</f>
        <v>0</v>
      </c>
      <c r="E140" s="590">
        <f>'3C6 FE'!G33</f>
        <v>0</v>
      </c>
      <c r="F140" s="590">
        <f t="shared" si="17"/>
        <v>940552.0273972602</v>
      </c>
      <c r="G140" s="590">
        <f>'GEI 3A1_3A2 (N1) '!G88</f>
        <v>0</v>
      </c>
      <c r="H140" s="596"/>
      <c r="I140" s="590">
        <f t="shared" si="18"/>
        <v>0</v>
      </c>
    </row>
    <row r="141" spans="2:9" ht="15.75" thickBot="1">
      <c r="B141" s="1634"/>
      <c r="C141" s="574" t="s">
        <v>37</v>
      </c>
      <c r="D141" s="590">
        <f>'GEI 3A1_3A2 (N1) '!H89</f>
        <v>0</v>
      </c>
      <c r="E141" s="590">
        <f>'3C6 FE'!G34</f>
        <v>0</v>
      </c>
      <c r="F141" s="590">
        <f t="shared" si="17"/>
        <v>4456049</v>
      </c>
      <c r="G141" s="590">
        <f>'GEI 3A1_3A2 (N1) '!G89</f>
        <v>0</v>
      </c>
      <c r="H141" s="596"/>
      <c r="I141" s="590">
        <f t="shared" si="18"/>
        <v>0</v>
      </c>
    </row>
    <row r="142" spans="2:9" ht="15.75" thickBot="1">
      <c r="B142" s="1634"/>
      <c r="C142" s="574" t="s">
        <v>38</v>
      </c>
      <c r="D142" s="590">
        <f>'GEI 3A1_3A2 (N1) '!H90</f>
        <v>0</v>
      </c>
      <c r="E142" s="590">
        <f>'3C6 FE'!G35</f>
        <v>0</v>
      </c>
      <c r="F142" s="590">
        <f t="shared" si="17"/>
        <v>1095921</v>
      </c>
      <c r="G142" s="590">
        <f>'GEI 3A1_3A2 (N1) '!G90</f>
        <v>0</v>
      </c>
      <c r="H142" s="596"/>
      <c r="I142" s="590">
        <f t="shared" si="18"/>
        <v>0</v>
      </c>
    </row>
    <row r="143" spans="2:9" ht="15.75" thickBot="1">
      <c r="B143" s="1634"/>
      <c r="C143" s="574" t="s">
        <v>36</v>
      </c>
      <c r="D143" s="590">
        <f>'GEI 3A1_3A2 (N1) '!H91</f>
        <v>6177243.9846239155</v>
      </c>
      <c r="E143" s="590">
        <f>'3C6 FE'!G36</f>
        <v>55.00000000000001</v>
      </c>
      <c r="F143" s="590">
        <f t="shared" si="17"/>
        <v>52662900.840135574</v>
      </c>
      <c r="G143" s="590">
        <f>'GEI 3A1_3A2 (N1) '!G91</f>
        <v>0.1</v>
      </c>
      <c r="H143" s="596"/>
      <c r="I143" s="590">
        <f t="shared" si="18"/>
        <v>2779759.7930807616</v>
      </c>
    </row>
    <row r="144" spans="2:9" ht="15.75" thickBot="1">
      <c r="B144" s="1632"/>
      <c r="C144" s="574" t="s">
        <v>68</v>
      </c>
      <c r="D144" s="590">
        <f>'GEI 3A1_3A2 (N1) '!H92</f>
        <v>0</v>
      </c>
      <c r="E144" s="590">
        <f>'3C6 FE'!G37</f>
        <v>0</v>
      </c>
      <c r="F144" s="590">
        <f t="shared" si="17"/>
        <v>3971222.8514355808</v>
      </c>
      <c r="G144" s="590">
        <f>'GEI 3A1_3A2 (N1) '!G92</f>
        <v>0</v>
      </c>
      <c r="H144" s="596"/>
      <c r="I144" s="590">
        <f t="shared" si="18"/>
        <v>0</v>
      </c>
    </row>
    <row r="145" spans="2:9" ht="15.75" thickBot="1">
      <c r="B145" s="1635" t="s">
        <v>15</v>
      </c>
      <c r="C145" s="1636"/>
      <c r="D145" s="576"/>
      <c r="E145" s="570"/>
      <c r="F145" s="570"/>
      <c r="G145" s="570"/>
      <c r="H145" s="570"/>
      <c r="I145" s="591">
        <f>+SUM(I134:I144)</f>
        <v>2779759.7930807616</v>
      </c>
    </row>
    <row r="146" spans="2:9" ht="15.75" thickBot="1">
      <c r="B146" s="1635" t="s">
        <v>2</v>
      </c>
      <c r="C146" s="1636"/>
      <c r="D146" s="576"/>
      <c r="E146" s="570"/>
      <c r="F146" s="570"/>
      <c r="G146" s="570"/>
      <c r="H146" s="570"/>
      <c r="I146" s="591">
        <f>+I97+I109+I121+I133+I145</f>
        <v>84043470.37422732</v>
      </c>
    </row>
    <row r="147" spans="2:9" s="307" customFormat="1" ht="27" customHeight="1">
      <c r="B147" s="1649" t="s">
        <v>1238</v>
      </c>
      <c r="C147" s="1650"/>
      <c r="D147" s="1650"/>
      <c r="E147" s="1650"/>
      <c r="F147" s="1650"/>
      <c r="G147" s="1650"/>
      <c r="H147" s="1650"/>
      <c r="I147" s="1651"/>
    </row>
    <row r="148" spans="2:9" s="307" customFormat="1" ht="27.75" customHeight="1">
      <c r="B148" s="1652" t="s">
        <v>1239</v>
      </c>
      <c r="C148" s="1653"/>
      <c r="D148" s="1653"/>
      <c r="E148" s="1653"/>
      <c r="F148" s="1653"/>
      <c r="G148" s="1653"/>
      <c r="H148" s="1653"/>
      <c r="I148" s="1654"/>
    </row>
    <row r="149" spans="2:9" s="307" customFormat="1" ht="15" thickBot="1">
      <c r="B149" s="1656" t="s">
        <v>1240</v>
      </c>
      <c r="C149" s="1657"/>
      <c r="D149" s="1657"/>
      <c r="E149" s="1657"/>
      <c r="F149" s="1657"/>
      <c r="G149" s="1657"/>
      <c r="H149" s="1657"/>
      <c r="I149" s="1658"/>
    </row>
  </sheetData>
  <mergeCells count="59">
    <mergeCell ref="B77:C77"/>
    <mergeCell ref="D77:I77"/>
    <mergeCell ref="B82:B84"/>
    <mergeCell ref="C82:C84"/>
    <mergeCell ref="B149:I149"/>
    <mergeCell ref="B134:B144"/>
    <mergeCell ref="B145:C145"/>
    <mergeCell ref="B146:C146"/>
    <mergeCell ref="B79:C79"/>
    <mergeCell ref="D79:I79"/>
    <mergeCell ref="B80:C80"/>
    <mergeCell ref="D80:I80"/>
    <mergeCell ref="B86:B96"/>
    <mergeCell ref="B97:C97"/>
    <mergeCell ref="B110:B120"/>
    <mergeCell ref="B121:C121"/>
    <mergeCell ref="B122:B132"/>
    <mergeCell ref="B133:C133"/>
    <mergeCell ref="B98:B108"/>
    <mergeCell ref="B109:C109"/>
    <mergeCell ref="D78:I78"/>
    <mergeCell ref="B147:I147"/>
    <mergeCell ref="B148:I148"/>
    <mergeCell ref="I8:I11"/>
    <mergeCell ref="B72:C72"/>
    <mergeCell ref="B81:C81"/>
    <mergeCell ref="B78:C78"/>
    <mergeCell ref="B75:H75"/>
    <mergeCell ref="D81:I81"/>
    <mergeCell ref="B24:B34"/>
    <mergeCell ref="B35:C35"/>
    <mergeCell ref="B73:H73"/>
    <mergeCell ref="B74:H74"/>
    <mergeCell ref="B7:B10"/>
    <mergeCell ref="C7:C10"/>
    <mergeCell ref="D9:D10"/>
    <mergeCell ref="E9:E10"/>
    <mergeCell ref="B5:C5"/>
    <mergeCell ref="B6:C6"/>
    <mergeCell ref="E6:F6"/>
    <mergeCell ref="G6:H6"/>
    <mergeCell ref="D5:I5"/>
    <mergeCell ref="I6:I7"/>
    <mergeCell ref="B2:C2"/>
    <mergeCell ref="B3:C3"/>
    <mergeCell ref="B4:C4"/>
    <mergeCell ref="D2:I2"/>
    <mergeCell ref="D3:I3"/>
    <mergeCell ref="D4:I4"/>
    <mergeCell ref="H9:H10"/>
    <mergeCell ref="B60:B70"/>
    <mergeCell ref="B71:C71"/>
    <mergeCell ref="G9:G10"/>
    <mergeCell ref="B36:B46"/>
    <mergeCell ref="B47:C47"/>
    <mergeCell ref="B48:B58"/>
    <mergeCell ref="B59:C59"/>
    <mergeCell ref="B12:B22"/>
    <mergeCell ref="B23:C23"/>
  </mergeCells>
  <printOptions/>
  <pageMargins left="0.7" right="0.7" top="0.75" bottom="0.75" header="0.3" footer="0.3"/>
  <pageSetup horizontalDpi="600" verticalDpi="600" orientation="portrait" paperSize="0" copie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D9D9D9"/>
  </sheetPr>
  <dimension ref="B2:M45"/>
  <sheetViews>
    <sheetView zoomScale="90" zoomScaleNormal="90" workbookViewId="0" topLeftCell="A1">
      <selection activeCell="N11" sqref="N11"/>
    </sheetView>
  </sheetViews>
  <sheetFormatPr defaultColWidth="10.8515625" defaultRowHeight="15"/>
  <cols>
    <col min="1" max="1" width="2.8515625" style="0" customWidth="1"/>
    <col min="2" max="2" width="18.8515625" style="0" customWidth="1"/>
    <col min="3" max="3" width="26.7109375" style="0" customWidth="1"/>
    <col min="4" max="11" width="16.7109375" style="0" customWidth="1"/>
  </cols>
  <sheetData>
    <row r="1" ht="15" customHeight="1" thickBot="1"/>
    <row r="2" spans="2:13" ht="15.75" thickBot="1">
      <c r="B2" s="557" t="s">
        <v>0</v>
      </c>
      <c r="C2" s="1639" t="s">
        <v>381</v>
      </c>
      <c r="D2" s="1640"/>
      <c r="E2" s="1640"/>
      <c r="F2" s="1640"/>
      <c r="G2" s="1640"/>
      <c r="H2" s="1640"/>
      <c r="I2" s="1640"/>
      <c r="J2" s="1640"/>
      <c r="K2" s="1641"/>
      <c r="M2" t="s">
        <v>695</v>
      </c>
    </row>
    <row r="3" spans="2:11" ht="18.75" thickBot="1">
      <c r="B3" s="558" t="s">
        <v>363</v>
      </c>
      <c r="C3" s="1639" t="s">
        <v>1181</v>
      </c>
      <c r="D3" s="1640"/>
      <c r="E3" s="1640"/>
      <c r="F3" s="1640"/>
      <c r="G3" s="1640"/>
      <c r="H3" s="1640"/>
      <c r="I3" s="1640"/>
      <c r="J3" s="1640"/>
      <c r="K3" s="1641"/>
    </row>
    <row r="4" spans="2:11" ht="30.75" thickBot="1">
      <c r="B4" s="558" t="s">
        <v>879</v>
      </c>
      <c r="C4" s="1639" t="s">
        <v>32</v>
      </c>
      <c r="D4" s="1640"/>
      <c r="E4" s="1640"/>
      <c r="F4" s="1640"/>
      <c r="G4" s="1640"/>
      <c r="H4" s="1640"/>
      <c r="I4" s="1640"/>
      <c r="J4" s="1640"/>
      <c r="K4" s="1641"/>
    </row>
    <row r="5" spans="2:11" ht="15.75" thickBot="1">
      <c r="B5" s="558" t="s">
        <v>793</v>
      </c>
      <c r="C5" s="1639" t="s">
        <v>825</v>
      </c>
      <c r="D5" s="1640"/>
      <c r="E5" s="1640"/>
      <c r="F5" s="1640"/>
      <c r="G5" s="1640"/>
      <c r="H5" s="1640"/>
      <c r="I5" s="1640"/>
      <c r="J5" s="1640"/>
      <c r="K5" s="1641"/>
    </row>
    <row r="6" spans="2:11" ht="15.75" thickBot="1">
      <c r="B6" s="559" t="s">
        <v>795</v>
      </c>
      <c r="C6" s="560" t="s">
        <v>827</v>
      </c>
      <c r="D6" s="1644" t="s">
        <v>983</v>
      </c>
      <c r="E6" s="1660"/>
      <c r="F6" s="1665" t="s">
        <v>984</v>
      </c>
      <c r="G6" s="1659"/>
      <c r="H6" s="1645"/>
      <c r="I6" s="1644" t="s">
        <v>985</v>
      </c>
      <c r="J6" s="1659"/>
      <c r="K6" s="1660"/>
    </row>
    <row r="7" spans="2:11" ht="90.75" customHeight="1" thickBot="1">
      <c r="B7" s="1631" t="s">
        <v>986</v>
      </c>
      <c r="C7" s="1631" t="s">
        <v>1182</v>
      </c>
      <c r="D7" s="561" t="s">
        <v>987</v>
      </c>
      <c r="E7" s="561" t="s">
        <v>988</v>
      </c>
      <c r="F7" s="561" t="s">
        <v>989</v>
      </c>
      <c r="G7" s="561" t="s">
        <v>990</v>
      </c>
      <c r="H7" s="561" t="s">
        <v>1163</v>
      </c>
      <c r="I7" s="561" t="s">
        <v>991</v>
      </c>
      <c r="J7" s="561" t="s">
        <v>992</v>
      </c>
      <c r="K7" s="561" t="s">
        <v>993</v>
      </c>
    </row>
    <row r="8" spans="2:11" ht="19.5" thickBot="1">
      <c r="B8" s="1634"/>
      <c r="C8" s="1634"/>
      <c r="D8" s="562" t="s">
        <v>1183</v>
      </c>
      <c r="E8" s="562" t="s">
        <v>994</v>
      </c>
      <c r="F8" s="562" t="s">
        <v>1184</v>
      </c>
      <c r="G8" s="562" t="s">
        <v>5</v>
      </c>
      <c r="H8" s="562" t="s">
        <v>5</v>
      </c>
      <c r="I8" s="562" t="s">
        <v>1185</v>
      </c>
      <c r="J8" s="562" t="s">
        <v>5</v>
      </c>
      <c r="K8" s="562" t="s">
        <v>5</v>
      </c>
    </row>
    <row r="9" spans="2:11" ht="18">
      <c r="B9" s="1634"/>
      <c r="C9" s="1634"/>
      <c r="D9" s="1631"/>
      <c r="E9" s="1631"/>
      <c r="F9" s="1631" t="s">
        <v>995</v>
      </c>
      <c r="G9" s="1631" t="s">
        <v>996</v>
      </c>
      <c r="H9" s="1631" t="s">
        <v>997</v>
      </c>
      <c r="I9" s="1631"/>
      <c r="J9" s="1631" t="s">
        <v>998</v>
      </c>
      <c r="K9" s="563" t="s">
        <v>1186</v>
      </c>
    </row>
    <row r="10" spans="2:11" ht="37.5" thickBot="1">
      <c r="B10" s="1634"/>
      <c r="C10" s="1634"/>
      <c r="D10" s="1632"/>
      <c r="E10" s="1632"/>
      <c r="F10" s="1632"/>
      <c r="G10" s="1632"/>
      <c r="H10" s="1632"/>
      <c r="I10" s="1632"/>
      <c r="J10" s="1632"/>
      <c r="K10" s="562" t="s">
        <v>1187</v>
      </c>
    </row>
    <row r="11" spans="2:11" ht="18.75" thickBot="1">
      <c r="B11" s="1668"/>
      <c r="C11" s="1668"/>
      <c r="D11" s="564" t="s">
        <v>10</v>
      </c>
      <c r="E11" s="564" t="s">
        <v>33</v>
      </c>
      <c r="F11" s="564" t="s">
        <v>1188</v>
      </c>
      <c r="G11" s="564" t="s">
        <v>1189</v>
      </c>
      <c r="H11" s="564" t="s">
        <v>1190</v>
      </c>
      <c r="I11" s="564" t="s">
        <v>1191</v>
      </c>
      <c r="J11" s="564" t="s">
        <v>1192</v>
      </c>
      <c r="K11" s="564" t="s">
        <v>1193</v>
      </c>
    </row>
    <row r="12" spans="2:11" ht="31.5" thickBot="1" thickTop="1">
      <c r="B12" s="1669" t="s">
        <v>999</v>
      </c>
      <c r="C12" s="565" t="str">
        <f>+'[2]3C7 FACTORES DE EMISIÓN'!B12</f>
        <v xml:space="preserve">Inundados permanentemente </v>
      </c>
      <c r="D12" s="566">
        <f>'IP 3C7'!D42</f>
        <v>173918.90350000001</v>
      </c>
      <c r="E12" s="566">
        <f>'IP 3C7'!$C$52</f>
        <v>133.63598847300915</v>
      </c>
      <c r="F12" s="566">
        <f>'3C7 FE'!C7</f>
        <v>1.27</v>
      </c>
      <c r="G12" s="566">
        <f>'3C7 FE'!D13</f>
        <v>1</v>
      </c>
      <c r="H12" s="566">
        <f>'3C7 FE'!D24</f>
        <v>1.22</v>
      </c>
      <c r="I12" s="566">
        <v>0</v>
      </c>
      <c r="J12" s="566">
        <v>0</v>
      </c>
      <c r="K12" s="567">
        <f>+POWER((1+I12*J12),0.59)</f>
        <v>1</v>
      </c>
    </row>
    <row r="13" spans="2:11" ht="15.75" thickBot="1">
      <c r="B13" s="1670"/>
      <c r="C13" s="565" t="str">
        <f>+'[2]3C7 FACTORES DE EMISIÓN'!B13</f>
        <v xml:space="preserve">Periodo de drenaje simple </v>
      </c>
      <c r="D13" s="568">
        <f>'IP 3C7'!D43</f>
        <v>14844.20975</v>
      </c>
      <c r="E13" s="566">
        <f>'IP 3C7'!$C$52</f>
        <v>133.63598847300915</v>
      </c>
      <c r="F13" s="566">
        <f>'3C7 FE'!C7</f>
        <v>1.27</v>
      </c>
      <c r="G13" s="566">
        <f>'3C7 FE'!D14</f>
        <v>0.71</v>
      </c>
      <c r="H13" s="566">
        <f>'3C7 FE'!D24</f>
        <v>1.22</v>
      </c>
      <c r="I13" s="566">
        <v>0</v>
      </c>
      <c r="J13" s="566">
        <v>0</v>
      </c>
      <c r="K13" s="567">
        <f>+POWER((1+I13*J13),0.59)</f>
        <v>1</v>
      </c>
    </row>
    <row r="14" spans="2:11" ht="15.75" thickBot="1">
      <c r="B14" s="1670"/>
      <c r="C14" s="565" t="str">
        <f>+'[2]3C7 FACTORES DE EMISIÓN'!B14</f>
        <v>Periodo de drenaje multiple</v>
      </c>
      <c r="D14" s="568">
        <f>'IP 3C7'!D44</f>
        <v>224777.5515</v>
      </c>
      <c r="E14" s="566">
        <f>'IP 3C7'!$C$52</f>
        <v>133.63598847300915</v>
      </c>
      <c r="F14" s="566">
        <f>'3C7 FE'!C7</f>
        <v>1.27</v>
      </c>
      <c r="G14" s="566">
        <f>'3C7 FE'!D15</f>
        <v>0.55</v>
      </c>
      <c r="H14" s="566">
        <f>'3C7 FE'!D24</f>
        <v>1.22</v>
      </c>
      <c r="I14" s="566">
        <v>0</v>
      </c>
      <c r="J14" s="566">
        <v>0</v>
      </c>
      <c r="K14" s="567">
        <f aca="true" t="shared" si="0" ref="K14:K20">+POWER((1+I14*J14),0.59)</f>
        <v>1</v>
      </c>
    </row>
    <row r="15" spans="2:11" ht="15.75" thickBot="1">
      <c r="B15" s="1671"/>
      <c r="C15" s="569" t="s">
        <v>34</v>
      </c>
      <c r="D15" s="570">
        <f>SUM(D12:D14)</f>
        <v>413540.66475</v>
      </c>
      <c r="E15" s="570"/>
      <c r="F15" s="570"/>
      <c r="G15" s="570"/>
      <c r="H15" s="570"/>
      <c r="I15" s="570"/>
      <c r="J15" s="570"/>
      <c r="K15" s="571"/>
    </row>
    <row r="16" spans="2:11" ht="15.75" customHeight="1" thickBot="1">
      <c r="B16" s="1672" t="s">
        <v>1000</v>
      </c>
      <c r="C16" s="565" t="str">
        <f>+'[2]3C7 INFO PROCESADA'!C11</f>
        <v>Anegadizos</v>
      </c>
      <c r="D16" s="566">
        <f>'IP 3C7'!D45</f>
        <v>1497.6452</v>
      </c>
      <c r="E16" s="566">
        <f>'IP 3C7'!$C$52</f>
        <v>133.63598847300915</v>
      </c>
      <c r="F16" s="566">
        <f>'3C7 FE'!C7</f>
        <v>1.27</v>
      </c>
      <c r="G16" s="566">
        <f>'3C7 FE'!D16</f>
        <v>0.54</v>
      </c>
      <c r="H16" s="566">
        <f>'3C7 FE'!D24</f>
        <v>1.22</v>
      </c>
      <c r="I16" s="566">
        <v>0</v>
      </c>
      <c r="J16" s="566">
        <v>0</v>
      </c>
      <c r="K16" s="567">
        <f t="shared" si="0"/>
        <v>1</v>
      </c>
    </row>
    <row r="17" spans="2:11" ht="15.75" thickBot="1">
      <c r="B17" s="1670"/>
      <c r="C17" s="565" t="str">
        <f>+'[2]3C7 INFO PROCESADA'!C12</f>
        <v>Expuesto a la sequía</v>
      </c>
      <c r="D17" s="566">
        <f>'IP 3C7'!D46</f>
        <v>0</v>
      </c>
      <c r="E17" s="566">
        <f>'IP 3C7'!$C$52</f>
        <v>133.63598847300915</v>
      </c>
      <c r="F17" s="566">
        <f>'3C7 FE'!C7</f>
        <v>1.27</v>
      </c>
      <c r="G17" s="566">
        <f>'3C7 FE'!D17</f>
        <v>0.16</v>
      </c>
      <c r="H17" s="566">
        <f>'3C7 FE'!D24</f>
        <v>1.22</v>
      </c>
      <c r="I17" s="566">
        <v>0</v>
      </c>
      <c r="J17" s="566">
        <v>0</v>
      </c>
      <c r="K17" s="567">
        <f t="shared" si="0"/>
        <v>1</v>
      </c>
    </row>
    <row r="18" spans="2:11" ht="15.75" thickBot="1">
      <c r="B18" s="1670"/>
      <c r="C18" s="565" t="str">
        <f>+'[2]3C7 INFO PROCESADA'!C13</f>
        <v>Aguas profundas</v>
      </c>
      <c r="D18" s="566">
        <f>'IP 3C7'!D47</f>
        <v>0</v>
      </c>
      <c r="E18" s="566">
        <f>'IP 3C7'!$C$52</f>
        <v>133.63598847300915</v>
      </c>
      <c r="F18" s="572">
        <f>'3C7 FE'!C7</f>
        <v>1.27</v>
      </c>
      <c r="G18" s="566">
        <f>'3C7 FE'!D18</f>
        <v>0.06</v>
      </c>
      <c r="H18" s="566">
        <f>'3C7 FE'!D24</f>
        <v>1.22</v>
      </c>
      <c r="I18" s="566">
        <v>0</v>
      </c>
      <c r="J18" s="566">
        <v>0</v>
      </c>
      <c r="K18" s="567">
        <f t="shared" si="0"/>
        <v>1</v>
      </c>
    </row>
    <row r="19" spans="2:11" ht="15.75" thickBot="1">
      <c r="B19" s="1671"/>
      <c r="C19" s="569" t="s">
        <v>34</v>
      </c>
      <c r="D19" s="570">
        <f>SUM(D16:D18)</f>
        <v>1497.6452</v>
      </c>
      <c r="E19" s="571"/>
      <c r="F19" s="573"/>
      <c r="G19" s="573"/>
      <c r="H19" s="573"/>
      <c r="I19" s="573"/>
      <c r="J19" s="573"/>
      <c r="K19" s="571"/>
    </row>
    <row r="20" spans="2:11" ht="15.75" thickBot="1">
      <c r="B20" s="1666" t="s">
        <v>332</v>
      </c>
      <c r="C20" s="574" t="s">
        <v>143</v>
      </c>
      <c r="D20" s="575">
        <f>'IP 3C7'!D41</f>
        <v>0</v>
      </c>
      <c r="E20" s="566">
        <f>'IP 3C7'!$C$52</f>
        <v>133.63598847300915</v>
      </c>
      <c r="F20" s="575">
        <f>'3C7 FE'!C7</f>
        <v>1.27</v>
      </c>
      <c r="G20" s="575">
        <f>'3C7 FE'!D12</f>
        <v>0</v>
      </c>
      <c r="H20" s="566">
        <f>'3C7 FE'!D24</f>
        <v>1.22</v>
      </c>
      <c r="I20" s="566">
        <v>0</v>
      </c>
      <c r="J20" s="566">
        <v>0</v>
      </c>
      <c r="K20" s="567">
        <f t="shared" si="0"/>
        <v>1</v>
      </c>
    </row>
    <row r="21" spans="2:11" ht="15.75" thickBot="1">
      <c r="B21" s="1667"/>
      <c r="C21" s="569" t="s">
        <v>34</v>
      </c>
      <c r="D21" s="570">
        <f>SUM(D20)</f>
        <v>0</v>
      </c>
      <c r="E21" s="570"/>
      <c r="F21" s="570"/>
      <c r="G21" s="570"/>
      <c r="H21" s="570"/>
      <c r="I21" s="570"/>
      <c r="J21" s="570"/>
      <c r="K21" s="570"/>
    </row>
    <row r="22" spans="2:11" ht="15.75" thickBot="1">
      <c r="B22" s="1635" t="s">
        <v>2</v>
      </c>
      <c r="C22" s="1636"/>
      <c r="D22" s="576">
        <f>D15+D19+D21</f>
        <v>415038.30995</v>
      </c>
      <c r="E22" s="576"/>
      <c r="F22" s="576"/>
      <c r="G22" s="576"/>
      <c r="H22" s="576"/>
      <c r="I22" s="576"/>
      <c r="J22" s="576"/>
      <c r="K22" s="576"/>
    </row>
    <row r="23" spans="2:11" s="307" customFormat="1" ht="16.5" customHeight="1" thickBot="1">
      <c r="B23" s="1662" t="s">
        <v>1203</v>
      </c>
      <c r="C23" s="1663"/>
      <c r="D23" s="1663"/>
      <c r="E23" s="1663"/>
      <c r="F23" s="1663"/>
      <c r="G23" s="1663"/>
      <c r="H23" s="1663"/>
      <c r="I23" s="1663"/>
      <c r="J23" s="1663"/>
      <c r="K23" s="1664"/>
    </row>
    <row r="24" ht="15.75" thickBot="1"/>
    <row r="25" spans="2:6" ht="15.75" thickBot="1">
      <c r="B25" s="577" t="s">
        <v>0</v>
      </c>
      <c r="C25" s="1639" t="s">
        <v>381</v>
      </c>
      <c r="D25" s="1640"/>
      <c r="E25" s="1640"/>
      <c r="F25" s="1641"/>
    </row>
    <row r="26" spans="2:6" ht="17.25" thickBot="1">
      <c r="B26" s="578" t="s">
        <v>363</v>
      </c>
      <c r="C26" s="1639" t="s">
        <v>1194</v>
      </c>
      <c r="D26" s="1640"/>
      <c r="E26" s="1640"/>
      <c r="F26" s="1641"/>
    </row>
    <row r="27" spans="2:6" ht="15.75" thickBot="1">
      <c r="B27" s="578" t="s">
        <v>879</v>
      </c>
      <c r="C27" s="1639" t="s">
        <v>32</v>
      </c>
      <c r="D27" s="1640"/>
      <c r="E27" s="1640"/>
      <c r="F27" s="1661"/>
    </row>
    <row r="28" spans="2:6" ht="15.75" thickBot="1">
      <c r="B28" s="578" t="s">
        <v>793</v>
      </c>
      <c r="C28" s="1639" t="s">
        <v>866</v>
      </c>
      <c r="D28" s="1640"/>
      <c r="E28" s="1640"/>
      <c r="F28" s="1641"/>
    </row>
    <row r="29" spans="2:6" ht="15.75" thickBot="1">
      <c r="B29" s="559" t="s">
        <v>795</v>
      </c>
      <c r="C29" s="560" t="s">
        <v>827</v>
      </c>
      <c r="D29" s="1644" t="s">
        <v>984</v>
      </c>
      <c r="E29" s="1660"/>
      <c r="F29" s="560" t="s">
        <v>1162</v>
      </c>
    </row>
    <row r="30" spans="2:6" ht="75.75" thickBot="1">
      <c r="B30" s="1631" t="s">
        <v>986</v>
      </c>
      <c r="C30" s="1631" t="s">
        <v>1182</v>
      </c>
      <c r="D30" s="561" t="s">
        <v>1001</v>
      </c>
      <c r="E30" s="561" t="s">
        <v>1002</v>
      </c>
      <c r="F30" s="561" t="s">
        <v>1195</v>
      </c>
    </row>
    <row r="31" spans="2:6" ht="19.5" thickBot="1">
      <c r="B31" s="1634"/>
      <c r="C31" s="1634"/>
      <c r="D31" s="579" t="s">
        <v>5</v>
      </c>
      <c r="E31" s="579" t="s">
        <v>1196</v>
      </c>
      <c r="F31" s="579" t="s">
        <v>1197</v>
      </c>
    </row>
    <row r="32" spans="2:6" ht="37.5" thickBot="1">
      <c r="B32" s="1634"/>
      <c r="C32" s="1634"/>
      <c r="D32" s="579"/>
      <c r="E32" s="579" t="s">
        <v>1198</v>
      </c>
      <c r="F32" s="579" t="s">
        <v>1199</v>
      </c>
    </row>
    <row r="33" spans="2:6" ht="18.75" thickBot="1">
      <c r="B33" s="1668"/>
      <c r="C33" s="1668"/>
      <c r="D33" s="564" t="s">
        <v>1200</v>
      </c>
      <c r="E33" s="564" t="s">
        <v>1201</v>
      </c>
      <c r="F33" s="564" t="s">
        <v>1202</v>
      </c>
    </row>
    <row r="34" spans="2:6" ht="31.5" thickBot="1" thickTop="1">
      <c r="B34" s="1676" t="s">
        <v>303</v>
      </c>
      <c r="C34" s="580" t="str">
        <f>C12</f>
        <v xml:space="preserve">Inundados permanentemente </v>
      </c>
      <c r="D34" s="576"/>
      <c r="E34" s="567">
        <f>F12*G12*H12*K12</f>
        <v>1.5493999999999999</v>
      </c>
      <c r="F34" s="567">
        <f>D12*E12*E34*POWER(10,-6)</f>
        <v>36.010883009464784</v>
      </c>
    </row>
    <row r="35" spans="2:6" ht="15.75" thickBot="1">
      <c r="B35" s="1677"/>
      <c r="C35" s="580" t="str">
        <f aca="true" t="shared" si="1" ref="C35:C43">C13</f>
        <v xml:space="preserve">Periodo de drenaje simple </v>
      </c>
      <c r="D35" s="576"/>
      <c r="E35" s="567">
        <f>F13*G13*H13*K13</f>
        <v>1.100074</v>
      </c>
      <c r="F35" s="567">
        <f>D13*E13*E35*POWER(10,-6)</f>
        <v>2.1822395026737076</v>
      </c>
    </row>
    <row r="36" spans="2:6" ht="15.75" thickBot="1">
      <c r="B36" s="1677"/>
      <c r="C36" s="580" t="str">
        <f t="shared" si="1"/>
        <v>Periodo de drenaje multiple</v>
      </c>
      <c r="D36" s="576"/>
      <c r="E36" s="567">
        <f>F14*G14*H14*K14</f>
        <v>0.8521700000000001</v>
      </c>
      <c r="F36" s="567">
        <f>D14*E14*E36*POWER(10,-6)</f>
        <v>25.597798002568744</v>
      </c>
    </row>
    <row r="37" spans="2:6" ht="15.75" thickBot="1">
      <c r="B37" s="1667"/>
      <c r="C37" s="576" t="str">
        <f t="shared" si="1"/>
        <v>Sub-total</v>
      </c>
      <c r="D37" s="576"/>
      <c r="E37" s="571"/>
      <c r="F37" s="571">
        <f>SUM(F34:F36)</f>
        <v>63.79092051470724</v>
      </c>
    </row>
    <row r="38" spans="2:6" ht="15.75" customHeight="1" thickBot="1">
      <c r="B38" s="1666" t="s">
        <v>1003</v>
      </c>
      <c r="C38" s="580" t="str">
        <f t="shared" si="1"/>
        <v>Anegadizos</v>
      </c>
      <c r="D38" s="576"/>
      <c r="E38" s="567">
        <f>F16*G16*H16*K16</f>
        <v>0.8366760000000001</v>
      </c>
      <c r="F38" s="567">
        <f>D16*E16*E38*POWER(10,-6)</f>
        <v>0.16745174619226313</v>
      </c>
    </row>
    <row r="39" spans="2:6" ht="15.75" thickBot="1">
      <c r="B39" s="1677"/>
      <c r="C39" s="580" t="str">
        <f t="shared" si="1"/>
        <v>Expuesto a la sequía</v>
      </c>
      <c r="D39" s="576"/>
      <c r="E39" s="567">
        <f>F17*G17*H17*K17</f>
        <v>0.247904</v>
      </c>
      <c r="F39" s="567">
        <f>D17*E17*E39*POWER(10,-6)</f>
        <v>0</v>
      </c>
    </row>
    <row r="40" spans="2:6" ht="15.75" thickBot="1">
      <c r="B40" s="1677"/>
      <c r="C40" s="580" t="str">
        <f t="shared" si="1"/>
        <v>Aguas profundas</v>
      </c>
      <c r="D40" s="576"/>
      <c r="E40" s="567">
        <f>F18*G18*H18*K18</f>
        <v>0.092964</v>
      </c>
      <c r="F40" s="567">
        <f>D18*E18*E40*POWER(10,-6)</f>
        <v>0</v>
      </c>
    </row>
    <row r="41" spans="2:6" ht="15.75" thickBot="1">
      <c r="B41" s="1667"/>
      <c r="C41" s="576" t="str">
        <f t="shared" si="1"/>
        <v>Sub-total</v>
      </c>
      <c r="D41" s="576"/>
      <c r="E41" s="571"/>
      <c r="F41" s="571">
        <f>SUM(F38:F40)</f>
        <v>0.16745174619226313</v>
      </c>
    </row>
    <row r="42" spans="2:6" ht="15.75" thickBot="1">
      <c r="B42" s="1666" t="s">
        <v>332</v>
      </c>
      <c r="C42" s="580" t="s">
        <v>302</v>
      </c>
      <c r="D42" s="576"/>
      <c r="E42" s="575">
        <f>F20*G20*H20*K20</f>
        <v>0</v>
      </c>
      <c r="F42" s="575">
        <f>D20*E20*E42*POWER(10,-6)</f>
        <v>0</v>
      </c>
    </row>
    <row r="43" spans="2:6" ht="15.75" thickBot="1">
      <c r="B43" s="1667"/>
      <c r="C43" s="576" t="str">
        <f t="shared" si="1"/>
        <v>Sub-total</v>
      </c>
      <c r="D43" s="576"/>
      <c r="E43" s="576"/>
      <c r="F43" s="581">
        <f>SUM(F42)</f>
        <v>0</v>
      </c>
    </row>
    <row r="44" spans="2:6" ht="15.75" thickBot="1">
      <c r="B44" s="1635" t="s">
        <v>2</v>
      </c>
      <c r="C44" s="1636"/>
      <c r="D44" s="576"/>
      <c r="E44" s="576"/>
      <c r="F44" s="582">
        <f>F37+F41+F43</f>
        <v>63.9583722608995</v>
      </c>
    </row>
    <row r="45" spans="2:6" s="307" customFormat="1" ht="52.5" customHeight="1" thickBot="1">
      <c r="B45" s="1673" t="s">
        <v>1204</v>
      </c>
      <c r="C45" s="1674"/>
      <c r="D45" s="1674"/>
      <c r="E45" s="1674"/>
      <c r="F45" s="1675"/>
    </row>
  </sheetData>
  <mergeCells count="33">
    <mergeCell ref="C26:F26"/>
    <mergeCell ref="C27:F27"/>
    <mergeCell ref="B44:C44"/>
    <mergeCell ref="B45:F45"/>
    <mergeCell ref="D29:E29"/>
    <mergeCell ref="B30:B33"/>
    <mergeCell ref="C30:C33"/>
    <mergeCell ref="B34:B37"/>
    <mergeCell ref="B38:B41"/>
    <mergeCell ref="B42:B43"/>
    <mergeCell ref="C28:F28"/>
    <mergeCell ref="I9:I10"/>
    <mergeCell ref="J9:J10"/>
    <mergeCell ref="B12:B15"/>
    <mergeCell ref="B16:B19"/>
    <mergeCell ref="F9:F10"/>
    <mergeCell ref="G9:G10"/>
    <mergeCell ref="B22:C22"/>
    <mergeCell ref="B23:K23"/>
    <mergeCell ref="C25:F25"/>
    <mergeCell ref="C2:K2"/>
    <mergeCell ref="C3:K3"/>
    <mergeCell ref="C4:K4"/>
    <mergeCell ref="C5:K5"/>
    <mergeCell ref="D6:E6"/>
    <mergeCell ref="F6:H6"/>
    <mergeCell ref="I6:K6"/>
    <mergeCell ref="B20:B21"/>
    <mergeCell ref="B7:B11"/>
    <mergeCell ref="C7:C11"/>
    <mergeCell ref="D9:D10"/>
    <mergeCell ref="E9:E10"/>
    <mergeCell ref="H9:H10"/>
  </mergeCells>
  <printOptions/>
  <pageMargins left="0.7" right="0.7" top="0.75" bottom="0.75" header="0.3" footer="0.3"/>
  <pageSetup horizontalDpi="600" verticalDpi="600" orientation="portrait" paperSize="0" copie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A6A6A6"/>
  </sheetPr>
  <dimension ref="B1:Z45"/>
  <sheetViews>
    <sheetView workbookViewId="0" topLeftCell="H4">
      <selection activeCell="J39" sqref="J39:J40"/>
    </sheetView>
  </sheetViews>
  <sheetFormatPr defaultColWidth="10.8515625" defaultRowHeight="15"/>
  <cols>
    <col min="1" max="1" width="4.7109375" style="3" customWidth="1"/>
    <col min="2" max="2" width="2.00390625" style="3" bestFit="1" customWidth="1"/>
    <col min="3" max="3" width="3.7109375" style="3" customWidth="1"/>
    <col min="4" max="4" width="5.00390625" style="3" customWidth="1"/>
    <col min="5" max="5" width="6.8515625" style="3" customWidth="1"/>
    <col min="6" max="6" width="7.8515625" style="3" customWidth="1"/>
    <col min="7" max="7" width="47.00390625" style="3" customWidth="1"/>
    <col min="8" max="8" width="14.57421875" style="3" customWidth="1"/>
    <col min="9" max="10" width="14.8515625" style="3" customWidth="1"/>
    <col min="11" max="12" width="11.140625" style="3" customWidth="1"/>
    <col min="13" max="13" width="9.8515625" style="3" customWidth="1"/>
    <col min="14" max="14" width="11.140625" style="3" customWidth="1"/>
    <col min="15" max="15" width="13.00390625" style="3" customWidth="1"/>
    <col min="16" max="16" width="9.8515625" style="3" customWidth="1"/>
    <col min="17" max="17" width="4.00390625" style="3" customWidth="1"/>
    <col min="18" max="18" width="6.00390625" style="3" customWidth="1"/>
    <col min="19" max="19" width="7.140625" style="3" customWidth="1"/>
    <col min="20" max="20" width="8.140625" style="3" customWidth="1"/>
    <col min="21" max="21" width="49.57421875" style="3" customWidth="1"/>
    <col min="22" max="22" width="13.7109375" style="3" customWidth="1"/>
    <col min="23" max="24" width="11.421875" style="3" customWidth="1"/>
    <col min="25" max="25" width="10.421875" style="3" customWidth="1"/>
    <col min="26" max="258" width="11.421875" style="3" customWidth="1"/>
    <col min="259" max="259" width="4.7109375" style="3" customWidth="1"/>
    <col min="260" max="260" width="5.8515625" style="3" customWidth="1"/>
    <col min="261" max="261" width="6.28125" style="3" customWidth="1"/>
    <col min="262" max="262" width="19.7109375" style="3" customWidth="1"/>
    <col min="263" max="263" width="16.28125" style="3" customWidth="1"/>
    <col min="264" max="264" width="11.140625" style="3" customWidth="1"/>
    <col min="265" max="267" width="10.8515625" style="3" hidden="1" customWidth="1"/>
    <col min="268" max="268" width="11.140625" style="3" customWidth="1"/>
    <col min="269" max="269" width="11.421875" style="3" customWidth="1"/>
    <col min="270" max="270" width="13.57421875" style="3" customWidth="1"/>
    <col min="271" max="271" width="11.421875" style="3" customWidth="1"/>
    <col min="272" max="272" width="41.140625" style="3" customWidth="1"/>
    <col min="273" max="273" width="13.7109375" style="3" customWidth="1"/>
    <col min="274" max="278" width="11.421875" style="3" customWidth="1"/>
    <col min="279" max="279" width="10.421875" style="3" customWidth="1"/>
    <col min="280" max="514" width="11.421875" style="3" customWidth="1"/>
    <col min="515" max="515" width="4.7109375" style="3" customWidth="1"/>
    <col min="516" max="516" width="5.8515625" style="3" customWidth="1"/>
    <col min="517" max="517" width="6.28125" style="3" customWidth="1"/>
    <col min="518" max="518" width="19.7109375" style="3" customWidth="1"/>
    <col min="519" max="519" width="16.28125" style="3" customWidth="1"/>
    <col min="520" max="520" width="11.140625" style="3" customWidth="1"/>
    <col min="521" max="523" width="10.8515625" style="3" hidden="1" customWidth="1"/>
    <col min="524" max="524" width="11.140625" style="3" customWidth="1"/>
    <col min="525" max="525" width="11.421875" style="3" customWidth="1"/>
    <col min="526" max="526" width="13.57421875" style="3" customWidth="1"/>
    <col min="527" max="527" width="11.421875" style="3" customWidth="1"/>
    <col min="528" max="528" width="41.140625" style="3" customWidth="1"/>
    <col min="529" max="529" width="13.7109375" style="3" customWidth="1"/>
    <col min="530" max="534" width="11.421875" style="3" customWidth="1"/>
    <col min="535" max="535" width="10.421875" style="3" customWidth="1"/>
    <col min="536" max="770" width="11.421875" style="3" customWidth="1"/>
    <col min="771" max="771" width="4.7109375" style="3" customWidth="1"/>
    <col min="772" max="772" width="5.8515625" style="3" customWidth="1"/>
    <col min="773" max="773" width="6.28125" style="3" customWidth="1"/>
    <col min="774" max="774" width="19.7109375" style="3" customWidth="1"/>
    <col min="775" max="775" width="16.28125" style="3" customWidth="1"/>
    <col min="776" max="776" width="11.140625" style="3" customWidth="1"/>
    <col min="777" max="779" width="10.8515625" style="3" hidden="1" customWidth="1"/>
    <col min="780" max="780" width="11.140625" style="3" customWidth="1"/>
    <col min="781" max="781" width="11.421875" style="3" customWidth="1"/>
    <col min="782" max="782" width="13.57421875" style="3" customWidth="1"/>
    <col min="783" max="783" width="11.421875" style="3" customWidth="1"/>
    <col min="784" max="784" width="41.140625" style="3" customWidth="1"/>
    <col min="785" max="785" width="13.7109375" style="3" customWidth="1"/>
    <col min="786" max="790" width="11.421875" style="3" customWidth="1"/>
    <col min="791" max="791" width="10.421875" style="3" customWidth="1"/>
    <col min="792" max="1026" width="11.421875" style="3" customWidth="1"/>
    <col min="1027" max="1027" width="4.7109375" style="3" customWidth="1"/>
    <col min="1028" max="1028" width="5.8515625" style="3" customWidth="1"/>
    <col min="1029" max="1029" width="6.28125" style="3" customWidth="1"/>
    <col min="1030" max="1030" width="19.7109375" style="3" customWidth="1"/>
    <col min="1031" max="1031" width="16.28125" style="3" customWidth="1"/>
    <col min="1032" max="1032" width="11.140625" style="3" customWidth="1"/>
    <col min="1033" max="1035" width="10.8515625" style="3" hidden="1" customWidth="1"/>
    <col min="1036" max="1036" width="11.140625" style="3" customWidth="1"/>
    <col min="1037" max="1037" width="11.421875" style="3" customWidth="1"/>
    <col min="1038" max="1038" width="13.57421875" style="3" customWidth="1"/>
    <col min="1039" max="1039" width="11.421875" style="3" customWidth="1"/>
    <col min="1040" max="1040" width="41.140625" style="3" customWidth="1"/>
    <col min="1041" max="1041" width="13.7109375" style="3" customWidth="1"/>
    <col min="1042" max="1046" width="11.421875" style="3" customWidth="1"/>
    <col min="1047" max="1047" width="10.421875" style="3" customWidth="1"/>
    <col min="1048" max="1282" width="11.421875" style="3" customWidth="1"/>
    <col min="1283" max="1283" width="4.7109375" style="3" customWidth="1"/>
    <col min="1284" max="1284" width="5.8515625" style="3" customWidth="1"/>
    <col min="1285" max="1285" width="6.28125" style="3" customWidth="1"/>
    <col min="1286" max="1286" width="19.7109375" style="3" customWidth="1"/>
    <col min="1287" max="1287" width="16.28125" style="3" customWidth="1"/>
    <col min="1288" max="1288" width="11.140625" style="3" customWidth="1"/>
    <col min="1289" max="1291" width="10.8515625" style="3" hidden="1" customWidth="1"/>
    <col min="1292" max="1292" width="11.140625" style="3" customWidth="1"/>
    <col min="1293" max="1293" width="11.421875" style="3" customWidth="1"/>
    <col min="1294" max="1294" width="13.57421875" style="3" customWidth="1"/>
    <col min="1295" max="1295" width="11.421875" style="3" customWidth="1"/>
    <col min="1296" max="1296" width="41.140625" style="3" customWidth="1"/>
    <col min="1297" max="1297" width="13.7109375" style="3" customWidth="1"/>
    <col min="1298" max="1302" width="11.421875" style="3" customWidth="1"/>
    <col min="1303" max="1303" width="10.421875" style="3" customWidth="1"/>
    <col min="1304" max="1538" width="11.421875" style="3" customWidth="1"/>
    <col min="1539" max="1539" width="4.7109375" style="3" customWidth="1"/>
    <col min="1540" max="1540" width="5.8515625" style="3" customWidth="1"/>
    <col min="1541" max="1541" width="6.28125" style="3" customWidth="1"/>
    <col min="1542" max="1542" width="19.7109375" style="3" customWidth="1"/>
    <col min="1543" max="1543" width="16.28125" style="3" customWidth="1"/>
    <col min="1544" max="1544" width="11.140625" style="3" customWidth="1"/>
    <col min="1545" max="1547" width="10.8515625" style="3" hidden="1" customWidth="1"/>
    <col min="1548" max="1548" width="11.140625" style="3" customWidth="1"/>
    <col min="1549" max="1549" width="11.421875" style="3" customWidth="1"/>
    <col min="1550" max="1550" width="13.57421875" style="3" customWidth="1"/>
    <col min="1551" max="1551" width="11.421875" style="3" customWidth="1"/>
    <col min="1552" max="1552" width="41.140625" style="3" customWidth="1"/>
    <col min="1553" max="1553" width="13.7109375" style="3" customWidth="1"/>
    <col min="1554" max="1558" width="11.421875" style="3" customWidth="1"/>
    <col min="1559" max="1559" width="10.421875" style="3" customWidth="1"/>
    <col min="1560" max="1794" width="11.421875" style="3" customWidth="1"/>
    <col min="1795" max="1795" width="4.7109375" style="3" customWidth="1"/>
    <col min="1796" max="1796" width="5.8515625" style="3" customWidth="1"/>
    <col min="1797" max="1797" width="6.28125" style="3" customWidth="1"/>
    <col min="1798" max="1798" width="19.7109375" style="3" customWidth="1"/>
    <col min="1799" max="1799" width="16.28125" style="3" customWidth="1"/>
    <col min="1800" max="1800" width="11.140625" style="3" customWidth="1"/>
    <col min="1801" max="1803" width="10.8515625" style="3" hidden="1" customWidth="1"/>
    <col min="1804" max="1804" width="11.140625" style="3" customWidth="1"/>
    <col min="1805" max="1805" width="11.421875" style="3" customWidth="1"/>
    <col min="1806" max="1806" width="13.57421875" style="3" customWidth="1"/>
    <col min="1807" max="1807" width="11.421875" style="3" customWidth="1"/>
    <col min="1808" max="1808" width="41.140625" style="3" customWidth="1"/>
    <col min="1809" max="1809" width="13.7109375" style="3" customWidth="1"/>
    <col min="1810" max="1814" width="11.421875" style="3" customWidth="1"/>
    <col min="1815" max="1815" width="10.421875" style="3" customWidth="1"/>
    <col min="1816" max="2050" width="11.421875" style="3" customWidth="1"/>
    <col min="2051" max="2051" width="4.7109375" style="3" customWidth="1"/>
    <col min="2052" max="2052" width="5.8515625" style="3" customWidth="1"/>
    <col min="2053" max="2053" width="6.28125" style="3" customWidth="1"/>
    <col min="2054" max="2054" width="19.7109375" style="3" customWidth="1"/>
    <col min="2055" max="2055" width="16.28125" style="3" customWidth="1"/>
    <col min="2056" max="2056" width="11.140625" style="3" customWidth="1"/>
    <col min="2057" max="2059" width="10.8515625" style="3" hidden="1" customWidth="1"/>
    <col min="2060" max="2060" width="11.140625" style="3" customWidth="1"/>
    <col min="2061" max="2061" width="11.421875" style="3" customWidth="1"/>
    <col min="2062" max="2062" width="13.57421875" style="3" customWidth="1"/>
    <col min="2063" max="2063" width="11.421875" style="3" customWidth="1"/>
    <col min="2064" max="2064" width="41.140625" style="3" customWidth="1"/>
    <col min="2065" max="2065" width="13.7109375" style="3" customWidth="1"/>
    <col min="2066" max="2070" width="11.421875" style="3" customWidth="1"/>
    <col min="2071" max="2071" width="10.421875" style="3" customWidth="1"/>
    <col min="2072" max="2306" width="11.421875" style="3" customWidth="1"/>
    <col min="2307" max="2307" width="4.7109375" style="3" customWidth="1"/>
    <col min="2308" max="2308" width="5.8515625" style="3" customWidth="1"/>
    <col min="2309" max="2309" width="6.28125" style="3" customWidth="1"/>
    <col min="2310" max="2310" width="19.7109375" style="3" customWidth="1"/>
    <col min="2311" max="2311" width="16.28125" style="3" customWidth="1"/>
    <col min="2312" max="2312" width="11.140625" style="3" customWidth="1"/>
    <col min="2313" max="2315" width="10.8515625" style="3" hidden="1" customWidth="1"/>
    <col min="2316" max="2316" width="11.140625" style="3" customWidth="1"/>
    <col min="2317" max="2317" width="11.421875" style="3" customWidth="1"/>
    <col min="2318" max="2318" width="13.57421875" style="3" customWidth="1"/>
    <col min="2319" max="2319" width="11.421875" style="3" customWidth="1"/>
    <col min="2320" max="2320" width="41.140625" style="3" customWidth="1"/>
    <col min="2321" max="2321" width="13.7109375" style="3" customWidth="1"/>
    <col min="2322" max="2326" width="11.421875" style="3" customWidth="1"/>
    <col min="2327" max="2327" width="10.421875" style="3" customWidth="1"/>
    <col min="2328" max="2562" width="11.421875" style="3" customWidth="1"/>
    <col min="2563" max="2563" width="4.7109375" style="3" customWidth="1"/>
    <col min="2564" max="2564" width="5.8515625" style="3" customWidth="1"/>
    <col min="2565" max="2565" width="6.28125" style="3" customWidth="1"/>
    <col min="2566" max="2566" width="19.7109375" style="3" customWidth="1"/>
    <col min="2567" max="2567" width="16.28125" style="3" customWidth="1"/>
    <col min="2568" max="2568" width="11.140625" style="3" customWidth="1"/>
    <col min="2569" max="2571" width="10.8515625" style="3" hidden="1" customWidth="1"/>
    <col min="2572" max="2572" width="11.140625" style="3" customWidth="1"/>
    <col min="2573" max="2573" width="11.421875" style="3" customWidth="1"/>
    <col min="2574" max="2574" width="13.57421875" style="3" customWidth="1"/>
    <col min="2575" max="2575" width="11.421875" style="3" customWidth="1"/>
    <col min="2576" max="2576" width="41.140625" style="3" customWidth="1"/>
    <col min="2577" max="2577" width="13.7109375" style="3" customWidth="1"/>
    <col min="2578" max="2582" width="11.421875" style="3" customWidth="1"/>
    <col min="2583" max="2583" width="10.421875" style="3" customWidth="1"/>
    <col min="2584" max="2818" width="11.421875" style="3" customWidth="1"/>
    <col min="2819" max="2819" width="4.7109375" style="3" customWidth="1"/>
    <col min="2820" max="2820" width="5.8515625" style="3" customWidth="1"/>
    <col min="2821" max="2821" width="6.28125" style="3" customWidth="1"/>
    <col min="2822" max="2822" width="19.7109375" style="3" customWidth="1"/>
    <col min="2823" max="2823" width="16.28125" style="3" customWidth="1"/>
    <col min="2824" max="2824" width="11.140625" style="3" customWidth="1"/>
    <col min="2825" max="2827" width="10.8515625" style="3" hidden="1" customWidth="1"/>
    <col min="2828" max="2828" width="11.140625" style="3" customWidth="1"/>
    <col min="2829" max="2829" width="11.421875" style="3" customWidth="1"/>
    <col min="2830" max="2830" width="13.57421875" style="3" customWidth="1"/>
    <col min="2831" max="2831" width="11.421875" style="3" customWidth="1"/>
    <col min="2832" max="2832" width="41.140625" style="3" customWidth="1"/>
    <col min="2833" max="2833" width="13.7109375" style="3" customWidth="1"/>
    <col min="2834" max="2838" width="11.421875" style="3" customWidth="1"/>
    <col min="2839" max="2839" width="10.421875" style="3" customWidth="1"/>
    <col min="2840" max="3074" width="11.421875" style="3" customWidth="1"/>
    <col min="3075" max="3075" width="4.7109375" style="3" customWidth="1"/>
    <col min="3076" max="3076" width="5.8515625" style="3" customWidth="1"/>
    <col min="3077" max="3077" width="6.28125" style="3" customWidth="1"/>
    <col min="3078" max="3078" width="19.7109375" style="3" customWidth="1"/>
    <col min="3079" max="3079" width="16.28125" style="3" customWidth="1"/>
    <col min="3080" max="3080" width="11.140625" style="3" customWidth="1"/>
    <col min="3081" max="3083" width="10.8515625" style="3" hidden="1" customWidth="1"/>
    <col min="3084" max="3084" width="11.140625" style="3" customWidth="1"/>
    <col min="3085" max="3085" width="11.421875" style="3" customWidth="1"/>
    <col min="3086" max="3086" width="13.57421875" style="3" customWidth="1"/>
    <col min="3087" max="3087" width="11.421875" style="3" customWidth="1"/>
    <col min="3088" max="3088" width="41.140625" style="3" customWidth="1"/>
    <col min="3089" max="3089" width="13.7109375" style="3" customWidth="1"/>
    <col min="3090" max="3094" width="11.421875" style="3" customWidth="1"/>
    <col min="3095" max="3095" width="10.421875" style="3" customWidth="1"/>
    <col min="3096" max="3330" width="11.421875" style="3" customWidth="1"/>
    <col min="3331" max="3331" width="4.7109375" style="3" customWidth="1"/>
    <col min="3332" max="3332" width="5.8515625" style="3" customWidth="1"/>
    <col min="3333" max="3333" width="6.28125" style="3" customWidth="1"/>
    <col min="3334" max="3334" width="19.7109375" style="3" customWidth="1"/>
    <col min="3335" max="3335" width="16.28125" style="3" customWidth="1"/>
    <col min="3336" max="3336" width="11.140625" style="3" customWidth="1"/>
    <col min="3337" max="3339" width="10.8515625" style="3" hidden="1" customWidth="1"/>
    <col min="3340" max="3340" width="11.140625" style="3" customWidth="1"/>
    <col min="3341" max="3341" width="11.421875" style="3" customWidth="1"/>
    <col min="3342" max="3342" width="13.57421875" style="3" customWidth="1"/>
    <col min="3343" max="3343" width="11.421875" style="3" customWidth="1"/>
    <col min="3344" max="3344" width="41.140625" style="3" customWidth="1"/>
    <col min="3345" max="3345" width="13.7109375" style="3" customWidth="1"/>
    <col min="3346" max="3350" width="11.421875" style="3" customWidth="1"/>
    <col min="3351" max="3351" width="10.421875" style="3" customWidth="1"/>
    <col min="3352" max="3586" width="11.421875" style="3" customWidth="1"/>
    <col min="3587" max="3587" width="4.7109375" style="3" customWidth="1"/>
    <col min="3588" max="3588" width="5.8515625" style="3" customWidth="1"/>
    <col min="3589" max="3589" width="6.28125" style="3" customWidth="1"/>
    <col min="3590" max="3590" width="19.7109375" style="3" customWidth="1"/>
    <col min="3591" max="3591" width="16.28125" style="3" customWidth="1"/>
    <col min="3592" max="3592" width="11.140625" style="3" customWidth="1"/>
    <col min="3593" max="3595" width="10.8515625" style="3" hidden="1" customWidth="1"/>
    <col min="3596" max="3596" width="11.140625" style="3" customWidth="1"/>
    <col min="3597" max="3597" width="11.421875" style="3" customWidth="1"/>
    <col min="3598" max="3598" width="13.57421875" style="3" customWidth="1"/>
    <col min="3599" max="3599" width="11.421875" style="3" customWidth="1"/>
    <col min="3600" max="3600" width="41.140625" style="3" customWidth="1"/>
    <col min="3601" max="3601" width="13.7109375" style="3" customWidth="1"/>
    <col min="3602" max="3606" width="11.421875" style="3" customWidth="1"/>
    <col min="3607" max="3607" width="10.421875" style="3" customWidth="1"/>
    <col min="3608" max="3842" width="11.421875" style="3" customWidth="1"/>
    <col min="3843" max="3843" width="4.7109375" style="3" customWidth="1"/>
    <col min="3844" max="3844" width="5.8515625" style="3" customWidth="1"/>
    <col min="3845" max="3845" width="6.28125" style="3" customWidth="1"/>
    <col min="3846" max="3846" width="19.7109375" style="3" customWidth="1"/>
    <col min="3847" max="3847" width="16.28125" style="3" customWidth="1"/>
    <col min="3848" max="3848" width="11.140625" style="3" customWidth="1"/>
    <col min="3849" max="3851" width="10.8515625" style="3" hidden="1" customWidth="1"/>
    <col min="3852" max="3852" width="11.140625" style="3" customWidth="1"/>
    <col min="3853" max="3853" width="11.421875" style="3" customWidth="1"/>
    <col min="3854" max="3854" width="13.57421875" style="3" customWidth="1"/>
    <col min="3855" max="3855" width="11.421875" style="3" customWidth="1"/>
    <col min="3856" max="3856" width="41.140625" style="3" customWidth="1"/>
    <col min="3857" max="3857" width="13.7109375" style="3" customWidth="1"/>
    <col min="3858" max="3862" width="11.421875" style="3" customWidth="1"/>
    <col min="3863" max="3863" width="10.421875" style="3" customWidth="1"/>
    <col min="3864" max="4098" width="11.421875" style="3" customWidth="1"/>
    <col min="4099" max="4099" width="4.7109375" style="3" customWidth="1"/>
    <col min="4100" max="4100" width="5.8515625" style="3" customWidth="1"/>
    <col min="4101" max="4101" width="6.28125" style="3" customWidth="1"/>
    <col min="4102" max="4102" width="19.7109375" style="3" customWidth="1"/>
    <col min="4103" max="4103" width="16.28125" style="3" customWidth="1"/>
    <col min="4104" max="4104" width="11.140625" style="3" customWidth="1"/>
    <col min="4105" max="4107" width="10.8515625" style="3" hidden="1" customWidth="1"/>
    <col min="4108" max="4108" width="11.140625" style="3" customWidth="1"/>
    <col min="4109" max="4109" width="11.421875" style="3" customWidth="1"/>
    <col min="4110" max="4110" width="13.57421875" style="3" customWidth="1"/>
    <col min="4111" max="4111" width="11.421875" style="3" customWidth="1"/>
    <col min="4112" max="4112" width="41.140625" style="3" customWidth="1"/>
    <col min="4113" max="4113" width="13.7109375" style="3" customWidth="1"/>
    <col min="4114" max="4118" width="11.421875" style="3" customWidth="1"/>
    <col min="4119" max="4119" width="10.421875" style="3" customWidth="1"/>
    <col min="4120" max="4354" width="11.421875" style="3" customWidth="1"/>
    <col min="4355" max="4355" width="4.7109375" style="3" customWidth="1"/>
    <col min="4356" max="4356" width="5.8515625" style="3" customWidth="1"/>
    <col min="4357" max="4357" width="6.28125" style="3" customWidth="1"/>
    <col min="4358" max="4358" width="19.7109375" style="3" customWidth="1"/>
    <col min="4359" max="4359" width="16.28125" style="3" customWidth="1"/>
    <col min="4360" max="4360" width="11.140625" style="3" customWidth="1"/>
    <col min="4361" max="4363" width="10.8515625" style="3" hidden="1" customWidth="1"/>
    <col min="4364" max="4364" width="11.140625" style="3" customWidth="1"/>
    <col min="4365" max="4365" width="11.421875" style="3" customWidth="1"/>
    <col min="4366" max="4366" width="13.57421875" style="3" customWidth="1"/>
    <col min="4367" max="4367" width="11.421875" style="3" customWidth="1"/>
    <col min="4368" max="4368" width="41.140625" style="3" customWidth="1"/>
    <col min="4369" max="4369" width="13.7109375" style="3" customWidth="1"/>
    <col min="4370" max="4374" width="11.421875" style="3" customWidth="1"/>
    <col min="4375" max="4375" width="10.421875" style="3" customWidth="1"/>
    <col min="4376" max="4610" width="11.421875" style="3" customWidth="1"/>
    <col min="4611" max="4611" width="4.7109375" style="3" customWidth="1"/>
    <col min="4612" max="4612" width="5.8515625" style="3" customWidth="1"/>
    <col min="4613" max="4613" width="6.28125" style="3" customWidth="1"/>
    <col min="4614" max="4614" width="19.7109375" style="3" customWidth="1"/>
    <col min="4615" max="4615" width="16.28125" style="3" customWidth="1"/>
    <col min="4616" max="4616" width="11.140625" style="3" customWidth="1"/>
    <col min="4617" max="4619" width="10.8515625" style="3" hidden="1" customWidth="1"/>
    <col min="4620" max="4620" width="11.140625" style="3" customWidth="1"/>
    <col min="4621" max="4621" width="11.421875" style="3" customWidth="1"/>
    <col min="4622" max="4622" width="13.57421875" style="3" customWidth="1"/>
    <col min="4623" max="4623" width="11.421875" style="3" customWidth="1"/>
    <col min="4624" max="4624" width="41.140625" style="3" customWidth="1"/>
    <col min="4625" max="4625" width="13.7109375" style="3" customWidth="1"/>
    <col min="4626" max="4630" width="11.421875" style="3" customWidth="1"/>
    <col min="4631" max="4631" width="10.421875" style="3" customWidth="1"/>
    <col min="4632" max="4866" width="11.421875" style="3" customWidth="1"/>
    <col min="4867" max="4867" width="4.7109375" style="3" customWidth="1"/>
    <col min="4868" max="4868" width="5.8515625" style="3" customWidth="1"/>
    <col min="4869" max="4869" width="6.28125" style="3" customWidth="1"/>
    <col min="4870" max="4870" width="19.7109375" style="3" customWidth="1"/>
    <col min="4871" max="4871" width="16.28125" style="3" customWidth="1"/>
    <col min="4872" max="4872" width="11.140625" style="3" customWidth="1"/>
    <col min="4873" max="4875" width="10.8515625" style="3" hidden="1" customWidth="1"/>
    <col min="4876" max="4876" width="11.140625" style="3" customWidth="1"/>
    <col min="4877" max="4877" width="11.421875" style="3" customWidth="1"/>
    <col min="4878" max="4878" width="13.57421875" style="3" customWidth="1"/>
    <col min="4879" max="4879" width="11.421875" style="3" customWidth="1"/>
    <col min="4880" max="4880" width="41.140625" style="3" customWidth="1"/>
    <col min="4881" max="4881" width="13.7109375" style="3" customWidth="1"/>
    <col min="4882" max="4886" width="11.421875" style="3" customWidth="1"/>
    <col min="4887" max="4887" width="10.421875" style="3" customWidth="1"/>
    <col min="4888" max="5122" width="11.421875" style="3" customWidth="1"/>
    <col min="5123" max="5123" width="4.7109375" style="3" customWidth="1"/>
    <col min="5124" max="5124" width="5.8515625" style="3" customWidth="1"/>
    <col min="5125" max="5125" width="6.28125" style="3" customWidth="1"/>
    <col min="5126" max="5126" width="19.7109375" style="3" customWidth="1"/>
    <col min="5127" max="5127" width="16.28125" style="3" customWidth="1"/>
    <col min="5128" max="5128" width="11.140625" style="3" customWidth="1"/>
    <col min="5129" max="5131" width="10.8515625" style="3" hidden="1" customWidth="1"/>
    <col min="5132" max="5132" width="11.140625" style="3" customWidth="1"/>
    <col min="5133" max="5133" width="11.421875" style="3" customWidth="1"/>
    <col min="5134" max="5134" width="13.57421875" style="3" customWidth="1"/>
    <col min="5135" max="5135" width="11.421875" style="3" customWidth="1"/>
    <col min="5136" max="5136" width="41.140625" style="3" customWidth="1"/>
    <col min="5137" max="5137" width="13.7109375" style="3" customWidth="1"/>
    <col min="5138" max="5142" width="11.421875" style="3" customWidth="1"/>
    <col min="5143" max="5143" width="10.421875" style="3" customWidth="1"/>
    <col min="5144" max="5378" width="11.421875" style="3" customWidth="1"/>
    <col min="5379" max="5379" width="4.7109375" style="3" customWidth="1"/>
    <col min="5380" max="5380" width="5.8515625" style="3" customWidth="1"/>
    <col min="5381" max="5381" width="6.28125" style="3" customWidth="1"/>
    <col min="5382" max="5382" width="19.7109375" style="3" customWidth="1"/>
    <col min="5383" max="5383" width="16.28125" style="3" customWidth="1"/>
    <col min="5384" max="5384" width="11.140625" style="3" customWidth="1"/>
    <col min="5385" max="5387" width="10.8515625" style="3" hidden="1" customWidth="1"/>
    <col min="5388" max="5388" width="11.140625" style="3" customWidth="1"/>
    <col min="5389" max="5389" width="11.421875" style="3" customWidth="1"/>
    <col min="5390" max="5390" width="13.57421875" style="3" customWidth="1"/>
    <col min="5391" max="5391" width="11.421875" style="3" customWidth="1"/>
    <col min="5392" max="5392" width="41.140625" style="3" customWidth="1"/>
    <col min="5393" max="5393" width="13.7109375" style="3" customWidth="1"/>
    <col min="5394" max="5398" width="11.421875" style="3" customWidth="1"/>
    <col min="5399" max="5399" width="10.421875" style="3" customWidth="1"/>
    <col min="5400" max="5634" width="11.421875" style="3" customWidth="1"/>
    <col min="5635" max="5635" width="4.7109375" style="3" customWidth="1"/>
    <col min="5636" max="5636" width="5.8515625" style="3" customWidth="1"/>
    <col min="5637" max="5637" width="6.28125" style="3" customWidth="1"/>
    <col min="5638" max="5638" width="19.7109375" style="3" customWidth="1"/>
    <col min="5639" max="5639" width="16.28125" style="3" customWidth="1"/>
    <col min="5640" max="5640" width="11.140625" style="3" customWidth="1"/>
    <col min="5641" max="5643" width="10.8515625" style="3" hidden="1" customWidth="1"/>
    <col min="5644" max="5644" width="11.140625" style="3" customWidth="1"/>
    <col min="5645" max="5645" width="11.421875" style="3" customWidth="1"/>
    <col min="5646" max="5646" width="13.57421875" style="3" customWidth="1"/>
    <col min="5647" max="5647" width="11.421875" style="3" customWidth="1"/>
    <col min="5648" max="5648" width="41.140625" style="3" customWidth="1"/>
    <col min="5649" max="5649" width="13.7109375" style="3" customWidth="1"/>
    <col min="5650" max="5654" width="11.421875" style="3" customWidth="1"/>
    <col min="5655" max="5655" width="10.421875" style="3" customWidth="1"/>
    <col min="5656" max="5890" width="11.421875" style="3" customWidth="1"/>
    <col min="5891" max="5891" width="4.7109375" style="3" customWidth="1"/>
    <col min="5892" max="5892" width="5.8515625" style="3" customWidth="1"/>
    <col min="5893" max="5893" width="6.28125" style="3" customWidth="1"/>
    <col min="5894" max="5894" width="19.7109375" style="3" customWidth="1"/>
    <col min="5895" max="5895" width="16.28125" style="3" customWidth="1"/>
    <col min="5896" max="5896" width="11.140625" style="3" customWidth="1"/>
    <col min="5897" max="5899" width="10.8515625" style="3" hidden="1" customWidth="1"/>
    <col min="5900" max="5900" width="11.140625" style="3" customWidth="1"/>
    <col min="5901" max="5901" width="11.421875" style="3" customWidth="1"/>
    <col min="5902" max="5902" width="13.57421875" style="3" customWidth="1"/>
    <col min="5903" max="5903" width="11.421875" style="3" customWidth="1"/>
    <col min="5904" max="5904" width="41.140625" style="3" customWidth="1"/>
    <col min="5905" max="5905" width="13.7109375" style="3" customWidth="1"/>
    <col min="5906" max="5910" width="11.421875" style="3" customWidth="1"/>
    <col min="5911" max="5911" width="10.421875" style="3" customWidth="1"/>
    <col min="5912" max="6146" width="11.421875" style="3" customWidth="1"/>
    <col min="6147" max="6147" width="4.7109375" style="3" customWidth="1"/>
    <col min="6148" max="6148" width="5.8515625" style="3" customWidth="1"/>
    <col min="6149" max="6149" width="6.28125" style="3" customWidth="1"/>
    <col min="6150" max="6150" width="19.7109375" style="3" customWidth="1"/>
    <col min="6151" max="6151" width="16.28125" style="3" customWidth="1"/>
    <col min="6152" max="6152" width="11.140625" style="3" customWidth="1"/>
    <col min="6153" max="6155" width="10.8515625" style="3" hidden="1" customWidth="1"/>
    <col min="6156" max="6156" width="11.140625" style="3" customWidth="1"/>
    <col min="6157" max="6157" width="11.421875" style="3" customWidth="1"/>
    <col min="6158" max="6158" width="13.57421875" style="3" customWidth="1"/>
    <col min="6159" max="6159" width="11.421875" style="3" customWidth="1"/>
    <col min="6160" max="6160" width="41.140625" style="3" customWidth="1"/>
    <col min="6161" max="6161" width="13.7109375" style="3" customWidth="1"/>
    <col min="6162" max="6166" width="11.421875" style="3" customWidth="1"/>
    <col min="6167" max="6167" width="10.421875" style="3" customWidth="1"/>
    <col min="6168" max="6402" width="11.421875" style="3" customWidth="1"/>
    <col min="6403" max="6403" width="4.7109375" style="3" customWidth="1"/>
    <col min="6404" max="6404" width="5.8515625" style="3" customWidth="1"/>
    <col min="6405" max="6405" width="6.28125" style="3" customWidth="1"/>
    <col min="6406" max="6406" width="19.7109375" style="3" customWidth="1"/>
    <col min="6407" max="6407" width="16.28125" style="3" customWidth="1"/>
    <col min="6408" max="6408" width="11.140625" style="3" customWidth="1"/>
    <col min="6409" max="6411" width="10.8515625" style="3" hidden="1" customWidth="1"/>
    <col min="6412" max="6412" width="11.140625" style="3" customWidth="1"/>
    <col min="6413" max="6413" width="11.421875" style="3" customWidth="1"/>
    <col min="6414" max="6414" width="13.57421875" style="3" customWidth="1"/>
    <col min="6415" max="6415" width="11.421875" style="3" customWidth="1"/>
    <col min="6416" max="6416" width="41.140625" style="3" customWidth="1"/>
    <col min="6417" max="6417" width="13.7109375" style="3" customWidth="1"/>
    <col min="6418" max="6422" width="11.421875" style="3" customWidth="1"/>
    <col min="6423" max="6423" width="10.421875" style="3" customWidth="1"/>
    <col min="6424" max="6658" width="11.421875" style="3" customWidth="1"/>
    <col min="6659" max="6659" width="4.7109375" style="3" customWidth="1"/>
    <col min="6660" max="6660" width="5.8515625" style="3" customWidth="1"/>
    <col min="6661" max="6661" width="6.28125" style="3" customWidth="1"/>
    <col min="6662" max="6662" width="19.7109375" style="3" customWidth="1"/>
    <col min="6663" max="6663" width="16.28125" style="3" customWidth="1"/>
    <col min="6664" max="6664" width="11.140625" style="3" customWidth="1"/>
    <col min="6665" max="6667" width="10.8515625" style="3" hidden="1" customWidth="1"/>
    <col min="6668" max="6668" width="11.140625" style="3" customWidth="1"/>
    <col min="6669" max="6669" width="11.421875" style="3" customWidth="1"/>
    <col min="6670" max="6670" width="13.57421875" style="3" customWidth="1"/>
    <col min="6671" max="6671" width="11.421875" style="3" customWidth="1"/>
    <col min="6672" max="6672" width="41.140625" style="3" customWidth="1"/>
    <col min="6673" max="6673" width="13.7109375" style="3" customWidth="1"/>
    <col min="6674" max="6678" width="11.421875" style="3" customWidth="1"/>
    <col min="6679" max="6679" width="10.421875" style="3" customWidth="1"/>
    <col min="6680" max="6914" width="11.421875" style="3" customWidth="1"/>
    <col min="6915" max="6915" width="4.7109375" style="3" customWidth="1"/>
    <col min="6916" max="6916" width="5.8515625" style="3" customWidth="1"/>
    <col min="6917" max="6917" width="6.28125" style="3" customWidth="1"/>
    <col min="6918" max="6918" width="19.7109375" style="3" customWidth="1"/>
    <col min="6919" max="6919" width="16.28125" style="3" customWidth="1"/>
    <col min="6920" max="6920" width="11.140625" style="3" customWidth="1"/>
    <col min="6921" max="6923" width="10.8515625" style="3" hidden="1" customWidth="1"/>
    <col min="6924" max="6924" width="11.140625" style="3" customWidth="1"/>
    <col min="6925" max="6925" width="11.421875" style="3" customWidth="1"/>
    <col min="6926" max="6926" width="13.57421875" style="3" customWidth="1"/>
    <col min="6927" max="6927" width="11.421875" style="3" customWidth="1"/>
    <col min="6928" max="6928" width="41.140625" style="3" customWidth="1"/>
    <col min="6929" max="6929" width="13.7109375" style="3" customWidth="1"/>
    <col min="6930" max="6934" width="11.421875" style="3" customWidth="1"/>
    <col min="6935" max="6935" width="10.421875" style="3" customWidth="1"/>
    <col min="6936" max="7170" width="11.421875" style="3" customWidth="1"/>
    <col min="7171" max="7171" width="4.7109375" style="3" customWidth="1"/>
    <col min="7172" max="7172" width="5.8515625" style="3" customWidth="1"/>
    <col min="7173" max="7173" width="6.28125" style="3" customWidth="1"/>
    <col min="7174" max="7174" width="19.7109375" style="3" customWidth="1"/>
    <col min="7175" max="7175" width="16.28125" style="3" customWidth="1"/>
    <col min="7176" max="7176" width="11.140625" style="3" customWidth="1"/>
    <col min="7177" max="7179" width="10.8515625" style="3" hidden="1" customWidth="1"/>
    <col min="7180" max="7180" width="11.140625" style="3" customWidth="1"/>
    <col min="7181" max="7181" width="11.421875" style="3" customWidth="1"/>
    <col min="7182" max="7182" width="13.57421875" style="3" customWidth="1"/>
    <col min="7183" max="7183" width="11.421875" style="3" customWidth="1"/>
    <col min="7184" max="7184" width="41.140625" style="3" customWidth="1"/>
    <col min="7185" max="7185" width="13.7109375" style="3" customWidth="1"/>
    <col min="7186" max="7190" width="11.421875" style="3" customWidth="1"/>
    <col min="7191" max="7191" width="10.421875" style="3" customWidth="1"/>
    <col min="7192" max="7426" width="11.421875" style="3" customWidth="1"/>
    <col min="7427" max="7427" width="4.7109375" style="3" customWidth="1"/>
    <col min="7428" max="7428" width="5.8515625" style="3" customWidth="1"/>
    <col min="7429" max="7429" width="6.28125" style="3" customWidth="1"/>
    <col min="7430" max="7430" width="19.7109375" style="3" customWidth="1"/>
    <col min="7431" max="7431" width="16.28125" style="3" customWidth="1"/>
    <col min="7432" max="7432" width="11.140625" style="3" customWidth="1"/>
    <col min="7433" max="7435" width="10.8515625" style="3" hidden="1" customWidth="1"/>
    <col min="7436" max="7436" width="11.140625" style="3" customWidth="1"/>
    <col min="7437" max="7437" width="11.421875" style="3" customWidth="1"/>
    <col min="7438" max="7438" width="13.57421875" style="3" customWidth="1"/>
    <col min="7439" max="7439" width="11.421875" style="3" customWidth="1"/>
    <col min="7440" max="7440" width="41.140625" style="3" customWidth="1"/>
    <col min="7441" max="7441" width="13.7109375" style="3" customWidth="1"/>
    <col min="7442" max="7446" width="11.421875" style="3" customWidth="1"/>
    <col min="7447" max="7447" width="10.421875" style="3" customWidth="1"/>
    <col min="7448" max="7682" width="11.421875" style="3" customWidth="1"/>
    <col min="7683" max="7683" width="4.7109375" style="3" customWidth="1"/>
    <col min="7684" max="7684" width="5.8515625" style="3" customWidth="1"/>
    <col min="7685" max="7685" width="6.28125" style="3" customWidth="1"/>
    <col min="7686" max="7686" width="19.7109375" style="3" customWidth="1"/>
    <col min="7687" max="7687" width="16.28125" style="3" customWidth="1"/>
    <col min="7688" max="7688" width="11.140625" style="3" customWidth="1"/>
    <col min="7689" max="7691" width="10.8515625" style="3" hidden="1" customWidth="1"/>
    <col min="7692" max="7692" width="11.140625" style="3" customWidth="1"/>
    <col min="7693" max="7693" width="11.421875" style="3" customWidth="1"/>
    <col min="7694" max="7694" width="13.57421875" style="3" customWidth="1"/>
    <col min="7695" max="7695" width="11.421875" style="3" customWidth="1"/>
    <col min="7696" max="7696" width="41.140625" style="3" customWidth="1"/>
    <col min="7697" max="7697" width="13.7109375" style="3" customWidth="1"/>
    <col min="7698" max="7702" width="11.421875" style="3" customWidth="1"/>
    <col min="7703" max="7703" width="10.421875" style="3" customWidth="1"/>
    <col min="7704" max="7938" width="11.421875" style="3" customWidth="1"/>
    <col min="7939" max="7939" width="4.7109375" style="3" customWidth="1"/>
    <col min="7940" max="7940" width="5.8515625" style="3" customWidth="1"/>
    <col min="7941" max="7941" width="6.28125" style="3" customWidth="1"/>
    <col min="7942" max="7942" width="19.7109375" style="3" customWidth="1"/>
    <col min="7943" max="7943" width="16.28125" style="3" customWidth="1"/>
    <col min="7944" max="7944" width="11.140625" style="3" customWidth="1"/>
    <col min="7945" max="7947" width="10.8515625" style="3" hidden="1" customWidth="1"/>
    <col min="7948" max="7948" width="11.140625" style="3" customWidth="1"/>
    <col min="7949" max="7949" width="11.421875" style="3" customWidth="1"/>
    <col min="7950" max="7950" width="13.57421875" style="3" customWidth="1"/>
    <col min="7951" max="7951" width="11.421875" style="3" customWidth="1"/>
    <col min="7952" max="7952" width="41.140625" style="3" customWidth="1"/>
    <col min="7953" max="7953" width="13.7109375" style="3" customWidth="1"/>
    <col min="7954" max="7958" width="11.421875" style="3" customWidth="1"/>
    <col min="7959" max="7959" width="10.421875" style="3" customWidth="1"/>
    <col min="7960" max="8194" width="11.421875" style="3" customWidth="1"/>
    <col min="8195" max="8195" width="4.7109375" style="3" customWidth="1"/>
    <col min="8196" max="8196" width="5.8515625" style="3" customWidth="1"/>
    <col min="8197" max="8197" width="6.28125" style="3" customWidth="1"/>
    <col min="8198" max="8198" width="19.7109375" style="3" customWidth="1"/>
    <col min="8199" max="8199" width="16.28125" style="3" customWidth="1"/>
    <col min="8200" max="8200" width="11.140625" style="3" customWidth="1"/>
    <col min="8201" max="8203" width="10.8515625" style="3" hidden="1" customWidth="1"/>
    <col min="8204" max="8204" width="11.140625" style="3" customWidth="1"/>
    <col min="8205" max="8205" width="11.421875" style="3" customWidth="1"/>
    <col min="8206" max="8206" width="13.57421875" style="3" customWidth="1"/>
    <col min="8207" max="8207" width="11.421875" style="3" customWidth="1"/>
    <col min="8208" max="8208" width="41.140625" style="3" customWidth="1"/>
    <col min="8209" max="8209" width="13.7109375" style="3" customWidth="1"/>
    <col min="8210" max="8214" width="11.421875" style="3" customWidth="1"/>
    <col min="8215" max="8215" width="10.421875" style="3" customWidth="1"/>
    <col min="8216" max="8450" width="11.421875" style="3" customWidth="1"/>
    <col min="8451" max="8451" width="4.7109375" style="3" customWidth="1"/>
    <col min="8452" max="8452" width="5.8515625" style="3" customWidth="1"/>
    <col min="8453" max="8453" width="6.28125" style="3" customWidth="1"/>
    <col min="8454" max="8454" width="19.7109375" style="3" customWidth="1"/>
    <col min="8455" max="8455" width="16.28125" style="3" customWidth="1"/>
    <col min="8456" max="8456" width="11.140625" style="3" customWidth="1"/>
    <col min="8457" max="8459" width="10.8515625" style="3" hidden="1" customWidth="1"/>
    <col min="8460" max="8460" width="11.140625" style="3" customWidth="1"/>
    <col min="8461" max="8461" width="11.421875" style="3" customWidth="1"/>
    <col min="8462" max="8462" width="13.57421875" style="3" customWidth="1"/>
    <col min="8463" max="8463" width="11.421875" style="3" customWidth="1"/>
    <col min="8464" max="8464" width="41.140625" style="3" customWidth="1"/>
    <col min="8465" max="8465" width="13.7109375" style="3" customWidth="1"/>
    <col min="8466" max="8470" width="11.421875" style="3" customWidth="1"/>
    <col min="8471" max="8471" width="10.421875" style="3" customWidth="1"/>
    <col min="8472" max="8706" width="11.421875" style="3" customWidth="1"/>
    <col min="8707" max="8707" width="4.7109375" style="3" customWidth="1"/>
    <col min="8708" max="8708" width="5.8515625" style="3" customWidth="1"/>
    <col min="8709" max="8709" width="6.28125" style="3" customWidth="1"/>
    <col min="8710" max="8710" width="19.7109375" style="3" customWidth="1"/>
    <col min="8711" max="8711" width="16.28125" style="3" customWidth="1"/>
    <col min="8712" max="8712" width="11.140625" style="3" customWidth="1"/>
    <col min="8713" max="8715" width="10.8515625" style="3" hidden="1" customWidth="1"/>
    <col min="8716" max="8716" width="11.140625" style="3" customWidth="1"/>
    <col min="8717" max="8717" width="11.421875" style="3" customWidth="1"/>
    <col min="8718" max="8718" width="13.57421875" style="3" customWidth="1"/>
    <col min="8719" max="8719" width="11.421875" style="3" customWidth="1"/>
    <col min="8720" max="8720" width="41.140625" style="3" customWidth="1"/>
    <col min="8721" max="8721" width="13.7109375" style="3" customWidth="1"/>
    <col min="8722" max="8726" width="11.421875" style="3" customWidth="1"/>
    <col min="8727" max="8727" width="10.421875" style="3" customWidth="1"/>
    <col min="8728" max="8962" width="11.421875" style="3" customWidth="1"/>
    <col min="8963" max="8963" width="4.7109375" style="3" customWidth="1"/>
    <col min="8964" max="8964" width="5.8515625" style="3" customWidth="1"/>
    <col min="8965" max="8965" width="6.28125" style="3" customWidth="1"/>
    <col min="8966" max="8966" width="19.7109375" style="3" customWidth="1"/>
    <col min="8967" max="8967" width="16.28125" style="3" customWidth="1"/>
    <col min="8968" max="8968" width="11.140625" style="3" customWidth="1"/>
    <col min="8969" max="8971" width="10.8515625" style="3" hidden="1" customWidth="1"/>
    <col min="8972" max="8972" width="11.140625" style="3" customWidth="1"/>
    <col min="8973" max="8973" width="11.421875" style="3" customWidth="1"/>
    <col min="8974" max="8974" width="13.57421875" style="3" customWidth="1"/>
    <col min="8975" max="8975" width="11.421875" style="3" customWidth="1"/>
    <col min="8976" max="8976" width="41.140625" style="3" customWidth="1"/>
    <col min="8977" max="8977" width="13.7109375" style="3" customWidth="1"/>
    <col min="8978" max="8982" width="11.421875" style="3" customWidth="1"/>
    <col min="8983" max="8983" width="10.421875" style="3" customWidth="1"/>
    <col min="8984" max="9218" width="11.421875" style="3" customWidth="1"/>
    <col min="9219" max="9219" width="4.7109375" style="3" customWidth="1"/>
    <col min="9220" max="9220" width="5.8515625" style="3" customWidth="1"/>
    <col min="9221" max="9221" width="6.28125" style="3" customWidth="1"/>
    <col min="9222" max="9222" width="19.7109375" style="3" customWidth="1"/>
    <col min="9223" max="9223" width="16.28125" style="3" customWidth="1"/>
    <col min="9224" max="9224" width="11.140625" style="3" customWidth="1"/>
    <col min="9225" max="9227" width="10.8515625" style="3" hidden="1" customWidth="1"/>
    <col min="9228" max="9228" width="11.140625" style="3" customWidth="1"/>
    <col min="9229" max="9229" width="11.421875" style="3" customWidth="1"/>
    <col min="9230" max="9230" width="13.57421875" style="3" customWidth="1"/>
    <col min="9231" max="9231" width="11.421875" style="3" customWidth="1"/>
    <col min="9232" max="9232" width="41.140625" style="3" customWidth="1"/>
    <col min="9233" max="9233" width="13.7109375" style="3" customWidth="1"/>
    <col min="9234" max="9238" width="11.421875" style="3" customWidth="1"/>
    <col min="9239" max="9239" width="10.421875" style="3" customWidth="1"/>
    <col min="9240" max="9474" width="11.421875" style="3" customWidth="1"/>
    <col min="9475" max="9475" width="4.7109375" style="3" customWidth="1"/>
    <col min="9476" max="9476" width="5.8515625" style="3" customWidth="1"/>
    <col min="9477" max="9477" width="6.28125" style="3" customWidth="1"/>
    <col min="9478" max="9478" width="19.7109375" style="3" customWidth="1"/>
    <col min="9479" max="9479" width="16.28125" style="3" customWidth="1"/>
    <col min="9480" max="9480" width="11.140625" style="3" customWidth="1"/>
    <col min="9481" max="9483" width="10.8515625" style="3" hidden="1" customWidth="1"/>
    <col min="9484" max="9484" width="11.140625" style="3" customWidth="1"/>
    <col min="9485" max="9485" width="11.421875" style="3" customWidth="1"/>
    <col min="9486" max="9486" width="13.57421875" style="3" customWidth="1"/>
    <col min="9487" max="9487" width="11.421875" style="3" customWidth="1"/>
    <col min="9488" max="9488" width="41.140625" style="3" customWidth="1"/>
    <col min="9489" max="9489" width="13.7109375" style="3" customWidth="1"/>
    <col min="9490" max="9494" width="11.421875" style="3" customWidth="1"/>
    <col min="9495" max="9495" width="10.421875" style="3" customWidth="1"/>
    <col min="9496" max="9730" width="11.421875" style="3" customWidth="1"/>
    <col min="9731" max="9731" width="4.7109375" style="3" customWidth="1"/>
    <col min="9732" max="9732" width="5.8515625" style="3" customWidth="1"/>
    <col min="9733" max="9733" width="6.28125" style="3" customWidth="1"/>
    <col min="9734" max="9734" width="19.7109375" style="3" customWidth="1"/>
    <col min="9735" max="9735" width="16.28125" style="3" customWidth="1"/>
    <col min="9736" max="9736" width="11.140625" style="3" customWidth="1"/>
    <col min="9737" max="9739" width="10.8515625" style="3" hidden="1" customWidth="1"/>
    <col min="9740" max="9740" width="11.140625" style="3" customWidth="1"/>
    <col min="9741" max="9741" width="11.421875" style="3" customWidth="1"/>
    <col min="9742" max="9742" width="13.57421875" style="3" customWidth="1"/>
    <col min="9743" max="9743" width="11.421875" style="3" customWidth="1"/>
    <col min="9744" max="9744" width="41.140625" style="3" customWidth="1"/>
    <col min="9745" max="9745" width="13.7109375" style="3" customWidth="1"/>
    <col min="9746" max="9750" width="11.421875" style="3" customWidth="1"/>
    <col min="9751" max="9751" width="10.421875" style="3" customWidth="1"/>
    <col min="9752" max="9986" width="11.421875" style="3" customWidth="1"/>
    <col min="9987" max="9987" width="4.7109375" style="3" customWidth="1"/>
    <col min="9988" max="9988" width="5.8515625" style="3" customWidth="1"/>
    <col min="9989" max="9989" width="6.28125" style="3" customWidth="1"/>
    <col min="9990" max="9990" width="19.7109375" style="3" customWidth="1"/>
    <col min="9991" max="9991" width="16.28125" style="3" customWidth="1"/>
    <col min="9992" max="9992" width="11.140625" style="3" customWidth="1"/>
    <col min="9993" max="9995" width="10.8515625" style="3" hidden="1" customWidth="1"/>
    <col min="9996" max="9996" width="11.140625" style="3" customWidth="1"/>
    <col min="9997" max="9997" width="11.421875" style="3" customWidth="1"/>
    <col min="9998" max="9998" width="13.57421875" style="3" customWidth="1"/>
    <col min="9999" max="9999" width="11.421875" style="3" customWidth="1"/>
    <col min="10000" max="10000" width="41.140625" style="3" customWidth="1"/>
    <col min="10001" max="10001" width="13.7109375" style="3" customWidth="1"/>
    <col min="10002" max="10006" width="11.421875" style="3" customWidth="1"/>
    <col min="10007" max="10007" width="10.421875" style="3" customWidth="1"/>
    <col min="10008" max="10242" width="11.421875" style="3" customWidth="1"/>
    <col min="10243" max="10243" width="4.7109375" style="3" customWidth="1"/>
    <col min="10244" max="10244" width="5.8515625" style="3" customWidth="1"/>
    <col min="10245" max="10245" width="6.28125" style="3" customWidth="1"/>
    <col min="10246" max="10246" width="19.7109375" style="3" customWidth="1"/>
    <col min="10247" max="10247" width="16.28125" style="3" customWidth="1"/>
    <col min="10248" max="10248" width="11.140625" style="3" customWidth="1"/>
    <col min="10249" max="10251" width="10.8515625" style="3" hidden="1" customWidth="1"/>
    <col min="10252" max="10252" width="11.140625" style="3" customWidth="1"/>
    <col min="10253" max="10253" width="11.421875" style="3" customWidth="1"/>
    <col min="10254" max="10254" width="13.57421875" style="3" customWidth="1"/>
    <col min="10255" max="10255" width="11.421875" style="3" customWidth="1"/>
    <col min="10256" max="10256" width="41.140625" style="3" customWidth="1"/>
    <col min="10257" max="10257" width="13.7109375" style="3" customWidth="1"/>
    <col min="10258" max="10262" width="11.421875" style="3" customWidth="1"/>
    <col min="10263" max="10263" width="10.421875" style="3" customWidth="1"/>
    <col min="10264" max="10498" width="11.421875" style="3" customWidth="1"/>
    <col min="10499" max="10499" width="4.7109375" style="3" customWidth="1"/>
    <col min="10500" max="10500" width="5.8515625" style="3" customWidth="1"/>
    <col min="10501" max="10501" width="6.28125" style="3" customWidth="1"/>
    <col min="10502" max="10502" width="19.7109375" style="3" customWidth="1"/>
    <col min="10503" max="10503" width="16.28125" style="3" customWidth="1"/>
    <col min="10504" max="10504" width="11.140625" style="3" customWidth="1"/>
    <col min="10505" max="10507" width="10.8515625" style="3" hidden="1" customWidth="1"/>
    <col min="10508" max="10508" width="11.140625" style="3" customWidth="1"/>
    <col min="10509" max="10509" width="11.421875" style="3" customWidth="1"/>
    <col min="10510" max="10510" width="13.57421875" style="3" customWidth="1"/>
    <col min="10511" max="10511" width="11.421875" style="3" customWidth="1"/>
    <col min="10512" max="10512" width="41.140625" style="3" customWidth="1"/>
    <col min="10513" max="10513" width="13.7109375" style="3" customWidth="1"/>
    <col min="10514" max="10518" width="11.421875" style="3" customWidth="1"/>
    <col min="10519" max="10519" width="10.421875" style="3" customWidth="1"/>
    <col min="10520" max="10754" width="11.421875" style="3" customWidth="1"/>
    <col min="10755" max="10755" width="4.7109375" style="3" customWidth="1"/>
    <col min="10756" max="10756" width="5.8515625" style="3" customWidth="1"/>
    <col min="10757" max="10757" width="6.28125" style="3" customWidth="1"/>
    <col min="10758" max="10758" width="19.7109375" style="3" customWidth="1"/>
    <col min="10759" max="10759" width="16.28125" style="3" customWidth="1"/>
    <col min="10760" max="10760" width="11.140625" style="3" customWidth="1"/>
    <col min="10761" max="10763" width="10.8515625" style="3" hidden="1" customWidth="1"/>
    <col min="10764" max="10764" width="11.140625" style="3" customWidth="1"/>
    <col min="10765" max="10765" width="11.421875" style="3" customWidth="1"/>
    <col min="10766" max="10766" width="13.57421875" style="3" customWidth="1"/>
    <col min="10767" max="10767" width="11.421875" style="3" customWidth="1"/>
    <col min="10768" max="10768" width="41.140625" style="3" customWidth="1"/>
    <col min="10769" max="10769" width="13.7109375" style="3" customWidth="1"/>
    <col min="10770" max="10774" width="11.421875" style="3" customWidth="1"/>
    <col min="10775" max="10775" width="10.421875" style="3" customWidth="1"/>
    <col min="10776" max="11010" width="11.421875" style="3" customWidth="1"/>
    <col min="11011" max="11011" width="4.7109375" style="3" customWidth="1"/>
    <col min="11012" max="11012" width="5.8515625" style="3" customWidth="1"/>
    <col min="11013" max="11013" width="6.28125" style="3" customWidth="1"/>
    <col min="11014" max="11014" width="19.7109375" style="3" customWidth="1"/>
    <col min="11015" max="11015" width="16.28125" style="3" customWidth="1"/>
    <col min="11016" max="11016" width="11.140625" style="3" customWidth="1"/>
    <col min="11017" max="11019" width="10.8515625" style="3" hidden="1" customWidth="1"/>
    <col min="11020" max="11020" width="11.140625" style="3" customWidth="1"/>
    <col min="11021" max="11021" width="11.421875" style="3" customWidth="1"/>
    <col min="11022" max="11022" width="13.57421875" style="3" customWidth="1"/>
    <col min="11023" max="11023" width="11.421875" style="3" customWidth="1"/>
    <col min="11024" max="11024" width="41.140625" style="3" customWidth="1"/>
    <col min="11025" max="11025" width="13.7109375" style="3" customWidth="1"/>
    <col min="11026" max="11030" width="11.421875" style="3" customWidth="1"/>
    <col min="11031" max="11031" width="10.421875" style="3" customWidth="1"/>
    <col min="11032" max="11266" width="11.421875" style="3" customWidth="1"/>
    <col min="11267" max="11267" width="4.7109375" style="3" customWidth="1"/>
    <col min="11268" max="11268" width="5.8515625" style="3" customWidth="1"/>
    <col min="11269" max="11269" width="6.28125" style="3" customWidth="1"/>
    <col min="11270" max="11270" width="19.7109375" style="3" customWidth="1"/>
    <col min="11271" max="11271" width="16.28125" style="3" customWidth="1"/>
    <col min="11272" max="11272" width="11.140625" style="3" customWidth="1"/>
    <col min="11273" max="11275" width="10.8515625" style="3" hidden="1" customWidth="1"/>
    <col min="11276" max="11276" width="11.140625" style="3" customWidth="1"/>
    <col min="11277" max="11277" width="11.421875" style="3" customWidth="1"/>
    <col min="11278" max="11278" width="13.57421875" style="3" customWidth="1"/>
    <col min="11279" max="11279" width="11.421875" style="3" customWidth="1"/>
    <col min="11280" max="11280" width="41.140625" style="3" customWidth="1"/>
    <col min="11281" max="11281" width="13.7109375" style="3" customWidth="1"/>
    <col min="11282" max="11286" width="11.421875" style="3" customWidth="1"/>
    <col min="11287" max="11287" width="10.421875" style="3" customWidth="1"/>
    <col min="11288" max="11522" width="11.421875" style="3" customWidth="1"/>
    <col min="11523" max="11523" width="4.7109375" style="3" customWidth="1"/>
    <col min="11524" max="11524" width="5.8515625" style="3" customWidth="1"/>
    <col min="11525" max="11525" width="6.28125" style="3" customWidth="1"/>
    <col min="11526" max="11526" width="19.7109375" style="3" customWidth="1"/>
    <col min="11527" max="11527" width="16.28125" style="3" customWidth="1"/>
    <col min="11528" max="11528" width="11.140625" style="3" customWidth="1"/>
    <col min="11529" max="11531" width="10.8515625" style="3" hidden="1" customWidth="1"/>
    <col min="11532" max="11532" width="11.140625" style="3" customWidth="1"/>
    <col min="11533" max="11533" width="11.421875" style="3" customWidth="1"/>
    <col min="11534" max="11534" width="13.57421875" style="3" customWidth="1"/>
    <col min="11535" max="11535" width="11.421875" style="3" customWidth="1"/>
    <col min="11536" max="11536" width="41.140625" style="3" customWidth="1"/>
    <col min="11537" max="11537" width="13.7109375" style="3" customWidth="1"/>
    <col min="11538" max="11542" width="11.421875" style="3" customWidth="1"/>
    <col min="11543" max="11543" width="10.421875" style="3" customWidth="1"/>
    <col min="11544" max="11778" width="11.421875" style="3" customWidth="1"/>
    <col min="11779" max="11779" width="4.7109375" style="3" customWidth="1"/>
    <col min="11780" max="11780" width="5.8515625" style="3" customWidth="1"/>
    <col min="11781" max="11781" width="6.28125" style="3" customWidth="1"/>
    <col min="11782" max="11782" width="19.7109375" style="3" customWidth="1"/>
    <col min="11783" max="11783" width="16.28125" style="3" customWidth="1"/>
    <col min="11784" max="11784" width="11.140625" style="3" customWidth="1"/>
    <col min="11785" max="11787" width="10.8515625" style="3" hidden="1" customWidth="1"/>
    <col min="11788" max="11788" width="11.140625" style="3" customWidth="1"/>
    <col min="11789" max="11789" width="11.421875" style="3" customWidth="1"/>
    <col min="11790" max="11790" width="13.57421875" style="3" customWidth="1"/>
    <col min="11791" max="11791" width="11.421875" style="3" customWidth="1"/>
    <col min="11792" max="11792" width="41.140625" style="3" customWidth="1"/>
    <col min="11793" max="11793" width="13.7109375" style="3" customWidth="1"/>
    <col min="11794" max="11798" width="11.421875" style="3" customWidth="1"/>
    <col min="11799" max="11799" width="10.421875" style="3" customWidth="1"/>
    <col min="11800" max="12034" width="11.421875" style="3" customWidth="1"/>
    <col min="12035" max="12035" width="4.7109375" style="3" customWidth="1"/>
    <col min="12036" max="12036" width="5.8515625" style="3" customWidth="1"/>
    <col min="12037" max="12037" width="6.28125" style="3" customWidth="1"/>
    <col min="12038" max="12038" width="19.7109375" style="3" customWidth="1"/>
    <col min="12039" max="12039" width="16.28125" style="3" customWidth="1"/>
    <col min="12040" max="12040" width="11.140625" style="3" customWidth="1"/>
    <col min="12041" max="12043" width="10.8515625" style="3" hidden="1" customWidth="1"/>
    <col min="12044" max="12044" width="11.140625" style="3" customWidth="1"/>
    <col min="12045" max="12045" width="11.421875" style="3" customWidth="1"/>
    <col min="12046" max="12046" width="13.57421875" style="3" customWidth="1"/>
    <col min="12047" max="12047" width="11.421875" style="3" customWidth="1"/>
    <col min="12048" max="12048" width="41.140625" style="3" customWidth="1"/>
    <col min="12049" max="12049" width="13.7109375" style="3" customWidth="1"/>
    <col min="12050" max="12054" width="11.421875" style="3" customWidth="1"/>
    <col min="12055" max="12055" width="10.421875" style="3" customWidth="1"/>
    <col min="12056" max="12290" width="11.421875" style="3" customWidth="1"/>
    <col min="12291" max="12291" width="4.7109375" style="3" customWidth="1"/>
    <col min="12292" max="12292" width="5.8515625" style="3" customWidth="1"/>
    <col min="12293" max="12293" width="6.28125" style="3" customWidth="1"/>
    <col min="12294" max="12294" width="19.7109375" style="3" customWidth="1"/>
    <col min="12295" max="12295" width="16.28125" style="3" customWidth="1"/>
    <col min="12296" max="12296" width="11.140625" style="3" customWidth="1"/>
    <col min="12297" max="12299" width="10.8515625" style="3" hidden="1" customWidth="1"/>
    <col min="12300" max="12300" width="11.140625" style="3" customWidth="1"/>
    <col min="12301" max="12301" width="11.421875" style="3" customWidth="1"/>
    <col min="12302" max="12302" width="13.57421875" style="3" customWidth="1"/>
    <col min="12303" max="12303" width="11.421875" style="3" customWidth="1"/>
    <col min="12304" max="12304" width="41.140625" style="3" customWidth="1"/>
    <col min="12305" max="12305" width="13.7109375" style="3" customWidth="1"/>
    <col min="12306" max="12310" width="11.421875" style="3" customWidth="1"/>
    <col min="12311" max="12311" width="10.421875" style="3" customWidth="1"/>
    <col min="12312" max="12546" width="11.421875" style="3" customWidth="1"/>
    <col min="12547" max="12547" width="4.7109375" style="3" customWidth="1"/>
    <col min="12548" max="12548" width="5.8515625" style="3" customWidth="1"/>
    <col min="12549" max="12549" width="6.28125" style="3" customWidth="1"/>
    <col min="12550" max="12550" width="19.7109375" style="3" customWidth="1"/>
    <col min="12551" max="12551" width="16.28125" style="3" customWidth="1"/>
    <col min="12552" max="12552" width="11.140625" style="3" customWidth="1"/>
    <col min="12553" max="12555" width="10.8515625" style="3" hidden="1" customWidth="1"/>
    <col min="12556" max="12556" width="11.140625" style="3" customWidth="1"/>
    <col min="12557" max="12557" width="11.421875" style="3" customWidth="1"/>
    <col min="12558" max="12558" width="13.57421875" style="3" customWidth="1"/>
    <col min="12559" max="12559" width="11.421875" style="3" customWidth="1"/>
    <col min="12560" max="12560" width="41.140625" style="3" customWidth="1"/>
    <col min="12561" max="12561" width="13.7109375" style="3" customWidth="1"/>
    <col min="12562" max="12566" width="11.421875" style="3" customWidth="1"/>
    <col min="12567" max="12567" width="10.421875" style="3" customWidth="1"/>
    <col min="12568" max="12802" width="11.421875" style="3" customWidth="1"/>
    <col min="12803" max="12803" width="4.7109375" style="3" customWidth="1"/>
    <col min="12804" max="12804" width="5.8515625" style="3" customWidth="1"/>
    <col min="12805" max="12805" width="6.28125" style="3" customWidth="1"/>
    <col min="12806" max="12806" width="19.7109375" style="3" customWidth="1"/>
    <col min="12807" max="12807" width="16.28125" style="3" customWidth="1"/>
    <col min="12808" max="12808" width="11.140625" style="3" customWidth="1"/>
    <col min="12809" max="12811" width="10.8515625" style="3" hidden="1" customWidth="1"/>
    <col min="12812" max="12812" width="11.140625" style="3" customWidth="1"/>
    <col min="12813" max="12813" width="11.421875" style="3" customWidth="1"/>
    <col min="12814" max="12814" width="13.57421875" style="3" customWidth="1"/>
    <col min="12815" max="12815" width="11.421875" style="3" customWidth="1"/>
    <col min="12816" max="12816" width="41.140625" style="3" customWidth="1"/>
    <col min="12817" max="12817" width="13.7109375" style="3" customWidth="1"/>
    <col min="12818" max="12822" width="11.421875" style="3" customWidth="1"/>
    <col min="12823" max="12823" width="10.421875" style="3" customWidth="1"/>
    <col min="12824" max="13058" width="11.421875" style="3" customWidth="1"/>
    <col min="13059" max="13059" width="4.7109375" style="3" customWidth="1"/>
    <col min="13060" max="13060" width="5.8515625" style="3" customWidth="1"/>
    <col min="13061" max="13061" width="6.28125" style="3" customWidth="1"/>
    <col min="13062" max="13062" width="19.7109375" style="3" customWidth="1"/>
    <col min="13063" max="13063" width="16.28125" style="3" customWidth="1"/>
    <col min="13064" max="13064" width="11.140625" style="3" customWidth="1"/>
    <col min="13065" max="13067" width="10.8515625" style="3" hidden="1" customWidth="1"/>
    <col min="13068" max="13068" width="11.140625" style="3" customWidth="1"/>
    <col min="13069" max="13069" width="11.421875" style="3" customWidth="1"/>
    <col min="13070" max="13070" width="13.57421875" style="3" customWidth="1"/>
    <col min="13071" max="13071" width="11.421875" style="3" customWidth="1"/>
    <col min="13072" max="13072" width="41.140625" style="3" customWidth="1"/>
    <col min="13073" max="13073" width="13.7109375" style="3" customWidth="1"/>
    <col min="13074" max="13078" width="11.421875" style="3" customWidth="1"/>
    <col min="13079" max="13079" width="10.421875" style="3" customWidth="1"/>
    <col min="13080" max="13314" width="11.421875" style="3" customWidth="1"/>
    <col min="13315" max="13315" width="4.7109375" style="3" customWidth="1"/>
    <col min="13316" max="13316" width="5.8515625" style="3" customWidth="1"/>
    <col min="13317" max="13317" width="6.28125" style="3" customWidth="1"/>
    <col min="13318" max="13318" width="19.7109375" style="3" customWidth="1"/>
    <col min="13319" max="13319" width="16.28125" style="3" customWidth="1"/>
    <col min="13320" max="13320" width="11.140625" style="3" customWidth="1"/>
    <col min="13321" max="13323" width="10.8515625" style="3" hidden="1" customWidth="1"/>
    <col min="13324" max="13324" width="11.140625" style="3" customWidth="1"/>
    <col min="13325" max="13325" width="11.421875" style="3" customWidth="1"/>
    <col min="13326" max="13326" width="13.57421875" style="3" customWidth="1"/>
    <col min="13327" max="13327" width="11.421875" style="3" customWidth="1"/>
    <col min="13328" max="13328" width="41.140625" style="3" customWidth="1"/>
    <col min="13329" max="13329" width="13.7109375" style="3" customWidth="1"/>
    <col min="13330" max="13334" width="11.421875" style="3" customWidth="1"/>
    <col min="13335" max="13335" width="10.421875" style="3" customWidth="1"/>
    <col min="13336" max="13570" width="11.421875" style="3" customWidth="1"/>
    <col min="13571" max="13571" width="4.7109375" style="3" customWidth="1"/>
    <col min="13572" max="13572" width="5.8515625" style="3" customWidth="1"/>
    <col min="13573" max="13573" width="6.28125" style="3" customWidth="1"/>
    <col min="13574" max="13574" width="19.7109375" style="3" customWidth="1"/>
    <col min="13575" max="13575" width="16.28125" style="3" customWidth="1"/>
    <col min="13576" max="13576" width="11.140625" style="3" customWidth="1"/>
    <col min="13577" max="13579" width="10.8515625" style="3" hidden="1" customWidth="1"/>
    <col min="13580" max="13580" width="11.140625" style="3" customWidth="1"/>
    <col min="13581" max="13581" width="11.421875" style="3" customWidth="1"/>
    <col min="13582" max="13582" width="13.57421875" style="3" customWidth="1"/>
    <col min="13583" max="13583" width="11.421875" style="3" customWidth="1"/>
    <col min="13584" max="13584" width="41.140625" style="3" customWidth="1"/>
    <col min="13585" max="13585" width="13.7109375" style="3" customWidth="1"/>
    <col min="13586" max="13590" width="11.421875" style="3" customWidth="1"/>
    <col min="13591" max="13591" width="10.421875" style="3" customWidth="1"/>
    <col min="13592" max="13826" width="11.421875" style="3" customWidth="1"/>
    <col min="13827" max="13827" width="4.7109375" style="3" customWidth="1"/>
    <col min="13828" max="13828" width="5.8515625" style="3" customWidth="1"/>
    <col min="13829" max="13829" width="6.28125" style="3" customWidth="1"/>
    <col min="13830" max="13830" width="19.7109375" style="3" customWidth="1"/>
    <col min="13831" max="13831" width="16.28125" style="3" customWidth="1"/>
    <col min="13832" max="13832" width="11.140625" style="3" customWidth="1"/>
    <col min="13833" max="13835" width="10.8515625" style="3" hidden="1" customWidth="1"/>
    <col min="13836" max="13836" width="11.140625" style="3" customWidth="1"/>
    <col min="13837" max="13837" width="11.421875" style="3" customWidth="1"/>
    <col min="13838" max="13838" width="13.57421875" style="3" customWidth="1"/>
    <col min="13839" max="13839" width="11.421875" style="3" customWidth="1"/>
    <col min="13840" max="13840" width="41.140625" style="3" customWidth="1"/>
    <col min="13841" max="13841" width="13.7109375" style="3" customWidth="1"/>
    <col min="13842" max="13846" width="11.421875" style="3" customWidth="1"/>
    <col min="13847" max="13847" width="10.421875" style="3" customWidth="1"/>
    <col min="13848" max="14082" width="11.421875" style="3" customWidth="1"/>
    <col min="14083" max="14083" width="4.7109375" style="3" customWidth="1"/>
    <col min="14084" max="14084" width="5.8515625" style="3" customWidth="1"/>
    <col min="14085" max="14085" width="6.28125" style="3" customWidth="1"/>
    <col min="14086" max="14086" width="19.7109375" style="3" customWidth="1"/>
    <col min="14087" max="14087" width="16.28125" style="3" customWidth="1"/>
    <col min="14088" max="14088" width="11.140625" style="3" customWidth="1"/>
    <col min="14089" max="14091" width="10.8515625" style="3" hidden="1" customWidth="1"/>
    <col min="14092" max="14092" width="11.140625" style="3" customWidth="1"/>
    <col min="14093" max="14093" width="11.421875" style="3" customWidth="1"/>
    <col min="14094" max="14094" width="13.57421875" style="3" customWidth="1"/>
    <col min="14095" max="14095" width="11.421875" style="3" customWidth="1"/>
    <col min="14096" max="14096" width="41.140625" style="3" customWidth="1"/>
    <col min="14097" max="14097" width="13.7109375" style="3" customWidth="1"/>
    <col min="14098" max="14102" width="11.421875" style="3" customWidth="1"/>
    <col min="14103" max="14103" width="10.421875" style="3" customWidth="1"/>
    <col min="14104" max="14338" width="11.421875" style="3" customWidth="1"/>
    <col min="14339" max="14339" width="4.7109375" style="3" customWidth="1"/>
    <col min="14340" max="14340" width="5.8515625" style="3" customWidth="1"/>
    <col min="14341" max="14341" width="6.28125" style="3" customWidth="1"/>
    <col min="14342" max="14342" width="19.7109375" style="3" customWidth="1"/>
    <col min="14343" max="14343" width="16.28125" style="3" customWidth="1"/>
    <col min="14344" max="14344" width="11.140625" style="3" customWidth="1"/>
    <col min="14345" max="14347" width="10.8515625" style="3" hidden="1" customWidth="1"/>
    <col min="14348" max="14348" width="11.140625" style="3" customWidth="1"/>
    <col min="14349" max="14349" width="11.421875" style="3" customWidth="1"/>
    <col min="14350" max="14350" width="13.57421875" style="3" customWidth="1"/>
    <col min="14351" max="14351" width="11.421875" style="3" customWidth="1"/>
    <col min="14352" max="14352" width="41.140625" style="3" customWidth="1"/>
    <col min="14353" max="14353" width="13.7109375" style="3" customWidth="1"/>
    <col min="14354" max="14358" width="11.421875" style="3" customWidth="1"/>
    <col min="14359" max="14359" width="10.421875" style="3" customWidth="1"/>
    <col min="14360" max="14594" width="11.421875" style="3" customWidth="1"/>
    <col min="14595" max="14595" width="4.7109375" style="3" customWidth="1"/>
    <col min="14596" max="14596" width="5.8515625" style="3" customWidth="1"/>
    <col min="14597" max="14597" width="6.28125" style="3" customWidth="1"/>
    <col min="14598" max="14598" width="19.7109375" style="3" customWidth="1"/>
    <col min="14599" max="14599" width="16.28125" style="3" customWidth="1"/>
    <col min="14600" max="14600" width="11.140625" style="3" customWidth="1"/>
    <col min="14601" max="14603" width="10.8515625" style="3" hidden="1" customWidth="1"/>
    <col min="14604" max="14604" width="11.140625" style="3" customWidth="1"/>
    <col min="14605" max="14605" width="11.421875" style="3" customWidth="1"/>
    <col min="14606" max="14606" width="13.57421875" style="3" customWidth="1"/>
    <col min="14607" max="14607" width="11.421875" style="3" customWidth="1"/>
    <col min="14608" max="14608" width="41.140625" style="3" customWidth="1"/>
    <col min="14609" max="14609" width="13.7109375" style="3" customWidth="1"/>
    <col min="14610" max="14614" width="11.421875" style="3" customWidth="1"/>
    <col min="14615" max="14615" width="10.421875" style="3" customWidth="1"/>
    <col min="14616" max="14850" width="11.421875" style="3" customWidth="1"/>
    <col min="14851" max="14851" width="4.7109375" style="3" customWidth="1"/>
    <col min="14852" max="14852" width="5.8515625" style="3" customWidth="1"/>
    <col min="14853" max="14853" width="6.28125" style="3" customWidth="1"/>
    <col min="14854" max="14854" width="19.7109375" style="3" customWidth="1"/>
    <col min="14855" max="14855" width="16.28125" style="3" customWidth="1"/>
    <col min="14856" max="14856" width="11.140625" style="3" customWidth="1"/>
    <col min="14857" max="14859" width="10.8515625" style="3" hidden="1" customWidth="1"/>
    <col min="14860" max="14860" width="11.140625" style="3" customWidth="1"/>
    <col min="14861" max="14861" width="11.421875" style="3" customWidth="1"/>
    <col min="14862" max="14862" width="13.57421875" style="3" customWidth="1"/>
    <col min="14863" max="14863" width="11.421875" style="3" customWidth="1"/>
    <col min="14864" max="14864" width="41.140625" style="3" customWidth="1"/>
    <col min="14865" max="14865" width="13.7109375" style="3" customWidth="1"/>
    <col min="14866" max="14870" width="11.421875" style="3" customWidth="1"/>
    <col min="14871" max="14871" width="10.421875" style="3" customWidth="1"/>
    <col min="14872" max="15106" width="11.421875" style="3" customWidth="1"/>
    <col min="15107" max="15107" width="4.7109375" style="3" customWidth="1"/>
    <col min="15108" max="15108" width="5.8515625" style="3" customWidth="1"/>
    <col min="15109" max="15109" width="6.28125" style="3" customWidth="1"/>
    <col min="15110" max="15110" width="19.7109375" style="3" customWidth="1"/>
    <col min="15111" max="15111" width="16.28125" style="3" customWidth="1"/>
    <col min="15112" max="15112" width="11.140625" style="3" customWidth="1"/>
    <col min="15113" max="15115" width="10.8515625" style="3" hidden="1" customWidth="1"/>
    <col min="15116" max="15116" width="11.140625" style="3" customWidth="1"/>
    <col min="15117" max="15117" width="11.421875" style="3" customWidth="1"/>
    <col min="15118" max="15118" width="13.57421875" style="3" customWidth="1"/>
    <col min="15119" max="15119" width="11.421875" style="3" customWidth="1"/>
    <col min="15120" max="15120" width="41.140625" style="3" customWidth="1"/>
    <col min="15121" max="15121" width="13.7109375" style="3" customWidth="1"/>
    <col min="15122" max="15126" width="11.421875" style="3" customWidth="1"/>
    <col min="15127" max="15127" width="10.421875" style="3" customWidth="1"/>
    <col min="15128" max="15362" width="11.421875" style="3" customWidth="1"/>
    <col min="15363" max="15363" width="4.7109375" style="3" customWidth="1"/>
    <col min="15364" max="15364" width="5.8515625" style="3" customWidth="1"/>
    <col min="15365" max="15365" width="6.28125" style="3" customWidth="1"/>
    <col min="15366" max="15366" width="19.7109375" style="3" customWidth="1"/>
    <col min="15367" max="15367" width="16.28125" style="3" customWidth="1"/>
    <col min="15368" max="15368" width="11.140625" style="3" customWidth="1"/>
    <col min="15369" max="15371" width="10.8515625" style="3" hidden="1" customWidth="1"/>
    <col min="15372" max="15372" width="11.140625" style="3" customWidth="1"/>
    <col min="15373" max="15373" width="11.421875" style="3" customWidth="1"/>
    <col min="15374" max="15374" width="13.57421875" style="3" customWidth="1"/>
    <col min="15375" max="15375" width="11.421875" style="3" customWidth="1"/>
    <col min="15376" max="15376" width="41.140625" style="3" customWidth="1"/>
    <col min="15377" max="15377" width="13.7109375" style="3" customWidth="1"/>
    <col min="15378" max="15382" width="11.421875" style="3" customWidth="1"/>
    <col min="15383" max="15383" width="10.421875" style="3" customWidth="1"/>
    <col min="15384" max="15618" width="11.421875" style="3" customWidth="1"/>
    <col min="15619" max="15619" width="4.7109375" style="3" customWidth="1"/>
    <col min="15620" max="15620" width="5.8515625" style="3" customWidth="1"/>
    <col min="15621" max="15621" width="6.28125" style="3" customWidth="1"/>
    <col min="15622" max="15622" width="19.7109375" style="3" customWidth="1"/>
    <col min="15623" max="15623" width="16.28125" style="3" customWidth="1"/>
    <col min="15624" max="15624" width="11.140625" style="3" customWidth="1"/>
    <col min="15625" max="15627" width="10.8515625" style="3" hidden="1" customWidth="1"/>
    <col min="15628" max="15628" width="11.140625" style="3" customWidth="1"/>
    <col min="15629" max="15629" width="11.421875" style="3" customWidth="1"/>
    <col min="15630" max="15630" width="13.57421875" style="3" customWidth="1"/>
    <col min="15631" max="15631" width="11.421875" style="3" customWidth="1"/>
    <col min="15632" max="15632" width="41.140625" style="3" customWidth="1"/>
    <col min="15633" max="15633" width="13.7109375" style="3" customWidth="1"/>
    <col min="15634" max="15638" width="11.421875" style="3" customWidth="1"/>
    <col min="15639" max="15639" width="10.421875" style="3" customWidth="1"/>
    <col min="15640" max="15874" width="11.421875" style="3" customWidth="1"/>
    <col min="15875" max="15875" width="4.7109375" style="3" customWidth="1"/>
    <col min="15876" max="15876" width="5.8515625" style="3" customWidth="1"/>
    <col min="15877" max="15877" width="6.28125" style="3" customWidth="1"/>
    <col min="15878" max="15878" width="19.7109375" style="3" customWidth="1"/>
    <col min="15879" max="15879" width="16.28125" style="3" customWidth="1"/>
    <col min="15880" max="15880" width="11.140625" style="3" customWidth="1"/>
    <col min="15881" max="15883" width="10.8515625" style="3" hidden="1" customWidth="1"/>
    <col min="15884" max="15884" width="11.140625" style="3" customWidth="1"/>
    <col min="15885" max="15885" width="11.421875" style="3" customWidth="1"/>
    <col min="15886" max="15886" width="13.57421875" style="3" customWidth="1"/>
    <col min="15887" max="15887" width="11.421875" style="3" customWidth="1"/>
    <col min="15888" max="15888" width="41.140625" style="3" customWidth="1"/>
    <col min="15889" max="15889" width="13.7109375" style="3" customWidth="1"/>
    <col min="15890" max="15894" width="11.421875" style="3" customWidth="1"/>
    <col min="15895" max="15895" width="10.421875" style="3" customWidth="1"/>
    <col min="15896" max="16130" width="11.421875" style="3" customWidth="1"/>
    <col min="16131" max="16131" width="4.7109375" style="3" customWidth="1"/>
    <col min="16132" max="16132" width="5.8515625" style="3" customWidth="1"/>
    <col min="16133" max="16133" width="6.28125" style="3" customWidth="1"/>
    <col min="16134" max="16134" width="19.7109375" style="3" customWidth="1"/>
    <col min="16135" max="16135" width="16.28125" style="3" customWidth="1"/>
    <col min="16136" max="16136" width="11.140625" style="3" customWidth="1"/>
    <col min="16137" max="16139" width="10.8515625" style="3" hidden="1" customWidth="1"/>
    <col min="16140" max="16140" width="11.140625" style="3" customWidth="1"/>
    <col min="16141" max="16141" width="11.421875" style="3" customWidth="1"/>
    <col min="16142" max="16142" width="13.57421875" style="3" customWidth="1"/>
    <col min="16143" max="16143" width="11.421875" style="3" customWidth="1"/>
    <col min="16144" max="16144" width="41.140625" style="3" customWidth="1"/>
    <col min="16145" max="16145" width="13.7109375" style="3" customWidth="1"/>
    <col min="16146" max="16150" width="11.421875" style="3" customWidth="1"/>
    <col min="16151" max="16151" width="10.421875" style="3" customWidth="1"/>
    <col min="16152" max="16375" width="11.421875" style="3" customWidth="1"/>
    <col min="16376" max="16384" width="11.421875" style="3" customWidth="1"/>
  </cols>
  <sheetData>
    <row r="1" spans="8:12" ht="15">
      <c r="H1" s="231"/>
      <c r="I1" s="231"/>
      <c r="J1" s="231"/>
      <c r="K1" s="231"/>
      <c r="L1" s="231"/>
    </row>
    <row r="2" spans="2:24" s="4" customFormat="1" ht="15.75" customHeight="1">
      <c r="B2" s="1678" t="s">
        <v>1437</v>
      </c>
      <c r="C2" s="1678"/>
      <c r="D2" s="1678"/>
      <c r="E2" s="1678"/>
      <c r="F2" s="1678"/>
      <c r="G2" s="1678"/>
      <c r="H2" s="1678"/>
      <c r="I2" s="1678"/>
      <c r="J2" s="1678"/>
      <c r="K2" s="1678"/>
      <c r="L2" s="1678"/>
      <c r="M2" s="1678"/>
      <c r="N2" s="1678"/>
      <c r="O2" s="1678"/>
      <c r="P2" s="3"/>
      <c r="Q2" s="3"/>
      <c r="R2" s="3"/>
      <c r="S2" s="3"/>
      <c r="T2" s="3"/>
      <c r="U2" s="3"/>
      <c r="W2" s="825"/>
      <c r="X2" s="825"/>
    </row>
    <row r="3" spans="8:25" ht="13.5" customHeight="1" thickBot="1">
      <c r="H3" s="230"/>
      <c r="I3" s="230"/>
      <c r="J3" s="230"/>
      <c r="K3" s="230"/>
      <c r="L3" s="230"/>
      <c r="V3" s="4"/>
      <c r="W3" s="825"/>
      <c r="X3" s="825"/>
      <c r="Y3" s="4"/>
    </row>
    <row r="4" spans="2:25" ht="43.5" customHeight="1" thickBot="1">
      <c r="B4" s="1679" t="s">
        <v>1161</v>
      </c>
      <c r="C4" s="1680"/>
      <c r="D4" s="1680"/>
      <c r="E4" s="1680"/>
      <c r="F4" s="1681"/>
      <c r="G4" s="853" t="s">
        <v>379</v>
      </c>
      <c r="H4" s="536" t="s">
        <v>1174</v>
      </c>
      <c r="I4" s="537" t="s">
        <v>1175</v>
      </c>
      <c r="J4" s="537" t="s">
        <v>1176</v>
      </c>
      <c r="K4" s="537" t="s">
        <v>1438</v>
      </c>
      <c r="L4" s="537" t="s">
        <v>12</v>
      </c>
      <c r="M4" s="538" t="s">
        <v>380</v>
      </c>
      <c r="N4" s="539" t="s">
        <v>1177</v>
      </c>
      <c r="V4" s="4"/>
      <c r="W4" s="825"/>
      <c r="X4" s="825"/>
      <c r="Y4" s="4"/>
    </row>
    <row r="5" spans="2:25" ht="15">
      <c r="B5" s="867">
        <v>3</v>
      </c>
      <c r="C5" s="868"/>
      <c r="D5" s="868"/>
      <c r="E5" s="868"/>
      <c r="F5" s="869"/>
      <c r="G5" s="854" t="s">
        <v>381</v>
      </c>
      <c r="H5" s="498">
        <f>+H6+H33</f>
        <v>292.6029333333333</v>
      </c>
      <c r="I5" s="499">
        <f>+I6+I33</f>
        <v>643.3802479712007</v>
      </c>
      <c r="J5" s="499">
        <f>+J6+J33</f>
        <v>38.38148448654556</v>
      </c>
      <c r="K5" s="500">
        <f>+K6+K33</f>
        <v>25.915986525693242</v>
      </c>
      <c r="L5" s="499">
        <f>+L6+L33</f>
        <v>390.7977875343533</v>
      </c>
      <c r="M5" s="501"/>
      <c r="N5" s="502">
        <f>H5+I5*'F. de Conversión'!$C$4+J5*'F. de Conversión'!$C$7</f>
        <v>28478.343265461524</v>
      </c>
      <c r="O5" s="947"/>
      <c r="P5" s="947"/>
      <c r="Q5" s="947"/>
      <c r="V5" s="4"/>
      <c r="W5" s="825"/>
      <c r="X5" s="825"/>
      <c r="Y5" s="4"/>
    </row>
    <row r="6" spans="2:25" ht="15">
      <c r="B6" s="870"/>
      <c r="C6" s="866" t="s">
        <v>391</v>
      </c>
      <c r="D6" s="865"/>
      <c r="E6" s="865"/>
      <c r="F6" s="871"/>
      <c r="G6" s="855" t="s">
        <v>126</v>
      </c>
      <c r="H6" s="10"/>
      <c r="I6" s="255">
        <f>+I7+I20</f>
        <v>562.922337594011</v>
      </c>
      <c r="J6" s="255">
        <f>+J7+J20</f>
        <v>1.225854500418218</v>
      </c>
      <c r="K6" s="9"/>
      <c r="L6" s="5"/>
      <c r="M6" s="11"/>
      <c r="N6" s="219">
        <f>H6+I6*'F. de Conversión'!$C$4+J6*'F. de Conversión'!$C$7</f>
        <v>16086.676895243136</v>
      </c>
      <c r="O6" s="231"/>
      <c r="V6" s="4"/>
      <c r="W6" s="825"/>
      <c r="X6" s="825"/>
      <c r="Y6" s="4"/>
    </row>
    <row r="7" spans="2:25" ht="15">
      <c r="B7" s="872"/>
      <c r="C7" s="866"/>
      <c r="D7" s="866" t="s">
        <v>392</v>
      </c>
      <c r="E7" s="866"/>
      <c r="F7" s="873"/>
      <c r="G7" s="856" t="s">
        <v>382</v>
      </c>
      <c r="H7" s="10"/>
      <c r="I7" s="256">
        <f>+I8+SUM(I11:I19)</f>
        <v>551.1585269845237</v>
      </c>
      <c r="J7" s="5"/>
      <c r="K7" s="9"/>
      <c r="L7" s="5"/>
      <c r="M7" s="11"/>
      <c r="N7" s="252">
        <f>H7+I7*'F. de Conversión'!$C$4+J7*'F. de Conversión'!$C$7</f>
        <v>15432.438755566665</v>
      </c>
      <c r="O7" s="231"/>
      <c r="V7" s="4"/>
      <c r="W7" s="825"/>
      <c r="X7" s="825"/>
      <c r="Y7" s="4"/>
    </row>
    <row r="8" spans="2:25" ht="15">
      <c r="B8" s="872"/>
      <c r="C8" s="866"/>
      <c r="D8" s="866"/>
      <c r="E8" s="866" t="s">
        <v>390</v>
      </c>
      <c r="F8" s="873"/>
      <c r="G8" s="16" t="s">
        <v>393</v>
      </c>
      <c r="H8" s="10"/>
      <c r="I8" s="257">
        <f>+I9+I10</f>
        <v>425.74632697468223</v>
      </c>
      <c r="J8" s="5"/>
      <c r="K8" s="9"/>
      <c r="L8" s="5"/>
      <c r="M8" s="11"/>
      <c r="N8" s="253">
        <f>H8+I8*'F. de Conversión'!$C$4+J8*'F. de Conversión'!$C$7</f>
        <v>11920.897155291103</v>
      </c>
      <c r="O8" s="231"/>
      <c r="V8" s="4"/>
      <c r="W8" s="825"/>
      <c r="X8" s="825"/>
      <c r="Y8" s="4"/>
    </row>
    <row r="9" spans="2:25" ht="15">
      <c r="B9" s="872"/>
      <c r="C9" s="866"/>
      <c r="D9" s="866"/>
      <c r="E9" s="866"/>
      <c r="F9" s="873" t="s">
        <v>394</v>
      </c>
      <c r="G9" s="888" t="s">
        <v>395</v>
      </c>
      <c r="H9" s="10"/>
      <c r="I9" s="889">
        <f>+'GEI 3A1 (N2)'!G10</f>
        <v>95.28684429912825</v>
      </c>
      <c r="J9" s="890"/>
      <c r="K9" s="891"/>
      <c r="L9" s="890"/>
      <c r="M9" s="892"/>
      <c r="N9" s="893">
        <f>H9+I9*'F. de Conversión'!$C$4+J9*'F. de Conversión'!$C$7</f>
        <v>2668.031640375591</v>
      </c>
      <c r="O9" s="231"/>
      <c r="V9" s="4"/>
      <c r="W9" s="825"/>
      <c r="X9" s="825"/>
      <c r="Y9" s="4"/>
    </row>
    <row r="10" spans="2:25" ht="15">
      <c r="B10" s="872"/>
      <c r="C10" s="866"/>
      <c r="D10" s="866"/>
      <c r="E10" s="866"/>
      <c r="F10" s="873" t="s">
        <v>396</v>
      </c>
      <c r="G10" s="888" t="s">
        <v>375</v>
      </c>
      <c r="H10" s="10"/>
      <c r="I10" s="889">
        <f>+'GEI 3A1 (N2)'!G18</f>
        <v>330.459482675554</v>
      </c>
      <c r="J10" s="890"/>
      <c r="K10" s="891"/>
      <c r="L10" s="890"/>
      <c r="M10" s="892"/>
      <c r="N10" s="893">
        <f>H10+I10*'F. de Conversión'!$C$4+J10*'F. de Conversión'!$C$7</f>
        <v>9252.865514915513</v>
      </c>
      <c r="O10" s="231"/>
      <c r="V10" s="4"/>
      <c r="W10" s="825"/>
      <c r="X10" s="825"/>
      <c r="Y10" s="4"/>
    </row>
    <row r="11" spans="2:25" ht="15">
      <c r="B11" s="872"/>
      <c r="C11" s="866"/>
      <c r="D11" s="866"/>
      <c r="E11" s="866" t="s">
        <v>397</v>
      </c>
      <c r="F11" s="874"/>
      <c r="G11" s="857" t="s">
        <v>383</v>
      </c>
      <c r="H11" s="10"/>
      <c r="I11" s="5"/>
      <c r="J11" s="5"/>
      <c r="K11" s="9"/>
      <c r="L11" s="5"/>
      <c r="M11" s="11"/>
      <c r="N11" s="497" t="s">
        <v>462</v>
      </c>
      <c r="O11" s="231"/>
      <c r="V11" s="4"/>
      <c r="W11" s="825"/>
      <c r="X11" s="825"/>
      <c r="Y11" s="4"/>
    </row>
    <row r="12" spans="2:25" ht="15">
      <c r="B12" s="872"/>
      <c r="C12" s="866"/>
      <c r="D12" s="866"/>
      <c r="E12" s="866" t="s">
        <v>398</v>
      </c>
      <c r="F12" s="873"/>
      <c r="G12" s="858" t="s">
        <v>40</v>
      </c>
      <c r="H12" s="10"/>
      <c r="I12" s="257">
        <f>+'GEI 3A1_3A2 (N1) '!E12</f>
        <v>56.858195</v>
      </c>
      <c r="J12" s="5"/>
      <c r="K12" s="9"/>
      <c r="L12" s="5"/>
      <c r="M12" s="11"/>
      <c r="N12" s="253">
        <f>H12+I12*'F. de Conversión'!$C$4+J12*'F. de Conversión'!$C$7</f>
        <v>1592.02946</v>
      </c>
      <c r="O12" s="231"/>
      <c r="V12" s="4"/>
      <c r="W12" s="825"/>
      <c r="X12" s="825"/>
      <c r="Y12" s="4"/>
    </row>
    <row r="13" spans="2:25" ht="15">
      <c r="B13" s="872"/>
      <c r="C13" s="866"/>
      <c r="D13" s="866"/>
      <c r="E13" s="866" t="s">
        <v>399</v>
      </c>
      <c r="F13" s="875"/>
      <c r="G13" s="859" t="s">
        <v>39</v>
      </c>
      <c r="H13" s="10"/>
      <c r="I13" s="257">
        <f>+'GEI 3A1_3A2 (N1) '!E13</f>
        <v>9.00941</v>
      </c>
      <c r="J13" s="5"/>
      <c r="K13" s="9"/>
      <c r="L13" s="5"/>
      <c r="M13" s="11"/>
      <c r="N13" s="253">
        <f>H13+I13*'F. de Conversión'!$C$4+J13*'F. de Conversión'!$C$7</f>
        <v>252.26348000000002</v>
      </c>
      <c r="O13" s="231"/>
      <c r="V13" s="4"/>
      <c r="W13" s="825"/>
      <c r="X13" s="825"/>
      <c r="Y13" s="4"/>
    </row>
    <row r="14" spans="2:25" ht="15">
      <c r="B14" s="872"/>
      <c r="C14" s="866"/>
      <c r="D14" s="866"/>
      <c r="E14" s="866" t="s">
        <v>400</v>
      </c>
      <c r="F14" s="873"/>
      <c r="G14" s="858" t="s">
        <v>384</v>
      </c>
      <c r="H14" s="10"/>
      <c r="I14" s="257">
        <f>+'GEI 3A1_3A2 (N1) '!E17+'GEI 3A1_3A2 (N1) '!E18</f>
        <v>44.41576</v>
      </c>
      <c r="J14" s="5"/>
      <c r="K14" s="9"/>
      <c r="L14" s="5"/>
      <c r="M14" s="11"/>
      <c r="N14" s="253">
        <f>H14+I14*'F. de Conversión'!$C$4+J14*'F. de Conversión'!$C$7</f>
        <v>1243.64128</v>
      </c>
      <c r="O14" s="231"/>
      <c r="V14" s="4"/>
      <c r="W14" s="825"/>
      <c r="X14" s="825"/>
      <c r="Y14" s="4"/>
    </row>
    <row r="15" spans="2:25" ht="15">
      <c r="B15" s="872"/>
      <c r="C15" s="866"/>
      <c r="D15" s="866"/>
      <c r="E15" s="866" t="s">
        <v>401</v>
      </c>
      <c r="F15" s="873"/>
      <c r="G15" s="858" t="s">
        <v>66</v>
      </c>
      <c r="H15" s="10"/>
      <c r="I15" s="257">
        <f>+'GEI 3A1_3A2 (N1) '!E14</f>
        <v>8.60835094365825</v>
      </c>
      <c r="J15" s="5"/>
      <c r="K15" s="9"/>
      <c r="L15" s="5"/>
      <c r="M15" s="11"/>
      <c r="N15" s="253">
        <f>H15+I15*'F. de Conversión'!$C$4+J15*'F. de Conversión'!$C$7</f>
        <v>241.033826422431</v>
      </c>
      <c r="O15" s="231"/>
      <c r="V15" s="4"/>
      <c r="W15" s="825"/>
      <c r="X15" s="825"/>
      <c r="Y15" s="4"/>
    </row>
    <row r="16" spans="2:25" ht="15">
      <c r="B16" s="872"/>
      <c r="C16" s="866"/>
      <c r="D16" s="866"/>
      <c r="E16" s="866" t="s">
        <v>402</v>
      </c>
      <c r="F16" s="873"/>
      <c r="G16" s="860" t="s">
        <v>385</v>
      </c>
      <c r="H16" s="10"/>
      <c r="I16" s="257">
        <f>+'GEI 3A1_3A2 (N1) '!E15</f>
        <v>5.410662064358211</v>
      </c>
      <c r="J16" s="5"/>
      <c r="K16" s="9"/>
      <c r="L16" s="5"/>
      <c r="M16" s="11"/>
      <c r="N16" s="253">
        <f>H16+I16*'F. de Conversión'!$C$4+J16*'F. de Conversión'!$C$7</f>
        <v>151.4985378020299</v>
      </c>
      <c r="O16" s="231"/>
      <c r="V16" s="4"/>
      <c r="W16" s="825"/>
      <c r="X16" s="825"/>
      <c r="Y16" s="4"/>
    </row>
    <row r="17" spans="2:25" ht="15">
      <c r="B17" s="872"/>
      <c r="C17" s="866"/>
      <c r="D17" s="866"/>
      <c r="E17" s="866" t="s">
        <v>403</v>
      </c>
      <c r="F17" s="873"/>
      <c r="G17" s="860" t="s">
        <v>386</v>
      </c>
      <c r="H17" s="10"/>
      <c r="I17" s="257">
        <f>+'GEI 3A1_3A2 (N1) '!E16</f>
        <v>0.9405520273972602</v>
      </c>
      <c r="J17" s="5"/>
      <c r="K17" s="9"/>
      <c r="L17" s="5"/>
      <c r="M17" s="11"/>
      <c r="N17" s="253">
        <f>H17+I17*'F. de Conversión'!$C$4+J17*'F. de Conversión'!$C$7</f>
        <v>26.335456767123286</v>
      </c>
      <c r="O17" s="231"/>
      <c r="V17" s="4"/>
      <c r="W17" s="825"/>
      <c r="X17" s="825"/>
      <c r="Y17" s="4"/>
    </row>
    <row r="18" spans="2:25" ht="15">
      <c r="B18" s="872"/>
      <c r="C18" s="866"/>
      <c r="D18" s="866"/>
      <c r="E18" s="866" t="s">
        <v>404</v>
      </c>
      <c r="F18" s="873"/>
      <c r="G18" s="860" t="s">
        <v>387</v>
      </c>
      <c r="H18" s="10"/>
      <c r="I18" s="5"/>
      <c r="J18" s="5"/>
      <c r="K18" s="9"/>
      <c r="L18" s="5"/>
      <c r="M18" s="11"/>
      <c r="N18" s="497" t="s">
        <v>378</v>
      </c>
      <c r="O18" s="231"/>
      <c r="V18" s="4"/>
      <c r="W18" s="825"/>
      <c r="X18" s="825"/>
      <c r="Y18" s="4"/>
    </row>
    <row r="19" spans="2:25" ht="15">
      <c r="B19" s="872"/>
      <c r="C19" s="866"/>
      <c r="D19" s="866"/>
      <c r="E19" s="866" t="s">
        <v>405</v>
      </c>
      <c r="F19" s="873"/>
      <c r="G19" s="860" t="s">
        <v>388</v>
      </c>
      <c r="H19" s="10"/>
      <c r="I19" s="257">
        <f>+'GEI 3A1_3A2 (N1) '!E20</f>
        <v>0.16926997442776684</v>
      </c>
      <c r="J19" s="5"/>
      <c r="K19" s="9"/>
      <c r="L19" s="5"/>
      <c r="M19" s="11"/>
      <c r="N19" s="253">
        <f>H19+I19*'F. de Conversión'!$C$4+J19*'F. de Conversión'!$C$7</f>
        <v>4.739559283977472</v>
      </c>
      <c r="O19" s="231"/>
      <c r="V19" s="4"/>
      <c r="W19" s="825"/>
      <c r="X19" s="825"/>
      <c r="Y19" s="4"/>
    </row>
    <row r="20" spans="2:25" ht="15">
      <c r="B20" s="872"/>
      <c r="C20" s="866"/>
      <c r="D20" s="866" t="s">
        <v>406</v>
      </c>
      <c r="E20" s="866"/>
      <c r="F20" s="873"/>
      <c r="G20" s="856" t="s">
        <v>389</v>
      </c>
      <c r="H20" s="10"/>
      <c r="I20" s="256">
        <f>+I21+SUM(I24:I32)</f>
        <v>11.763810609487255</v>
      </c>
      <c r="J20" s="256">
        <f>+J21+SUM(J24:J32)</f>
        <v>1.225854500418218</v>
      </c>
      <c r="K20" s="9"/>
      <c r="L20" s="5"/>
      <c r="M20" s="552"/>
      <c r="N20" s="252">
        <f>H20+I20*'F. de Conversión'!$C$4+J20*'F. de Conversión'!$C$7</f>
        <v>654.2381396764708</v>
      </c>
      <c r="O20" s="231"/>
      <c r="V20" s="4"/>
      <c r="W20" s="825"/>
      <c r="X20" s="825"/>
      <c r="Y20" s="4"/>
    </row>
    <row r="21" spans="2:25" ht="15">
      <c r="B21" s="872"/>
      <c r="C21" s="866"/>
      <c r="D21" s="866"/>
      <c r="E21" s="866" t="s">
        <v>407</v>
      </c>
      <c r="F21" s="873"/>
      <c r="G21" s="858" t="s">
        <v>412</v>
      </c>
      <c r="H21" s="10"/>
      <c r="I21" s="257">
        <f>+I22+I23</f>
        <v>5.63054</v>
      </c>
      <c r="J21" s="503">
        <f>+J22+J23</f>
        <v>0.539448806386541</v>
      </c>
      <c r="K21" s="9"/>
      <c r="L21" s="5"/>
      <c r="M21" s="552"/>
      <c r="N21" s="253">
        <f>H21+I21*'F. de Conversión'!$C$4+J21*'F. de Conversión'!$C$7</f>
        <v>300.60905369243335</v>
      </c>
      <c r="O21" s="231"/>
      <c r="V21" s="4"/>
      <c r="W21" s="825"/>
      <c r="X21" s="825"/>
      <c r="Y21" s="4"/>
    </row>
    <row r="22" spans="2:25" ht="15">
      <c r="B22" s="872"/>
      <c r="C22" s="866"/>
      <c r="D22" s="866"/>
      <c r="E22" s="866"/>
      <c r="F22" s="873" t="s">
        <v>408</v>
      </c>
      <c r="G22" s="888" t="s">
        <v>395</v>
      </c>
      <c r="H22" s="10"/>
      <c r="I22" s="889">
        <f>+'GEI 3A1_3A2 (N1) '!G10</f>
        <v>0.9364650000000001</v>
      </c>
      <c r="J22" s="889">
        <f>+'GEI 3A1_3A2 (N1) '!K46+'GEI 3A1_3A2 (N1) '!K58+'GEI 3A1_3A2 (N1) '!K70+'GEI 3A1_3A2 (N1) '!K82</f>
        <v>0.27232802213759993</v>
      </c>
      <c r="K22" s="891"/>
      <c r="L22" s="890"/>
      <c r="M22" s="894"/>
      <c r="N22" s="893">
        <f>H22+I22*'F. de Conversión'!$C$4+J22*'F. de Conversión'!$C$7</f>
        <v>98.38794586646398</v>
      </c>
      <c r="O22" s="231"/>
      <c r="V22" s="4"/>
      <c r="W22" s="825"/>
      <c r="X22" s="825"/>
      <c r="Y22" s="4"/>
    </row>
    <row r="23" spans="2:25" ht="15">
      <c r="B23" s="872"/>
      <c r="C23" s="866"/>
      <c r="D23" s="866"/>
      <c r="E23" s="866"/>
      <c r="F23" s="873" t="s">
        <v>409</v>
      </c>
      <c r="G23" s="888" t="s">
        <v>375</v>
      </c>
      <c r="H23" s="10"/>
      <c r="I23" s="889">
        <f>+'GEI 3A1_3A2 (N1) '!G11</f>
        <v>4.694075</v>
      </c>
      <c r="J23" s="889">
        <f>+'GEI 3A1_3A2 (N1) '!K47+'GEI 3A1_3A2 (N1) '!K59+'GEI 3A1_3A2 (N1) '!K71+'GEI 3A1_3A2 (N1) '!K83</f>
        <v>0.2671207842489411</v>
      </c>
      <c r="K23" s="891"/>
      <c r="L23" s="890"/>
      <c r="M23" s="894"/>
      <c r="N23" s="893">
        <f>H23+I23*'F. de Conversión'!$C$4+J23*'F. de Conversión'!$C$7</f>
        <v>202.2211078259694</v>
      </c>
      <c r="O23" s="231"/>
      <c r="V23" s="4"/>
      <c r="W23" s="825"/>
      <c r="X23" s="825"/>
      <c r="Y23" s="4"/>
    </row>
    <row r="24" spans="2:25" ht="15">
      <c r="B24" s="872"/>
      <c r="C24" s="866"/>
      <c r="D24" s="866"/>
      <c r="E24" s="866" t="s">
        <v>410</v>
      </c>
      <c r="F24" s="874"/>
      <c r="G24" s="861" t="s">
        <v>383</v>
      </c>
      <c r="H24" s="10"/>
      <c r="I24" s="5"/>
      <c r="J24" s="176"/>
      <c r="K24" s="9"/>
      <c r="L24" s="5"/>
      <c r="M24" s="552"/>
      <c r="N24" s="497" t="s">
        <v>462</v>
      </c>
      <c r="O24" s="231"/>
      <c r="V24" s="4"/>
      <c r="W24" s="825"/>
      <c r="X24" s="825"/>
      <c r="Y24" s="4"/>
    </row>
    <row r="25" spans="2:25" ht="15">
      <c r="B25" s="872"/>
      <c r="C25" s="866"/>
      <c r="D25" s="866"/>
      <c r="E25" s="866" t="s">
        <v>411</v>
      </c>
      <c r="F25" s="873"/>
      <c r="G25" s="860" t="s">
        <v>40</v>
      </c>
      <c r="H25" s="10"/>
      <c r="I25" s="257">
        <f>+'GEI 3A1_3A2 (N1) '!G12</f>
        <v>1.3035236000000001</v>
      </c>
      <c r="J25" s="257">
        <f>+'GEI 3A1_3A2 (N1) '!K48+'GEI 3A1_3A2 (N1) '!K60+'GEI 3A1_3A2 (N1) '!K72+'GEI 3A1_3A2 (N1) '!K84</f>
        <v>0</v>
      </c>
      <c r="K25" s="9"/>
      <c r="L25" s="5"/>
      <c r="M25" s="552"/>
      <c r="N25" s="253">
        <f>H25+I25*'F. de Conversión'!$C$4+J25*'F. de Conversión'!$C$7</f>
        <v>36.4986608</v>
      </c>
      <c r="O25" s="231"/>
      <c r="V25" s="4"/>
      <c r="W25" s="825"/>
      <c r="X25" s="825"/>
      <c r="Y25" s="4"/>
    </row>
    <row r="26" spans="2:25" ht="15">
      <c r="B26" s="872"/>
      <c r="C26" s="866"/>
      <c r="D26" s="866"/>
      <c r="E26" s="866" t="s">
        <v>399</v>
      </c>
      <c r="F26" s="875"/>
      <c r="G26" s="862" t="s">
        <v>39</v>
      </c>
      <c r="H26" s="10"/>
      <c r="I26" s="257">
        <f>+'GEI 3A1_3A2 (N1) '!G13</f>
        <v>0.29530844</v>
      </c>
      <c r="J26" s="257">
        <f>+'GEI 3A1_3A2 (N1) '!K49+'GEI 3A1_3A2 (N1) '!K61+'GEI 3A1_3A2 (N1) '!K73+'GEI 3A1_3A2 (N1) '!K85</f>
        <v>0</v>
      </c>
      <c r="K26" s="9"/>
      <c r="L26" s="5"/>
      <c r="M26" s="552"/>
      <c r="N26" s="253">
        <f>H26+I26*'F. de Conversión'!$C$4+J26*'F. de Conversión'!$C$7</f>
        <v>8.26863632</v>
      </c>
      <c r="O26" s="231"/>
      <c r="V26" s="4"/>
      <c r="W26" s="825"/>
      <c r="X26" s="825"/>
      <c r="Y26" s="4"/>
    </row>
    <row r="27" spans="2:25" ht="15">
      <c r="B27" s="872"/>
      <c r="C27" s="866"/>
      <c r="D27" s="866"/>
      <c r="E27" s="866" t="s">
        <v>400</v>
      </c>
      <c r="F27" s="873"/>
      <c r="G27" s="860" t="s">
        <v>384</v>
      </c>
      <c r="H27" s="10"/>
      <c r="I27" s="257">
        <f>+'GEI 3A1_3A2 (N1) '!G17+'GEI 3A1_3A2 (N1) '!G18</f>
        <v>1.1859278860244902</v>
      </c>
      <c r="J27" s="257">
        <f>+'GEI 3A1_3A2 (N1) '!K53+'GEI 3A1_3A2 (N1) '!K65+'GEI 3A1_3A2 (N1) '!K77+'GEI 3A1_3A2 (N1) '!K89+'GEI 3A1_3A2 (N1) '!K54+'GEI 3A1_3A2 (N1) '!K66+'GEI 3A1_3A2 (N1) '!K78+'GEI 3A1_3A2 (N1) '!K90</f>
        <v>0.5160590738988842</v>
      </c>
      <c r="K27" s="9"/>
      <c r="L27" s="5"/>
      <c r="M27" s="552"/>
      <c r="N27" s="253">
        <f>H27+I27*'F. de Conversión'!$C$4+J27*'F. de Conversión'!$C$7</f>
        <v>169.96163539189004</v>
      </c>
      <c r="O27" s="231"/>
      <c r="V27" s="4"/>
      <c r="W27" s="825"/>
      <c r="X27" s="825"/>
      <c r="Y27" s="4"/>
    </row>
    <row r="28" spans="2:25" ht="15">
      <c r="B28" s="872"/>
      <c r="C28" s="866"/>
      <c r="D28" s="866"/>
      <c r="E28" s="866" t="s">
        <v>401</v>
      </c>
      <c r="F28" s="873"/>
      <c r="G28" s="860" t="s">
        <v>66</v>
      </c>
      <c r="H28" s="10"/>
      <c r="I28" s="257">
        <f>+'GEI 3A1_3A2 (N1) '!G14</f>
        <v>0.6842792921404107</v>
      </c>
      <c r="J28" s="257">
        <f>+'GEI 3A1_3A2 (N1) '!K50+'GEI 3A1_3A2 (N1) '!K62+'GEI 3A1_3A2 (N1) '!K74+'GEI 3A1_3A2 (N1) '!K86</f>
        <v>0</v>
      </c>
      <c r="K28" s="9"/>
      <c r="L28" s="5"/>
      <c r="M28" s="552"/>
      <c r="N28" s="253">
        <f>H28+I28*'F. de Conversión'!$C$4+J28*'F. de Conversión'!$C$7</f>
        <v>19.1598201799315</v>
      </c>
      <c r="O28" s="231"/>
      <c r="V28" s="4"/>
      <c r="W28" s="825"/>
      <c r="X28" s="825"/>
      <c r="Y28" s="4"/>
    </row>
    <row r="29" spans="2:25" ht="15">
      <c r="B29" s="872"/>
      <c r="C29" s="866"/>
      <c r="D29" s="866"/>
      <c r="E29" s="866" t="s">
        <v>402</v>
      </c>
      <c r="F29" s="873"/>
      <c r="G29" s="860" t="s">
        <v>385</v>
      </c>
      <c r="H29" s="10"/>
      <c r="I29" s="257">
        <f>+'GEI 3A1_3A2 (N1) '!G15</f>
        <v>0.43112431911574123</v>
      </c>
      <c r="J29" s="257">
        <f>+'GEI 3A1_3A2 (N1) '!K51+'GEI 3A1_3A2 (N1) '!K63+'GEI 3A1_3A2 (N1) '!K75+'GEI 3A1_3A2 (N1) '!K87</f>
        <v>0</v>
      </c>
      <c r="K29" s="9"/>
      <c r="L29" s="5"/>
      <c r="M29" s="552"/>
      <c r="N29" s="253">
        <f>H29+I29*'F. de Conversión'!$C$4+J29*'F. de Conversión'!$C$7</f>
        <v>12.071480935240753</v>
      </c>
      <c r="O29" s="231"/>
      <c r="V29" s="4"/>
      <c r="W29" s="825"/>
      <c r="X29" s="825"/>
      <c r="Y29" s="4"/>
    </row>
    <row r="30" spans="2:25" ht="15">
      <c r="B30" s="872"/>
      <c r="C30" s="866"/>
      <c r="D30" s="866"/>
      <c r="E30" s="866" t="s">
        <v>403</v>
      </c>
      <c r="F30" s="873"/>
      <c r="G30" s="860" t="s">
        <v>386</v>
      </c>
      <c r="H30" s="10"/>
      <c r="I30" s="257">
        <f>+'GEI 3A1_3A2 (N1) '!G16</f>
        <v>1.0416871643835617</v>
      </c>
      <c r="J30" s="257">
        <f>+'GEI 3A1_3A2 (N1) '!K52+'GEI 3A1_3A2 (N1) '!K64+'GEI 3A1_3A2 (N1) '!K76+'GEI 3A1_3A2 (N1) '!K88</f>
        <v>0.07327564323156</v>
      </c>
      <c r="K30" s="9"/>
      <c r="L30" s="5"/>
      <c r="M30" s="552"/>
      <c r="N30" s="253">
        <f>H30+I30*'F. de Conversión'!$C$4+J30*'F. de Conversión'!$C$7</f>
        <v>48.585286059103126</v>
      </c>
      <c r="O30" s="231"/>
      <c r="V30" s="4"/>
      <c r="W30" s="825"/>
      <c r="X30" s="825"/>
      <c r="Y30" s="4"/>
    </row>
    <row r="31" spans="2:25" ht="15">
      <c r="B31" s="872"/>
      <c r="C31" s="866"/>
      <c r="D31" s="866"/>
      <c r="E31" s="866" t="s">
        <v>404</v>
      </c>
      <c r="F31" s="873"/>
      <c r="G31" s="860" t="s">
        <v>387</v>
      </c>
      <c r="H31" s="10"/>
      <c r="I31" s="15">
        <f>+'GEI 3A1_3A2 (N1) '!G19</f>
        <v>1.0221499333952833</v>
      </c>
      <c r="J31" s="257">
        <f>+'GEI 3A1_3A2 (N1) '!K55+'GEI 3A1_3A2 (N1) '!K67+'GEI 3A1_3A2 (N1) '!K79+'GEI 3A1_3A2 (N1) '!K91</f>
        <v>0.09707097690123292</v>
      </c>
      <c r="K31" s="9"/>
      <c r="L31" s="5"/>
      <c r="M31" s="552"/>
      <c r="N31" s="253">
        <f>H31+I31*'F. de Conversión'!$C$4+J31*'F. de Conversión'!$C$7</f>
        <v>54.344007013894654</v>
      </c>
      <c r="O31" s="231"/>
      <c r="V31" s="4"/>
      <c r="W31" s="825"/>
      <c r="X31" s="825"/>
      <c r="Y31" s="4"/>
    </row>
    <row r="32" spans="2:25" ht="15">
      <c r="B32" s="872"/>
      <c r="C32" s="866"/>
      <c r="D32" s="866"/>
      <c r="E32" s="866" t="s">
        <v>405</v>
      </c>
      <c r="F32" s="873"/>
      <c r="G32" s="860" t="s">
        <v>388</v>
      </c>
      <c r="H32" s="10"/>
      <c r="I32" s="257">
        <f>+'GEI 3A1_3A2 (N1) '!G20</f>
        <v>0.16926997442776684</v>
      </c>
      <c r="J32" s="257">
        <f>+'GEI 3A1_3A2 (N1) '!K56+'GEI 3A1_3A2 (N1) '!K68+'GEI 3A1_3A2 (N1) '!K80+'GEI 3A1_3A2 (N1) '!K92</f>
        <v>0</v>
      </c>
      <c r="K32" s="9"/>
      <c r="L32" s="5"/>
      <c r="M32" s="552"/>
      <c r="N32" s="253">
        <f>H32+I32*'F. de Conversión'!$C$4+J32*'F. de Conversión'!$C$7</f>
        <v>4.739559283977472</v>
      </c>
      <c r="O32" s="231"/>
      <c r="V32" s="4"/>
      <c r="W32" s="825"/>
      <c r="X32" s="825"/>
      <c r="Y32" s="4"/>
    </row>
    <row r="33" spans="2:25" ht="14.25">
      <c r="B33" s="872"/>
      <c r="C33" s="866" t="s">
        <v>413</v>
      </c>
      <c r="D33" s="866"/>
      <c r="E33" s="866"/>
      <c r="F33" s="873"/>
      <c r="G33" s="855" t="s">
        <v>1160</v>
      </c>
      <c r="H33" s="261">
        <f>+H34+SUM(H37:H42)</f>
        <v>292.6029333333333</v>
      </c>
      <c r="I33" s="255">
        <f>+I34+SUM(I37:I42)</f>
        <v>80.4579103771897</v>
      </c>
      <c r="J33" s="255">
        <f>+J34+SUM(J37:J42)</f>
        <v>37.155629986127344</v>
      </c>
      <c r="K33" s="258">
        <f>+K34+SUM(K37:K42)</f>
        <v>25.915986525693242</v>
      </c>
      <c r="L33" s="255">
        <f>+L34+SUM(L37:L42)</f>
        <v>390.7977875343533</v>
      </c>
      <c r="M33" s="11"/>
      <c r="N33" s="219">
        <f>H33+I33*'F. de Conversión'!$C$4+J33*'F. de Conversión'!$C$7</f>
        <v>12391.66637021839</v>
      </c>
      <c r="O33" s="231"/>
      <c r="V33" s="4"/>
      <c r="W33" s="825"/>
      <c r="X33" s="825"/>
      <c r="Y33" s="4"/>
    </row>
    <row r="34" spans="2:26" ht="15">
      <c r="B34" s="872"/>
      <c r="C34" s="866"/>
      <c r="D34" s="866" t="s">
        <v>414</v>
      </c>
      <c r="E34" s="866"/>
      <c r="F34" s="873"/>
      <c r="G34" s="863" t="s">
        <v>415</v>
      </c>
      <c r="H34" s="175"/>
      <c r="I34" s="256">
        <f>+I35+I36</f>
        <v>16.4995381162902</v>
      </c>
      <c r="J34" s="256">
        <f>+SUM(J35:J36)</f>
        <v>1.3313822017000678</v>
      </c>
      <c r="K34" s="259">
        <f>+SUM(K35:K36)</f>
        <v>25.915986525693242</v>
      </c>
      <c r="L34" s="256">
        <f>+SUM(L35:L36)</f>
        <v>390.7977875343533</v>
      </c>
      <c r="M34" s="11"/>
      <c r="N34" s="252">
        <f>H34+I34*'F. de Conversión'!$C$4+J34*'F. de Conversión'!$C$7</f>
        <v>814.8033507066436</v>
      </c>
      <c r="O34" s="960"/>
      <c r="V34" s="4"/>
      <c r="W34" s="825"/>
      <c r="X34" s="825"/>
      <c r="Y34" s="4"/>
      <c r="Z34" s="960"/>
    </row>
    <row r="35" spans="2:25" ht="15">
      <c r="B35" s="872"/>
      <c r="C35" s="866"/>
      <c r="D35" s="866"/>
      <c r="E35" s="866" t="s">
        <v>417</v>
      </c>
      <c r="F35" s="873"/>
      <c r="G35" s="860" t="s">
        <v>416</v>
      </c>
      <c r="H35" s="10"/>
      <c r="I35" s="257">
        <f>+'GEI 3C1'!N25</f>
        <v>2.678213397485521</v>
      </c>
      <c r="J35" s="257">
        <f>+'GEI 3C1'!P27</f>
        <v>0.06943516215703202</v>
      </c>
      <c r="K35" s="260">
        <f>+'GEI 3C1'!Q28</f>
        <v>2.4798272198940006</v>
      </c>
      <c r="L35" s="257">
        <f>+'GEI 3C1'!O26</f>
        <v>0.1951324376992</v>
      </c>
      <c r="M35" s="11"/>
      <c r="N35" s="253">
        <f>H35+I35*'F. de Conversión'!$C$4+J35*'F. de Conversión'!$C$7</f>
        <v>93.39029310120807</v>
      </c>
      <c r="O35" s="231"/>
      <c r="V35" s="4"/>
      <c r="W35" s="825"/>
      <c r="X35" s="825"/>
      <c r="Y35" s="4"/>
    </row>
    <row r="36" spans="2:25" ht="15">
      <c r="B36" s="872"/>
      <c r="C36" s="866"/>
      <c r="D36" s="866"/>
      <c r="E36" s="866" t="s">
        <v>418</v>
      </c>
      <c r="F36" s="873"/>
      <c r="G36" s="860" t="s">
        <v>1304</v>
      </c>
      <c r="H36" s="10"/>
      <c r="I36" s="257">
        <f>+'GEI 3C1'!N70+'GEI 3C1'!N89</f>
        <v>13.82132471880468</v>
      </c>
      <c r="J36" s="257">
        <f>+'GEI 3C1'!P72+'GEI 3C1'!P91</f>
        <v>1.2619470395430359</v>
      </c>
      <c r="K36" s="260">
        <f>+'GEI 3C1'!Q73+'GEI 3C1'!Q92</f>
        <v>23.43615930579924</v>
      </c>
      <c r="L36" s="257">
        <f>+'GEI 3C1'!O71+'GEI 3C1'!P91</f>
        <v>390.6026550966541</v>
      </c>
      <c r="M36" s="11"/>
      <c r="N36" s="253">
        <f>H36+I36*'F. de Conversión'!$C$4+J36*'F. de Conversión'!$C$7</f>
        <v>721.4130576054356</v>
      </c>
      <c r="O36" s="231"/>
      <c r="V36" s="4"/>
      <c r="W36" s="825"/>
      <c r="X36" s="825"/>
      <c r="Y36" s="4"/>
    </row>
    <row r="37" spans="2:25" ht="15">
      <c r="B37" s="872"/>
      <c r="C37" s="866"/>
      <c r="D37" s="866" t="s">
        <v>419</v>
      </c>
      <c r="E37" s="866"/>
      <c r="F37" s="873"/>
      <c r="G37" s="863" t="s">
        <v>420</v>
      </c>
      <c r="H37" s="491" t="s">
        <v>378</v>
      </c>
      <c r="I37" s="492"/>
      <c r="J37" s="492"/>
      <c r="K37" s="493"/>
      <c r="L37" s="494"/>
      <c r="M37" s="495"/>
      <c r="N37" s="496" t="s">
        <v>378</v>
      </c>
      <c r="O37" s="231"/>
      <c r="V37" s="4"/>
      <c r="W37" s="825"/>
      <c r="X37" s="825"/>
      <c r="Y37" s="4"/>
    </row>
    <row r="38" spans="2:25" ht="15">
      <c r="B38" s="872"/>
      <c r="C38" s="866"/>
      <c r="D38" s="866" t="s">
        <v>421</v>
      </c>
      <c r="E38" s="866"/>
      <c r="F38" s="873"/>
      <c r="G38" s="863" t="s">
        <v>422</v>
      </c>
      <c r="H38" s="262">
        <f>+'GEI 3C3'!F12</f>
        <v>292.6029333333333</v>
      </c>
      <c r="I38" s="176"/>
      <c r="J38" s="176"/>
      <c r="K38" s="9"/>
      <c r="L38" s="5"/>
      <c r="M38" s="11"/>
      <c r="N38" s="252">
        <f>H38+I38*'F. de Conversión'!$C$4+J38*'F. de Conversión'!$C$7</f>
        <v>292.6029333333333</v>
      </c>
      <c r="O38" s="231"/>
      <c r="V38" s="4"/>
      <c r="W38" s="825"/>
      <c r="X38" s="825"/>
      <c r="Y38" s="4"/>
    </row>
    <row r="39" spans="2:25" ht="14.25">
      <c r="B39" s="872"/>
      <c r="C39" s="866"/>
      <c r="D39" s="866" t="s">
        <v>423</v>
      </c>
      <c r="E39" s="866"/>
      <c r="F39" s="873"/>
      <c r="G39" s="856" t="s">
        <v>611</v>
      </c>
      <c r="H39" s="175"/>
      <c r="I39" s="176"/>
      <c r="J39" s="256">
        <f>+'GEI 3C4'!K39</f>
        <v>25.8629310250713</v>
      </c>
      <c r="K39" s="9"/>
      <c r="L39" s="5"/>
      <c r="M39" s="11"/>
      <c r="N39" s="252">
        <f>H39+I39*'F. de Conversión'!$C$4+J39*'F. de Conversión'!$C$7</f>
        <v>6853.676721643895</v>
      </c>
      <c r="O39" s="231"/>
      <c r="V39" s="4"/>
      <c r="W39" s="825"/>
      <c r="X39" s="825"/>
      <c r="Y39" s="4"/>
    </row>
    <row r="40" spans="2:25" ht="14.25">
      <c r="B40" s="872"/>
      <c r="C40" s="866"/>
      <c r="D40" s="866" t="s">
        <v>424</v>
      </c>
      <c r="E40" s="866"/>
      <c r="F40" s="873"/>
      <c r="G40" s="856" t="s">
        <v>612</v>
      </c>
      <c r="H40" s="175"/>
      <c r="I40" s="176"/>
      <c r="J40" s="256">
        <f>+'GEI 3C5'!L28</f>
        <v>9.26166831734049</v>
      </c>
      <c r="K40" s="9"/>
      <c r="L40" s="5"/>
      <c r="M40" s="11"/>
      <c r="N40" s="252">
        <f>H40+I40*'F. de Conversión'!$C$4+J40*'F. de Conversión'!$C$7</f>
        <v>2454.34210409523</v>
      </c>
      <c r="O40" s="231"/>
      <c r="V40" s="4"/>
      <c r="W40" s="825"/>
      <c r="X40" s="825"/>
      <c r="Y40" s="4"/>
    </row>
    <row r="41" spans="2:25" ht="14.25">
      <c r="B41" s="872"/>
      <c r="C41" s="866"/>
      <c r="D41" s="866" t="s">
        <v>425</v>
      </c>
      <c r="E41" s="866"/>
      <c r="F41" s="873"/>
      <c r="G41" s="856" t="s">
        <v>613</v>
      </c>
      <c r="H41" s="175"/>
      <c r="I41" s="176"/>
      <c r="J41" s="256">
        <f>+'GEI 3C6'!I72</f>
        <v>0.6996484420154883</v>
      </c>
      <c r="K41" s="9"/>
      <c r="L41" s="5"/>
      <c r="M41" s="11"/>
      <c r="N41" s="252">
        <f>H41+I41*'F. de Conversión'!$C$4+J41*'F. de Conversión'!$C$7</f>
        <v>185.4068371341044</v>
      </c>
      <c r="O41" s="231"/>
      <c r="V41" s="4"/>
      <c r="W41" s="825"/>
      <c r="X41" s="825"/>
      <c r="Y41" s="4"/>
    </row>
    <row r="42" spans="2:25" ht="13.5" thickBot="1">
      <c r="B42" s="876"/>
      <c r="C42" s="877"/>
      <c r="D42" s="877" t="s">
        <v>426</v>
      </c>
      <c r="E42" s="877"/>
      <c r="F42" s="878"/>
      <c r="G42" s="864" t="s">
        <v>1007</v>
      </c>
      <c r="H42" s="177"/>
      <c r="I42" s="263">
        <f>+'GEI 3C7'!F44</f>
        <v>63.9583722608995</v>
      </c>
      <c r="J42" s="504"/>
      <c r="K42" s="12"/>
      <c r="L42" s="13"/>
      <c r="M42" s="14"/>
      <c r="N42" s="254">
        <f>H42+I42*'F. de Conversión'!$C$4+J42*'F. de Conversión'!$C$7</f>
        <v>1790.834423305186</v>
      </c>
      <c r="O42" s="231"/>
      <c r="V42" s="4"/>
      <c r="W42" s="825"/>
      <c r="X42" s="825"/>
      <c r="Y42" s="4"/>
    </row>
    <row r="43" spans="22:25" ht="15">
      <c r="V43" s="4"/>
      <c r="W43" s="825"/>
      <c r="X43" s="825"/>
      <c r="Y43" s="4"/>
    </row>
    <row r="44" spans="2:25" ht="15">
      <c r="B44" s="1682" t="s">
        <v>1173</v>
      </c>
      <c r="C44" s="1682"/>
      <c r="D44" s="1682"/>
      <c r="E44" s="1682"/>
      <c r="F44" s="1682"/>
      <c r="G44" s="1682"/>
      <c r="H44" s="1682"/>
      <c r="V44" s="4"/>
      <c r="W44" s="825"/>
      <c r="X44" s="825"/>
      <c r="Y44" s="4"/>
    </row>
    <row r="45" spans="22:25" ht="15">
      <c r="V45" s="4"/>
      <c r="W45" s="825"/>
      <c r="X45" s="825"/>
      <c r="Y45" s="4"/>
    </row>
    <row r="47" ht="12.75"/>
    <row r="48" ht="12.75"/>
    <row r="49" ht="12.75"/>
    <row r="50" ht="12.75"/>
    <row r="51" ht="12.75"/>
    <row r="52" ht="12.75"/>
    <row r="53" ht="12.75"/>
    <row r="54" ht="12.75"/>
    <row r="55" ht="12.75"/>
    <row r="56" ht="12.75"/>
    <row r="57" ht="12.75"/>
    <row r="58" ht="12.75"/>
    <row r="59" ht="12.75"/>
    <row r="60" ht="12.75"/>
    <row r="61" ht="12.75"/>
    <row r="62" ht="12.75"/>
    <row r="63" ht="12.75"/>
  </sheetData>
  <mergeCells count="3">
    <mergeCell ref="B2:O2"/>
    <mergeCell ref="B4:F4"/>
    <mergeCell ref="B44:H44"/>
  </mergeCells>
  <printOptions/>
  <pageMargins left="0.7" right="0.7" top="0.75" bottom="0.75" header="0.3" footer="0.3"/>
  <pageSetup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A6A6A6"/>
  </sheetPr>
  <dimension ref="A2:AMI102"/>
  <sheetViews>
    <sheetView tabSelected="1" workbookViewId="0" topLeftCell="C1">
      <selection activeCell="D7" sqref="D7:D44"/>
    </sheetView>
  </sheetViews>
  <sheetFormatPr defaultColWidth="9.140625" defaultRowHeight="15"/>
  <cols>
    <col min="1" max="1" width="6.421875" style="178" customWidth="1"/>
    <col min="2" max="2" width="12.7109375" style="178" customWidth="1"/>
    <col min="3" max="3" width="48.140625" style="178" customWidth="1"/>
    <col min="4" max="11" width="10.421875" style="178" customWidth="1"/>
    <col min="12" max="12" width="11.57421875" style="178" customWidth="1"/>
    <col min="13" max="13" width="15.7109375" style="6" customWidth="1"/>
    <col min="14" max="14" width="8.8515625" style="6" customWidth="1"/>
    <col min="15" max="15" width="9.28125" style="6" customWidth="1"/>
    <col min="16" max="25" width="15.7109375" style="6" customWidth="1"/>
    <col min="26" max="26" width="9.140625" style="6" customWidth="1"/>
    <col min="27" max="28" width="10.28125" style="6" bestFit="1" customWidth="1"/>
    <col min="29" max="980" width="9.140625" style="6" customWidth="1"/>
    <col min="981" max="16384" width="9.140625" style="8" customWidth="1"/>
  </cols>
  <sheetData>
    <row r="2" spans="2:11" ht="15">
      <c r="B2" s="185" t="s">
        <v>430</v>
      </c>
      <c r="C2" s="185"/>
      <c r="D2" s="185"/>
      <c r="E2" s="185"/>
      <c r="F2" s="185"/>
      <c r="G2" s="185"/>
      <c r="H2" s="185"/>
      <c r="I2" s="185"/>
      <c r="J2" s="185"/>
      <c r="K2" s="185"/>
    </row>
    <row r="3" spans="1:12" s="7" customFormat="1" ht="15.75" customHeight="1" thickBot="1">
      <c r="A3" s="178"/>
      <c r="B3" s="179"/>
      <c r="C3" s="179"/>
      <c r="D3" s="518"/>
      <c r="E3" s="518"/>
      <c r="F3" s="518"/>
      <c r="G3" s="518"/>
      <c r="H3" s="518"/>
      <c r="I3" s="518"/>
      <c r="J3" s="518"/>
      <c r="K3" s="179"/>
      <c r="L3" s="179"/>
    </row>
    <row r="4" spans="2:24" ht="15">
      <c r="B4" s="1686" t="s">
        <v>1172</v>
      </c>
      <c r="C4" s="1683" t="s">
        <v>379</v>
      </c>
      <c r="D4" s="1683" t="s">
        <v>1445</v>
      </c>
      <c r="E4" s="1689"/>
      <c r="F4" s="1689"/>
      <c r="G4" s="1689"/>
      <c r="H4" s="1689"/>
      <c r="I4" s="1689"/>
      <c r="J4" s="1689"/>
      <c r="K4" s="1689"/>
      <c r="L4" s="1690"/>
      <c r="M4" s="8"/>
      <c r="N4" s="8"/>
      <c r="O4" s="8"/>
      <c r="P4" s="8"/>
      <c r="Q4" s="8"/>
      <c r="R4" s="8"/>
      <c r="S4" s="8"/>
      <c r="T4" s="8"/>
      <c r="U4" s="8"/>
      <c r="V4" s="8"/>
      <c r="W4" s="8"/>
      <c r="X4" s="8"/>
    </row>
    <row r="5" spans="2:24" ht="15.75" thickBot="1">
      <c r="B5" s="1687"/>
      <c r="C5" s="1684"/>
      <c r="D5" s="943"/>
      <c r="E5" s="944"/>
      <c r="F5" s="944"/>
      <c r="G5" s="944"/>
      <c r="H5" s="944" t="s">
        <v>1446</v>
      </c>
      <c r="I5" s="944"/>
      <c r="J5" s="944"/>
      <c r="K5" s="944"/>
      <c r="L5" s="945"/>
      <c r="M5" s="8"/>
      <c r="N5" s="8"/>
      <c r="O5" s="8"/>
      <c r="P5" s="8"/>
      <c r="Q5" s="8"/>
      <c r="R5" s="8"/>
      <c r="S5" s="8"/>
      <c r="T5" s="8"/>
      <c r="U5" s="8"/>
      <c r="V5" s="8"/>
      <c r="W5" s="8"/>
      <c r="X5" s="8"/>
    </row>
    <row r="6" spans="2:24" ht="22.5" customHeight="1" thickBot="1">
      <c r="B6" s="1688"/>
      <c r="C6" s="1685"/>
      <c r="D6" s="941">
        <v>1994</v>
      </c>
      <c r="E6" s="942">
        <v>2000</v>
      </c>
      <c r="F6" s="942">
        <v>2005</v>
      </c>
      <c r="G6" s="942">
        <v>2010</v>
      </c>
      <c r="H6" s="942">
        <v>2012</v>
      </c>
      <c r="I6" s="942">
        <v>2014</v>
      </c>
      <c r="J6" s="942">
        <v>2016</v>
      </c>
      <c r="K6" s="942">
        <v>2018</v>
      </c>
      <c r="L6" s="942">
        <v>2019</v>
      </c>
      <c r="M6" s="8"/>
      <c r="N6" s="8"/>
      <c r="O6" s="826"/>
      <c r="P6" s="530"/>
      <c r="Q6" s="530"/>
      <c r="R6" s="530"/>
      <c r="S6" s="530"/>
      <c r="T6" s="8"/>
      <c r="U6" s="8"/>
      <c r="V6" s="8"/>
      <c r="W6" s="8"/>
      <c r="X6" s="8"/>
    </row>
    <row r="7" spans="2:24" ht="15">
      <c r="B7" s="946">
        <v>3</v>
      </c>
      <c r="C7" s="540" t="s">
        <v>381</v>
      </c>
      <c r="D7" s="532">
        <v>22059.371509955956</v>
      </c>
      <c r="E7" s="533">
        <v>24925.899555837837</v>
      </c>
      <c r="F7" s="533">
        <v>26242.85656820525</v>
      </c>
      <c r="G7" s="533">
        <v>27833.41606610744</v>
      </c>
      <c r="H7" s="533">
        <v>28143.37257489652</v>
      </c>
      <c r="I7" s="534">
        <v>27887.705788074505</v>
      </c>
      <c r="J7" s="534">
        <v>27900.804720674212</v>
      </c>
      <c r="K7" s="535">
        <v>27821.271968947185</v>
      </c>
      <c r="L7" s="535">
        <f>'RESULTADOS RAGEI '!N5</f>
        <v>28478.343265461524</v>
      </c>
      <c r="M7" s="8"/>
      <c r="N7" s="8"/>
      <c r="O7" s="531"/>
      <c r="P7" s="8"/>
      <c r="Q7" s="8"/>
      <c r="R7" s="8"/>
      <c r="S7" s="8"/>
      <c r="T7" s="8"/>
      <c r="U7" s="8"/>
      <c r="V7" s="8"/>
      <c r="W7" s="8"/>
      <c r="X7" s="8"/>
    </row>
    <row r="8" spans="2:24" ht="15">
      <c r="B8" s="1098" t="s">
        <v>391</v>
      </c>
      <c r="C8" s="541" t="s">
        <v>126</v>
      </c>
      <c r="D8" s="180">
        <v>13553.339946390308</v>
      </c>
      <c r="E8" s="180">
        <v>14872.70816925664</v>
      </c>
      <c r="F8" s="180">
        <v>15627.918295011377</v>
      </c>
      <c r="G8" s="180">
        <v>16292.777885363575</v>
      </c>
      <c r="H8" s="180">
        <v>16244.901007339477</v>
      </c>
      <c r="I8" s="180">
        <v>16091.046878239813</v>
      </c>
      <c r="J8" s="180">
        <v>15931.836340526273</v>
      </c>
      <c r="K8" s="180">
        <v>16018.109086278662</v>
      </c>
      <c r="L8" s="180">
        <f>'RESULTADOS RAGEI '!N6</f>
        <v>16086.676895243136</v>
      </c>
      <c r="M8" s="8"/>
      <c r="N8" s="8"/>
      <c r="O8" s="8"/>
      <c r="P8" s="8"/>
      <c r="Q8" s="8"/>
      <c r="R8" s="8"/>
      <c r="S8" s="8"/>
      <c r="T8" s="8"/>
      <c r="U8" s="8"/>
      <c r="V8" s="8"/>
      <c r="W8" s="8"/>
      <c r="X8" s="8"/>
    </row>
    <row r="9" spans="2:24" ht="15">
      <c r="B9" s="1099" t="s">
        <v>392</v>
      </c>
      <c r="C9" s="542" t="s">
        <v>382</v>
      </c>
      <c r="D9" s="181">
        <v>13001.712430865384</v>
      </c>
      <c r="E9" s="181">
        <v>14279.746207674292</v>
      </c>
      <c r="F9" s="181">
        <v>14994.678462765341</v>
      </c>
      <c r="G9" s="181">
        <v>15625.809495265905</v>
      </c>
      <c r="H9" s="181">
        <v>15586.302805468697</v>
      </c>
      <c r="I9" s="181">
        <v>15422.976862971493</v>
      </c>
      <c r="J9" s="181">
        <v>15284.69361627644</v>
      </c>
      <c r="K9" s="181">
        <v>15356.54325460657</v>
      </c>
      <c r="L9" s="181">
        <f>'RESULTADOS RAGEI '!N7</f>
        <v>15432.438755566665</v>
      </c>
      <c r="M9" s="8"/>
      <c r="N9" s="8"/>
      <c r="O9" s="8"/>
      <c r="P9" s="8"/>
      <c r="Q9" s="8"/>
      <c r="R9" s="8"/>
      <c r="S9" s="8"/>
      <c r="T9" s="8"/>
      <c r="U9" s="8"/>
      <c r="V9" s="8"/>
      <c r="W9" s="8"/>
      <c r="X9" s="8"/>
    </row>
    <row r="10" spans="2:24" ht="15">
      <c r="B10" s="1102" t="s">
        <v>390</v>
      </c>
      <c r="C10" s="111" t="s">
        <v>393</v>
      </c>
      <c r="D10" s="182">
        <v>9203.18523376251</v>
      </c>
      <c r="E10" s="182">
        <v>10273.536894685903</v>
      </c>
      <c r="F10" s="182">
        <v>10932.396943463544</v>
      </c>
      <c r="G10" s="182">
        <v>11607.772231525492</v>
      </c>
      <c r="H10" s="182">
        <v>11945.712645192669</v>
      </c>
      <c r="I10" s="182">
        <v>11797.038698953605</v>
      </c>
      <c r="J10" s="182">
        <v>11743.348039037768</v>
      </c>
      <c r="K10" s="182">
        <v>11855.349334983372</v>
      </c>
      <c r="L10" s="182">
        <f>'RESULTADOS RAGEI '!N8</f>
        <v>11920.897155291103</v>
      </c>
      <c r="M10" s="8"/>
      <c r="N10" s="8"/>
      <c r="O10" s="8"/>
      <c r="P10" s="8"/>
      <c r="Q10" s="8"/>
      <c r="R10" s="8"/>
      <c r="S10" s="8"/>
      <c r="T10" s="8"/>
      <c r="U10" s="8"/>
      <c r="V10" s="8"/>
      <c r="W10" s="8"/>
      <c r="X10" s="8"/>
    </row>
    <row r="11" spans="2:24" ht="15">
      <c r="B11" s="1103" t="s">
        <v>394</v>
      </c>
      <c r="C11" s="940" t="s">
        <v>395</v>
      </c>
      <c r="D11" s="182">
        <v>1316.1404722640682</v>
      </c>
      <c r="E11" s="182">
        <v>1481.2249479820057</v>
      </c>
      <c r="F11" s="182">
        <v>1942.3886806589842</v>
      </c>
      <c r="G11" s="182">
        <v>2250.9200227234915</v>
      </c>
      <c r="H11" s="182">
        <v>2466.4470675475113</v>
      </c>
      <c r="I11" s="182">
        <v>2519.2657740419577</v>
      </c>
      <c r="J11" s="182">
        <v>2597.678585020438</v>
      </c>
      <c r="K11" s="182">
        <v>2631.271483886525</v>
      </c>
      <c r="L11" s="182">
        <f>'RESULTADOS RAGEI '!N9</f>
        <v>2668.031640375591</v>
      </c>
      <c r="M11" s="8"/>
      <c r="N11" s="8"/>
      <c r="O11" s="8"/>
      <c r="P11" s="8"/>
      <c r="Q11" s="8"/>
      <c r="R11" s="8"/>
      <c r="S11" s="8"/>
      <c r="T11" s="8"/>
      <c r="U11" s="8"/>
      <c r="V11" s="8"/>
      <c r="W11" s="8"/>
      <c r="X11" s="8"/>
    </row>
    <row r="12" spans="2:24" ht="15">
      <c r="B12" s="1103" t="s">
        <v>396</v>
      </c>
      <c r="C12" s="940" t="s">
        <v>375</v>
      </c>
      <c r="D12" s="182">
        <v>7887.044761498442</v>
      </c>
      <c r="E12" s="182">
        <v>8792.311946703898</v>
      </c>
      <c r="F12" s="182">
        <v>8990.00826280456</v>
      </c>
      <c r="G12" s="182">
        <v>9356.852208802002</v>
      </c>
      <c r="H12" s="182">
        <v>9479.265577645157</v>
      </c>
      <c r="I12" s="182">
        <v>9277.772924911647</v>
      </c>
      <c r="J12" s="182">
        <v>9145.66945401733</v>
      </c>
      <c r="K12" s="182">
        <v>9224.077851096848</v>
      </c>
      <c r="L12" s="182">
        <f>'RESULTADOS RAGEI '!N10</f>
        <v>9252.865514915513</v>
      </c>
      <c r="M12" s="8"/>
      <c r="N12" s="8"/>
      <c r="O12" s="8"/>
      <c r="P12" s="8"/>
      <c r="Q12" s="8"/>
      <c r="R12" s="8"/>
      <c r="S12" s="8"/>
      <c r="T12" s="8"/>
      <c r="U12" s="8"/>
      <c r="V12" s="8"/>
      <c r="W12" s="8"/>
      <c r="X12" s="8"/>
    </row>
    <row r="13" spans="2:24" ht="15">
      <c r="B13" s="1102" t="s">
        <v>397</v>
      </c>
      <c r="C13" s="544" t="s">
        <v>383</v>
      </c>
      <c r="D13" s="549" t="s">
        <v>462</v>
      </c>
      <c r="E13" s="549" t="s">
        <v>462</v>
      </c>
      <c r="F13" s="549" t="s">
        <v>462</v>
      </c>
      <c r="G13" s="549" t="s">
        <v>462</v>
      </c>
      <c r="H13" s="549" t="s">
        <v>462</v>
      </c>
      <c r="I13" s="549" t="s">
        <v>462</v>
      </c>
      <c r="J13" s="549" t="s">
        <v>462</v>
      </c>
      <c r="K13" s="549" t="s">
        <v>462</v>
      </c>
      <c r="L13" s="549" t="str">
        <f>'RESULTADOS RAGEI '!N11</f>
        <v>NO</v>
      </c>
      <c r="M13" s="8"/>
      <c r="N13" s="8"/>
      <c r="O13" s="8"/>
      <c r="P13" s="8"/>
      <c r="Q13" s="8"/>
      <c r="R13" s="8"/>
      <c r="S13" s="8"/>
      <c r="T13" s="8"/>
      <c r="U13" s="8"/>
      <c r="V13" s="8"/>
      <c r="W13" s="8"/>
      <c r="X13" s="8"/>
    </row>
    <row r="14" spans="2:24" ht="15">
      <c r="B14" s="1102" t="s">
        <v>398</v>
      </c>
      <c r="C14" s="545" t="s">
        <v>40</v>
      </c>
      <c r="D14" s="182">
        <v>1773.37622</v>
      </c>
      <c r="E14" s="182">
        <v>2072.13874</v>
      </c>
      <c r="F14" s="182">
        <v>2073.9300399999997</v>
      </c>
      <c r="G14" s="182">
        <v>1982.3606600000003</v>
      </c>
      <c r="H14" s="182">
        <v>1705.7800200000001</v>
      </c>
      <c r="I14" s="182">
        <v>1631.31808</v>
      </c>
      <c r="J14" s="182">
        <v>1603.0922600000001</v>
      </c>
      <c r="K14" s="182">
        <v>1586.32712</v>
      </c>
      <c r="L14" s="182">
        <f>'RESULTADOS RAGEI '!N12</f>
        <v>1592.02946</v>
      </c>
      <c r="M14" s="8"/>
      <c r="N14" s="8"/>
      <c r="O14" s="8"/>
      <c r="P14" s="8"/>
      <c r="Q14" s="8"/>
      <c r="R14" s="8"/>
      <c r="S14" s="8"/>
      <c r="T14" s="8"/>
      <c r="U14" s="8"/>
      <c r="V14" s="8"/>
      <c r="W14" s="8"/>
      <c r="X14" s="8"/>
    </row>
    <row r="15" spans="2:24" ht="15">
      <c r="B15" s="1102" t="s">
        <v>399</v>
      </c>
      <c r="C15" s="546" t="s">
        <v>39</v>
      </c>
      <c r="D15" s="182">
        <v>275.58384</v>
      </c>
      <c r="E15" s="182">
        <v>284.88795999999996</v>
      </c>
      <c r="F15" s="182">
        <v>273.41384</v>
      </c>
      <c r="G15" s="182">
        <v>275.56255999999996</v>
      </c>
      <c r="H15" s="182">
        <v>272.93028</v>
      </c>
      <c r="I15" s="182">
        <v>266.72141999999997</v>
      </c>
      <c r="J15" s="182">
        <v>263.15981999999997</v>
      </c>
      <c r="K15" s="182">
        <v>253.7682</v>
      </c>
      <c r="L15" s="182">
        <f>'RESULTADOS RAGEI '!N13</f>
        <v>252.26348000000002</v>
      </c>
      <c r="M15" s="8"/>
      <c r="N15" s="8"/>
      <c r="O15" s="8"/>
      <c r="P15" s="8"/>
      <c r="Q15" s="8"/>
      <c r="R15" s="8"/>
      <c r="S15" s="8"/>
      <c r="T15" s="8"/>
      <c r="U15" s="8"/>
      <c r="V15" s="8"/>
      <c r="W15" s="8"/>
      <c r="X15" s="8"/>
    </row>
    <row r="16" spans="2:24" ht="15">
      <c r="B16" s="1102" t="s">
        <v>400</v>
      </c>
      <c r="C16" s="545" t="s">
        <v>384</v>
      </c>
      <c r="D16" s="182">
        <v>881.0531520000001</v>
      </c>
      <c r="E16" s="182">
        <v>954.7847679999999</v>
      </c>
      <c r="F16" s="182">
        <v>1089.646656</v>
      </c>
      <c r="G16" s="182">
        <v>1214.677632</v>
      </c>
      <c r="H16" s="182">
        <v>1147.27536</v>
      </c>
      <c r="I16" s="182">
        <v>1238.20704</v>
      </c>
      <c r="J16" s="182">
        <v>1215.0311040000001</v>
      </c>
      <c r="K16" s="182">
        <v>1227.0652799999998</v>
      </c>
      <c r="L16" s="182">
        <f>'RESULTADOS RAGEI '!N14</f>
        <v>1243.64128</v>
      </c>
      <c r="M16" s="8"/>
      <c r="N16" s="8"/>
      <c r="O16" s="8"/>
      <c r="P16" s="8"/>
      <c r="Q16" s="8"/>
      <c r="R16" s="8"/>
      <c r="S16" s="8"/>
      <c r="T16" s="8"/>
      <c r="U16" s="8"/>
      <c r="V16" s="8"/>
      <c r="W16" s="8"/>
      <c r="X16" s="8"/>
    </row>
    <row r="17" spans="2:24" ht="15">
      <c r="B17" s="1102" t="s">
        <v>401</v>
      </c>
      <c r="C17" s="545" t="s">
        <v>66</v>
      </c>
      <c r="D17" s="182">
        <v>535.325616</v>
      </c>
      <c r="E17" s="182">
        <v>413.29889930919285</v>
      </c>
      <c r="F17" s="182">
        <v>376.825612478591</v>
      </c>
      <c r="G17" s="182">
        <v>321.24206457193486</v>
      </c>
      <c r="H17" s="182">
        <v>301.37637599999994</v>
      </c>
      <c r="I17" s="182">
        <v>282.73918651321065</v>
      </c>
      <c r="J17" s="182">
        <v>265.2504408847659</v>
      </c>
      <c r="K17" s="182">
        <v>247.71834971700497</v>
      </c>
      <c r="L17" s="182">
        <f>'RESULTADOS RAGEI '!N15</f>
        <v>241.033826422431</v>
      </c>
      <c r="M17" s="8"/>
      <c r="N17" s="8"/>
      <c r="O17" s="8"/>
      <c r="P17" s="8"/>
      <c r="Q17" s="8"/>
      <c r="R17" s="8"/>
      <c r="S17" s="8"/>
      <c r="T17" s="8"/>
      <c r="U17" s="8"/>
      <c r="V17" s="8"/>
      <c r="W17" s="8"/>
      <c r="X17" s="8"/>
    </row>
    <row r="18" spans="2:24" ht="15">
      <c r="B18" s="1102" t="s">
        <v>402</v>
      </c>
      <c r="C18" s="545" t="s">
        <v>385</v>
      </c>
      <c r="D18" s="182">
        <v>311.80156</v>
      </c>
      <c r="E18" s="182">
        <v>255.72778146062623</v>
      </c>
      <c r="F18" s="182">
        <v>221.2698049962941</v>
      </c>
      <c r="G18" s="182">
        <v>194.49036008490984</v>
      </c>
      <c r="H18" s="182">
        <v>185.43000000000006</v>
      </c>
      <c r="I18" s="182">
        <v>177.15406291150688</v>
      </c>
      <c r="J18" s="182">
        <v>165.20215842397252</v>
      </c>
      <c r="K18" s="182">
        <v>155.88379745336493</v>
      </c>
      <c r="L18" s="182">
        <f>'RESULTADOS RAGEI '!N16</f>
        <v>151.4985378020299</v>
      </c>
      <c r="M18" s="8"/>
      <c r="N18" s="8"/>
      <c r="O18" s="8"/>
      <c r="P18" s="8"/>
      <c r="Q18" s="8"/>
      <c r="R18" s="8"/>
      <c r="S18" s="8"/>
      <c r="T18" s="8"/>
      <c r="U18" s="8"/>
      <c r="V18" s="8"/>
      <c r="W18" s="8"/>
      <c r="X18" s="8"/>
    </row>
    <row r="19" spans="2:24" ht="15">
      <c r="B19" s="1102" t="s">
        <v>403</v>
      </c>
      <c r="C19" s="545" t="s">
        <v>386</v>
      </c>
      <c r="D19" s="182">
        <v>19.360697424657534</v>
      </c>
      <c r="E19" s="182">
        <v>22.920505808219175</v>
      </c>
      <c r="F19" s="182">
        <v>24.250763178082188</v>
      </c>
      <c r="G19" s="182">
        <v>26.213619945205476</v>
      </c>
      <c r="H19" s="182">
        <v>24.06220849315068</v>
      </c>
      <c r="I19" s="182">
        <v>25.799635726027397</v>
      </c>
      <c r="J19" s="182">
        <v>25.331611890410954</v>
      </c>
      <c r="K19" s="182">
        <v>25.8538122739726</v>
      </c>
      <c r="L19" s="182">
        <f>'RESULTADOS RAGEI '!N17</f>
        <v>26.335456767123286</v>
      </c>
      <c r="M19" s="8"/>
      <c r="N19" s="8"/>
      <c r="O19" s="8"/>
      <c r="P19" s="8"/>
      <c r="Q19" s="8"/>
      <c r="R19" s="8"/>
      <c r="S19" s="8"/>
      <c r="T19" s="8"/>
      <c r="U19" s="8"/>
      <c r="V19" s="8"/>
      <c r="W19" s="8"/>
      <c r="X19" s="8"/>
    </row>
    <row r="20" spans="2:24" ht="15">
      <c r="B20" s="1102" t="s">
        <v>404</v>
      </c>
      <c r="C20" s="545" t="s">
        <v>387</v>
      </c>
      <c r="D20" s="550" t="s">
        <v>378</v>
      </c>
      <c r="E20" s="550" t="s">
        <v>378</v>
      </c>
      <c r="F20" s="550" t="s">
        <v>378</v>
      </c>
      <c r="G20" s="550" t="s">
        <v>378</v>
      </c>
      <c r="H20" s="550" t="s">
        <v>378</v>
      </c>
      <c r="I20" s="550" t="s">
        <v>378</v>
      </c>
      <c r="J20" s="550" t="s">
        <v>378</v>
      </c>
      <c r="K20" s="550" t="s">
        <v>378</v>
      </c>
      <c r="L20" s="550" t="str">
        <f>'RESULTADOS RAGEI '!N18</f>
        <v>NE</v>
      </c>
      <c r="M20" s="8"/>
      <c r="N20" s="8"/>
      <c r="O20" s="8"/>
      <c r="P20" s="8"/>
      <c r="Q20" s="8"/>
      <c r="R20" s="8"/>
      <c r="S20" s="8"/>
      <c r="T20" s="8"/>
      <c r="U20" s="8"/>
      <c r="V20" s="8"/>
      <c r="W20" s="8"/>
      <c r="X20" s="8"/>
    </row>
    <row r="21" spans="2:24" ht="15">
      <c r="B21" s="1102" t="s">
        <v>405</v>
      </c>
      <c r="C21" s="545" t="s">
        <v>388</v>
      </c>
      <c r="D21" s="182">
        <v>2.026111678217587</v>
      </c>
      <c r="E21" s="182">
        <v>2.4506584103500955</v>
      </c>
      <c r="F21" s="182">
        <v>2.944802648830639</v>
      </c>
      <c r="G21" s="182">
        <v>3.4903671383583337</v>
      </c>
      <c r="H21" s="182">
        <v>3.735915782875985</v>
      </c>
      <c r="I21" s="182">
        <v>3.9987388671400548</v>
      </c>
      <c r="J21" s="182">
        <v>4.278182039519661</v>
      </c>
      <c r="K21" s="182">
        <v>4.577360178854365</v>
      </c>
      <c r="L21" s="182">
        <f>'RESULTADOS RAGEI '!N19</f>
        <v>4.739559283977472</v>
      </c>
      <c r="M21" s="8"/>
      <c r="N21" s="8"/>
      <c r="O21" s="8"/>
      <c r="P21" s="8"/>
      <c r="Q21" s="8"/>
      <c r="R21" s="8"/>
      <c r="S21" s="8"/>
      <c r="T21" s="8"/>
      <c r="U21" s="8"/>
      <c r="V21" s="8"/>
      <c r="W21" s="8"/>
      <c r="X21" s="8"/>
    </row>
    <row r="22" spans="2:24" ht="15">
      <c r="B22" s="1104" t="s">
        <v>406</v>
      </c>
      <c r="C22" s="542" t="s">
        <v>389</v>
      </c>
      <c r="D22" s="181">
        <v>551.6275155249238</v>
      </c>
      <c r="E22" s="181">
        <v>592.9619615823483</v>
      </c>
      <c r="F22" s="181">
        <v>633.239832246034</v>
      </c>
      <c r="G22" s="181">
        <v>666.9683900976723</v>
      </c>
      <c r="H22" s="181">
        <v>658.5982018707782</v>
      </c>
      <c r="I22" s="181">
        <v>668.0700152683178</v>
      </c>
      <c r="J22" s="181">
        <v>647.1427242498326</v>
      </c>
      <c r="K22" s="181">
        <v>661.5658316720918</v>
      </c>
      <c r="L22" s="181">
        <f>'RESULTADOS RAGEI '!N20</f>
        <v>654.2381396764708</v>
      </c>
      <c r="M22" s="8"/>
      <c r="N22" s="8"/>
      <c r="O22" s="8"/>
      <c r="P22" s="8"/>
      <c r="Q22" s="8"/>
      <c r="R22" s="8"/>
      <c r="S22" s="8"/>
      <c r="T22" s="8"/>
      <c r="U22" s="8"/>
      <c r="V22" s="8"/>
      <c r="W22" s="8"/>
      <c r="X22" s="8"/>
    </row>
    <row r="23" spans="2:24" ht="15">
      <c r="B23" s="1102" t="s">
        <v>407</v>
      </c>
      <c r="C23" s="545" t="s">
        <v>412</v>
      </c>
      <c r="D23" s="182">
        <v>226.72414274101578</v>
      </c>
      <c r="E23" s="182">
        <v>251.92809512973656</v>
      </c>
      <c r="F23" s="182">
        <v>272.8483126801929</v>
      </c>
      <c r="G23" s="182">
        <v>289.4412973033945</v>
      </c>
      <c r="H23" s="182">
        <v>300.3570185724667</v>
      </c>
      <c r="I23" s="182">
        <v>297.63903658927734</v>
      </c>
      <c r="J23" s="182">
        <v>297.402562437325</v>
      </c>
      <c r="K23" s="182">
        <v>298.5278253946918</v>
      </c>
      <c r="L23" s="182">
        <f>'RESULTADOS RAGEI '!N21</f>
        <v>300.60905369243335</v>
      </c>
      <c r="M23" s="8"/>
      <c r="N23" s="8"/>
      <c r="O23" s="8"/>
      <c r="P23" s="8"/>
      <c r="Q23" s="8"/>
      <c r="R23" s="8"/>
      <c r="S23" s="8"/>
      <c r="T23" s="8"/>
      <c r="U23" s="8"/>
      <c r="V23" s="8"/>
      <c r="W23" s="8"/>
      <c r="X23" s="8"/>
    </row>
    <row r="24" spans="2:24" ht="15">
      <c r="B24" s="1103" t="s">
        <v>408</v>
      </c>
      <c r="C24" s="543" t="s">
        <v>395</v>
      </c>
      <c r="D24" s="183">
        <v>54.27597608599575</v>
      </c>
      <c r="E24" s="183">
        <v>59.68443651371675</v>
      </c>
      <c r="F24" s="183">
        <v>76.32266270375827</v>
      </c>
      <c r="G24" s="183">
        <v>84.9107690591669</v>
      </c>
      <c r="H24" s="183">
        <v>93.16835664482353</v>
      </c>
      <c r="I24" s="183">
        <v>94.86403069599001</v>
      </c>
      <c r="J24" s="183">
        <v>97.524334341664</v>
      </c>
      <c r="K24" s="183">
        <v>96.93406853751432</v>
      </c>
      <c r="L24" s="183">
        <f>'RESULTADOS RAGEI '!N22</f>
        <v>98.38794586646398</v>
      </c>
      <c r="M24" s="8"/>
      <c r="N24" s="8"/>
      <c r="O24" s="8"/>
      <c r="P24" s="8"/>
      <c r="Q24" s="8"/>
      <c r="R24" s="8"/>
      <c r="S24" s="8"/>
      <c r="T24" s="8"/>
      <c r="U24" s="8"/>
      <c r="V24" s="8"/>
      <c r="W24" s="8"/>
      <c r="X24" s="8"/>
    </row>
    <row r="25" spans="2:24" ht="15">
      <c r="B25" s="1103" t="s">
        <v>409</v>
      </c>
      <c r="C25" s="543" t="s">
        <v>375</v>
      </c>
      <c r="D25" s="183">
        <v>172.44816665502003</v>
      </c>
      <c r="E25" s="183">
        <v>192.2436586160198</v>
      </c>
      <c r="F25" s="183">
        <v>196.5256499764347</v>
      </c>
      <c r="G25" s="183">
        <v>204.53052824422764</v>
      </c>
      <c r="H25" s="183">
        <v>207.18866192764312</v>
      </c>
      <c r="I25" s="183">
        <v>202.7750058932873</v>
      </c>
      <c r="J25" s="183">
        <v>199.87822809566103</v>
      </c>
      <c r="K25" s="183">
        <v>201.59375685717742</v>
      </c>
      <c r="L25" s="183">
        <f>'RESULTADOS RAGEI '!N23</f>
        <v>202.2211078259694</v>
      </c>
      <c r="M25" s="8"/>
      <c r="N25" s="8"/>
      <c r="O25" s="8"/>
      <c r="P25" s="8"/>
      <c r="Q25" s="8"/>
      <c r="R25" s="8"/>
      <c r="S25" s="8"/>
      <c r="T25" s="8"/>
      <c r="U25" s="8"/>
      <c r="V25" s="8"/>
      <c r="W25" s="8"/>
      <c r="X25" s="8"/>
    </row>
    <row r="26" spans="2:24" ht="15">
      <c r="B26" s="1102" t="s">
        <v>410</v>
      </c>
      <c r="C26" s="544" t="s">
        <v>383</v>
      </c>
      <c r="D26" s="550" t="s">
        <v>462</v>
      </c>
      <c r="E26" s="550" t="s">
        <v>462</v>
      </c>
      <c r="F26" s="550" t="s">
        <v>462</v>
      </c>
      <c r="G26" s="550" t="s">
        <v>462</v>
      </c>
      <c r="H26" s="550" t="s">
        <v>462</v>
      </c>
      <c r="I26" s="550" t="s">
        <v>462</v>
      </c>
      <c r="J26" s="550" t="s">
        <v>462</v>
      </c>
      <c r="K26" s="550" t="s">
        <v>462</v>
      </c>
      <c r="L26" s="550" t="str">
        <f>'RESULTADOS RAGEI '!N24</f>
        <v>NO</v>
      </c>
      <c r="M26" s="8"/>
      <c r="N26" s="8"/>
      <c r="O26" s="8"/>
      <c r="P26" s="8"/>
      <c r="Q26" s="8"/>
      <c r="R26" s="8"/>
      <c r="S26" s="8"/>
      <c r="T26" s="8"/>
      <c r="U26" s="8"/>
      <c r="V26" s="8"/>
      <c r="W26" s="8"/>
      <c r="X26" s="8"/>
    </row>
    <row r="27" spans="2:24" ht="15">
      <c r="B27" s="1102" t="s">
        <v>411</v>
      </c>
      <c r="C27" s="545" t="s">
        <v>40</v>
      </c>
      <c r="D27" s="182">
        <v>47.98824019851363</v>
      </c>
      <c r="E27" s="182">
        <v>56.02331016411687</v>
      </c>
      <c r="F27" s="182">
        <v>56.11009816165609</v>
      </c>
      <c r="G27" s="182">
        <v>53.650660095595555</v>
      </c>
      <c r="H27" s="182">
        <v>46.312692739991675</v>
      </c>
      <c r="I27" s="182">
        <v>44.388461261506784</v>
      </c>
      <c r="J27" s="182">
        <v>37.2350538</v>
      </c>
      <c r="K27" s="182">
        <v>42.9430973550885</v>
      </c>
      <c r="L27" s="182">
        <f>'RESULTADOS RAGEI '!N25</f>
        <v>36.4986608</v>
      </c>
      <c r="M27" s="8"/>
      <c r="N27" s="8"/>
      <c r="O27" s="8"/>
      <c r="P27" s="8"/>
      <c r="Q27" s="8"/>
      <c r="R27" s="8"/>
      <c r="S27" s="8"/>
      <c r="T27" s="8"/>
      <c r="U27" s="8"/>
      <c r="V27" s="8"/>
      <c r="W27" s="8"/>
      <c r="X27" s="8"/>
    </row>
    <row r="28" spans="2:24" ht="15">
      <c r="B28" s="1102" t="s">
        <v>399</v>
      </c>
      <c r="C28" s="546" t="s">
        <v>39</v>
      </c>
      <c r="D28" s="182">
        <v>8.761728260112896</v>
      </c>
      <c r="E28" s="182">
        <v>8.990609807421682</v>
      </c>
      <c r="F28" s="182">
        <v>8.762677485141158</v>
      </c>
      <c r="G28" s="182">
        <v>8.846225243899413</v>
      </c>
      <c r="H28" s="182">
        <v>9.06800436633608</v>
      </c>
      <c r="I28" s="182">
        <v>8.895188963660138</v>
      </c>
      <c r="J28" s="182">
        <v>8.68810936</v>
      </c>
      <c r="K28" s="182">
        <v>8.35363049268265</v>
      </c>
      <c r="L28" s="182">
        <f>'RESULTADOS RAGEI '!N26</f>
        <v>8.26863632</v>
      </c>
      <c r="M28" s="8"/>
      <c r="N28" s="8"/>
      <c r="O28" s="8"/>
      <c r="P28" s="8"/>
      <c r="Q28" s="8"/>
      <c r="R28" s="8"/>
      <c r="S28" s="8"/>
      <c r="T28" s="8"/>
      <c r="U28" s="8"/>
      <c r="V28" s="8"/>
      <c r="W28" s="8"/>
      <c r="X28" s="8"/>
    </row>
    <row r="29" spans="2:24" ht="15">
      <c r="B29" s="1102" t="s">
        <v>400</v>
      </c>
      <c r="C29" s="545" t="s">
        <v>384</v>
      </c>
      <c r="D29" s="182">
        <v>139.61431143543547</v>
      </c>
      <c r="E29" s="182">
        <v>149.87971488697218</v>
      </c>
      <c r="F29" s="182">
        <v>167.8027118900886</v>
      </c>
      <c r="G29" s="182">
        <v>180.05631209658566</v>
      </c>
      <c r="H29" s="182">
        <v>170.75253945420073</v>
      </c>
      <c r="I29" s="182">
        <v>181.11713494784541</v>
      </c>
      <c r="J29" s="182">
        <v>167.44763442825317</v>
      </c>
      <c r="K29" s="182">
        <v>174.9969457061379</v>
      </c>
      <c r="L29" s="182">
        <f>'RESULTADOS RAGEI '!N27</f>
        <v>169.96163539189004</v>
      </c>
      <c r="M29" s="8"/>
      <c r="N29" s="8"/>
      <c r="O29" s="8"/>
      <c r="P29" s="8"/>
      <c r="Q29" s="8"/>
      <c r="R29" s="8"/>
      <c r="S29" s="8"/>
      <c r="T29" s="8"/>
      <c r="U29" s="8"/>
      <c r="V29" s="8"/>
      <c r="W29" s="8"/>
      <c r="X29" s="8"/>
    </row>
    <row r="30" spans="2:24" ht="15">
      <c r="B30" s="1102" t="s">
        <v>401</v>
      </c>
      <c r="C30" s="545" t="s">
        <v>66</v>
      </c>
      <c r="D30" s="182">
        <v>44.29572731022924</v>
      </c>
      <c r="E30" s="182">
        <v>34.06113718640204</v>
      </c>
      <c r="F30" s="182">
        <v>31.604934259921365</v>
      </c>
      <c r="G30" s="182">
        <v>27.067672592309194</v>
      </c>
      <c r="H30" s="182">
        <v>25.25471915274171</v>
      </c>
      <c r="I30" s="182">
        <v>23.948511685175255</v>
      </c>
      <c r="J30" s="182">
        <v>21.13954915146183</v>
      </c>
      <c r="K30" s="182">
        <v>20.764552859530543</v>
      </c>
      <c r="L30" s="182">
        <f>'RESULTADOS RAGEI '!N28</f>
        <v>19.1598201799315</v>
      </c>
      <c r="M30" s="8"/>
      <c r="N30" s="8"/>
      <c r="O30" s="8"/>
      <c r="P30" s="8"/>
      <c r="Q30" s="8"/>
      <c r="R30" s="8"/>
      <c r="S30" s="8"/>
      <c r="T30" s="8"/>
      <c r="U30" s="8"/>
      <c r="V30" s="8"/>
      <c r="W30" s="8"/>
      <c r="X30" s="8"/>
    </row>
    <row r="31" spans="2:24" ht="15">
      <c r="B31" s="1102" t="s">
        <v>402</v>
      </c>
      <c r="C31" s="545" t="s">
        <v>385</v>
      </c>
      <c r="D31" s="182">
        <v>25.437577786487513</v>
      </c>
      <c r="E31" s="182">
        <v>20.88082779961058</v>
      </c>
      <c r="F31" s="182">
        <v>18.189812407458312</v>
      </c>
      <c r="G31" s="182">
        <v>15.994371430119138</v>
      </c>
      <c r="H31" s="182">
        <v>15.390735451928116</v>
      </c>
      <c r="I31" s="182">
        <v>14.9205806686651</v>
      </c>
      <c r="J31" s="182">
        <v>13.177305306872777</v>
      </c>
      <c r="K31" s="182">
        <v>13.049313640277349</v>
      </c>
      <c r="L31" s="182">
        <f>'RESULTADOS RAGEI '!N29</f>
        <v>12.071480935240753</v>
      </c>
      <c r="M31" s="8"/>
      <c r="N31" s="8"/>
      <c r="O31" s="8"/>
      <c r="P31" s="8"/>
      <c r="Q31" s="8"/>
      <c r="R31" s="8"/>
      <c r="S31" s="8"/>
      <c r="T31" s="8"/>
      <c r="U31" s="8"/>
      <c r="V31" s="8"/>
      <c r="W31" s="8"/>
      <c r="X31" s="8"/>
    </row>
    <row r="32" spans="2:24" ht="15">
      <c r="B32" s="1102" t="s">
        <v>403</v>
      </c>
      <c r="C32" s="545" t="s">
        <v>386</v>
      </c>
      <c r="D32" s="182">
        <v>34.123275829539</v>
      </c>
      <c r="E32" s="182">
        <v>40.4819155472683</v>
      </c>
      <c r="F32" s="182">
        <v>42.953665111444415</v>
      </c>
      <c r="G32" s="182">
        <v>46.3112059869874</v>
      </c>
      <c r="H32" s="182">
        <v>43.13037671157383</v>
      </c>
      <c r="I32" s="182">
        <v>46.518020559215884</v>
      </c>
      <c r="J32" s="182">
        <v>46.685950943729964</v>
      </c>
      <c r="K32" s="182">
        <v>46.4458766498977</v>
      </c>
      <c r="L32" s="182">
        <f>'RESULTADOS RAGEI '!N30</f>
        <v>48.585286059103126</v>
      </c>
      <c r="M32" s="8"/>
      <c r="N32" s="8"/>
      <c r="O32" s="8"/>
      <c r="P32" s="8"/>
      <c r="Q32" s="8"/>
      <c r="R32" s="8"/>
      <c r="S32" s="8"/>
      <c r="T32" s="8"/>
      <c r="U32" s="8"/>
      <c r="V32" s="8"/>
      <c r="W32" s="8"/>
      <c r="X32" s="8"/>
    </row>
    <row r="33" spans="2:24" ht="15">
      <c r="B33" s="1102" t="s">
        <v>404</v>
      </c>
      <c r="C33" s="545" t="s">
        <v>387</v>
      </c>
      <c r="D33" s="182">
        <v>22.656400285372634</v>
      </c>
      <c r="E33" s="182">
        <v>28.2656926504701</v>
      </c>
      <c r="F33" s="182">
        <v>32.0228176013006</v>
      </c>
      <c r="G33" s="182">
        <v>42.110278210423154</v>
      </c>
      <c r="H33" s="182">
        <v>44.59619963866326</v>
      </c>
      <c r="I33" s="182">
        <v>46.644341725831794</v>
      </c>
      <c r="J33" s="182">
        <v>51.08837678267001</v>
      </c>
      <c r="K33" s="182">
        <v>51.907229394931065</v>
      </c>
      <c r="L33" s="182">
        <f>'RESULTADOS RAGEI '!N31</f>
        <v>54.344007013894654</v>
      </c>
      <c r="M33" s="8"/>
      <c r="N33" s="8"/>
      <c r="O33" s="8"/>
      <c r="P33" s="8"/>
      <c r="Q33" s="8"/>
      <c r="R33" s="8"/>
      <c r="S33" s="8"/>
      <c r="T33" s="8"/>
      <c r="U33" s="8"/>
      <c r="V33" s="8"/>
      <c r="W33" s="8"/>
      <c r="X33" s="8"/>
    </row>
    <row r="34" spans="2:24" ht="15">
      <c r="B34" s="1102" t="s">
        <v>405</v>
      </c>
      <c r="C34" s="545" t="s">
        <v>388</v>
      </c>
      <c r="D34" s="182">
        <v>2.026111678217587</v>
      </c>
      <c r="E34" s="182">
        <v>2.4506584103500955</v>
      </c>
      <c r="F34" s="182">
        <v>2.944802648830639</v>
      </c>
      <c r="G34" s="182">
        <v>3.4903671383583337</v>
      </c>
      <c r="H34" s="182">
        <v>3.7359157828759844</v>
      </c>
      <c r="I34" s="182">
        <v>3.9987388671400548</v>
      </c>
      <c r="J34" s="182">
        <v>4.2781820395196615</v>
      </c>
      <c r="K34" s="182">
        <v>4.577360178854365</v>
      </c>
      <c r="L34" s="182">
        <f>'RESULTADOS RAGEI '!N32</f>
        <v>4.739559283977472</v>
      </c>
      <c r="M34" s="8"/>
      <c r="N34" s="8"/>
      <c r="O34" s="8"/>
      <c r="P34" s="8"/>
      <c r="Q34" s="8"/>
      <c r="R34" s="8"/>
      <c r="S34" s="8"/>
      <c r="T34" s="8"/>
      <c r="U34" s="8"/>
      <c r="V34" s="8"/>
      <c r="W34" s="8"/>
      <c r="X34" s="8"/>
    </row>
    <row r="35" spans="2:24" ht="15">
      <c r="B35" s="548" t="s">
        <v>413</v>
      </c>
      <c r="C35" s="541" t="s">
        <v>1171</v>
      </c>
      <c r="D35" s="180">
        <v>8506.031563565648</v>
      </c>
      <c r="E35" s="180">
        <v>10053.1913865812</v>
      </c>
      <c r="F35" s="180">
        <v>10614.938273193879</v>
      </c>
      <c r="G35" s="180">
        <v>11540.638180743865</v>
      </c>
      <c r="H35" s="180">
        <v>11898.47156755704</v>
      </c>
      <c r="I35" s="180">
        <v>11796.658909834685</v>
      </c>
      <c r="J35" s="180">
        <v>11968.96838014794</v>
      </c>
      <c r="K35" s="180">
        <v>11803.162882668523</v>
      </c>
      <c r="L35" s="180">
        <f>'RESULTADOS RAGEI '!N33</f>
        <v>12391.66637021839</v>
      </c>
      <c r="M35" s="8"/>
      <c r="N35" s="8"/>
      <c r="O35" s="8"/>
      <c r="P35" s="8"/>
      <c r="Q35" s="8"/>
      <c r="R35" s="8"/>
      <c r="S35" s="8"/>
      <c r="T35" s="8"/>
      <c r="U35" s="8"/>
      <c r="V35" s="8"/>
      <c r="W35" s="8"/>
      <c r="X35" s="8"/>
    </row>
    <row r="36" spans="2:24" ht="15">
      <c r="B36" s="1100" t="s">
        <v>414</v>
      </c>
      <c r="C36" s="542" t="s">
        <v>415</v>
      </c>
      <c r="D36" s="181">
        <v>763.6398092423386</v>
      </c>
      <c r="E36" s="181">
        <v>780.5659752360203</v>
      </c>
      <c r="F36" s="181">
        <v>791.0810583540226</v>
      </c>
      <c r="G36" s="181">
        <v>806.3669078416619</v>
      </c>
      <c r="H36" s="181">
        <v>809.7987365942903</v>
      </c>
      <c r="I36" s="181">
        <v>814.5990184488188</v>
      </c>
      <c r="J36" s="181">
        <v>817.4611136029826</v>
      </c>
      <c r="K36" s="181">
        <v>816.8000064256084</v>
      </c>
      <c r="L36" s="181">
        <f>'RESULTADOS RAGEI '!N34</f>
        <v>814.8033507066436</v>
      </c>
      <c r="M36" s="8"/>
      <c r="N36" s="8"/>
      <c r="O36" s="8"/>
      <c r="P36" s="8"/>
      <c r="Q36" s="8"/>
      <c r="R36" s="8"/>
      <c r="S36" s="8"/>
      <c r="T36" s="8"/>
      <c r="U36" s="8"/>
      <c r="V36" s="8"/>
      <c r="W36" s="8"/>
      <c r="X36" s="8"/>
    </row>
    <row r="37" spans="2:24" ht="15">
      <c r="B37" s="1101" t="s">
        <v>417</v>
      </c>
      <c r="C37" s="545" t="s">
        <v>416</v>
      </c>
      <c r="D37" s="182">
        <v>55.054275166240004</v>
      </c>
      <c r="E37" s="182">
        <v>67.42357417873001</v>
      </c>
      <c r="F37" s="182">
        <v>73.58129020389003</v>
      </c>
      <c r="G37" s="182">
        <v>85.23336662407</v>
      </c>
      <c r="H37" s="182">
        <v>88.35025483445</v>
      </c>
      <c r="I37" s="182">
        <v>92.35456394388001</v>
      </c>
      <c r="J37" s="182">
        <v>94.59766779057</v>
      </c>
      <c r="K37" s="182">
        <v>94.83556732555365</v>
      </c>
      <c r="L37" s="182">
        <f>'RESULTADOS RAGEI '!N35</f>
        <v>93.39029310120807</v>
      </c>
      <c r="M37" s="8"/>
      <c r="N37" s="8"/>
      <c r="O37" s="8"/>
      <c r="P37" s="8"/>
      <c r="Q37" s="8"/>
      <c r="R37" s="8"/>
      <c r="S37" s="8"/>
      <c r="T37" s="8"/>
      <c r="U37" s="8"/>
      <c r="V37" s="8"/>
      <c r="W37" s="8"/>
      <c r="X37" s="8"/>
    </row>
    <row r="38" spans="2:24" ht="15">
      <c r="B38" s="1101" t="s">
        <v>418</v>
      </c>
      <c r="C38" s="545" t="s">
        <v>433</v>
      </c>
      <c r="D38" s="182">
        <v>708.5855340760986</v>
      </c>
      <c r="E38" s="182">
        <v>713.1424010572903</v>
      </c>
      <c r="F38" s="182">
        <v>717.4997681501325</v>
      </c>
      <c r="G38" s="182">
        <v>721.133541217592</v>
      </c>
      <c r="H38" s="182">
        <v>721.4484817598404</v>
      </c>
      <c r="I38" s="182">
        <v>722.2444545049386</v>
      </c>
      <c r="J38" s="182">
        <v>722.8634458124126</v>
      </c>
      <c r="K38" s="182">
        <v>721.9644391000548</v>
      </c>
      <c r="L38" s="182">
        <f>'RESULTADOS RAGEI '!N36</f>
        <v>721.4130576054356</v>
      </c>
      <c r="M38" s="8"/>
      <c r="N38" s="8"/>
      <c r="O38" s="8"/>
      <c r="P38" s="8"/>
      <c r="Q38" s="8"/>
      <c r="R38" s="8"/>
      <c r="S38" s="8"/>
      <c r="T38" s="8"/>
      <c r="U38" s="8"/>
      <c r="V38" s="8"/>
      <c r="W38" s="8"/>
      <c r="X38" s="8"/>
    </row>
    <row r="39" spans="2:24" ht="15">
      <c r="B39" s="1100" t="s">
        <v>419</v>
      </c>
      <c r="C39" s="542" t="s">
        <v>420</v>
      </c>
      <c r="D39" s="551" t="s">
        <v>378</v>
      </c>
      <c r="E39" s="551" t="s">
        <v>378</v>
      </c>
      <c r="F39" s="551" t="s">
        <v>378</v>
      </c>
      <c r="G39" s="551" t="s">
        <v>378</v>
      </c>
      <c r="H39" s="551" t="s">
        <v>378</v>
      </c>
      <c r="I39" s="551" t="s">
        <v>378</v>
      </c>
      <c r="J39" s="551" t="s">
        <v>378</v>
      </c>
      <c r="K39" s="551" t="s">
        <v>378</v>
      </c>
      <c r="L39" s="551" t="str">
        <f>'RESULTADOS RAGEI '!N37</f>
        <v>NE</v>
      </c>
      <c r="M39" s="8"/>
      <c r="N39" s="8"/>
      <c r="O39" s="8"/>
      <c r="P39" s="8"/>
      <c r="Q39" s="8"/>
      <c r="R39" s="8"/>
      <c r="S39" s="8"/>
      <c r="T39" s="8"/>
      <c r="U39" s="8"/>
      <c r="V39" s="8"/>
      <c r="W39" s="8"/>
      <c r="X39" s="8"/>
    </row>
    <row r="40" spans="2:24" ht="15">
      <c r="B40" s="1100" t="s">
        <v>421</v>
      </c>
      <c r="C40" s="542" t="s">
        <v>422</v>
      </c>
      <c r="D40" s="181">
        <v>155.19753333333335</v>
      </c>
      <c r="E40" s="181">
        <v>256.768358</v>
      </c>
      <c r="F40" s="181">
        <v>181.76824972093337</v>
      </c>
      <c r="G40" s="181">
        <v>239.8334252013333</v>
      </c>
      <c r="H40" s="181">
        <v>293.8697813692667</v>
      </c>
      <c r="I40" s="181">
        <v>250.73442093333338</v>
      </c>
      <c r="J40" s="181">
        <v>262.53951122300003</v>
      </c>
      <c r="K40" s="181">
        <v>188.3940666666667</v>
      </c>
      <c r="L40" s="181">
        <f>'RESULTADOS RAGEI '!N38</f>
        <v>292.6029333333333</v>
      </c>
      <c r="M40" s="8"/>
      <c r="N40" s="8"/>
      <c r="O40" s="8"/>
      <c r="P40" s="8"/>
      <c r="Q40" s="8"/>
      <c r="R40" s="8"/>
      <c r="S40" s="8"/>
      <c r="T40" s="8"/>
      <c r="U40" s="8"/>
      <c r="V40" s="8"/>
      <c r="W40" s="8"/>
      <c r="X40" s="8"/>
    </row>
    <row r="41" spans="2:24" ht="15">
      <c r="B41" s="1100" t="s">
        <v>423</v>
      </c>
      <c r="C41" s="542" t="s">
        <v>614</v>
      </c>
      <c r="D41" s="181">
        <v>4711.869190054105</v>
      </c>
      <c r="E41" s="181">
        <v>5610.535096874789</v>
      </c>
      <c r="F41" s="181">
        <v>5829.490519272118</v>
      </c>
      <c r="G41" s="181">
        <v>6353.876895363834</v>
      </c>
      <c r="H41" s="181">
        <v>6575.135902056985</v>
      </c>
      <c r="I41" s="520">
        <v>6566.124885411689</v>
      </c>
      <c r="J41" s="520">
        <v>6543.444671641316</v>
      </c>
      <c r="K41" s="181">
        <v>6420.389032400063</v>
      </c>
      <c r="L41" s="181">
        <f>'RESULTADOS RAGEI '!N39</f>
        <v>6853.676721643895</v>
      </c>
      <c r="M41" s="8"/>
      <c r="N41" s="8"/>
      <c r="O41" s="8"/>
      <c r="P41" s="8"/>
      <c r="Q41" s="8"/>
      <c r="R41" s="8"/>
      <c r="S41" s="8"/>
      <c r="T41" s="8"/>
      <c r="U41" s="8"/>
      <c r="V41" s="8"/>
      <c r="W41" s="8"/>
      <c r="X41" s="8"/>
    </row>
    <row r="42" spans="2:24" ht="15">
      <c r="B42" s="1100" t="s">
        <v>424</v>
      </c>
      <c r="C42" s="542" t="s">
        <v>615</v>
      </c>
      <c r="D42" s="181">
        <v>1734.6156638550747</v>
      </c>
      <c r="E42" s="181">
        <v>2039.8935097437998</v>
      </c>
      <c r="F42" s="181">
        <v>2130.6327133835666</v>
      </c>
      <c r="G42" s="181">
        <v>2301.335927886228</v>
      </c>
      <c r="H42" s="181">
        <v>2352.57994316139</v>
      </c>
      <c r="I42" s="181">
        <v>2347.2318228024</v>
      </c>
      <c r="J42" s="181">
        <v>2355.1064762262886</v>
      </c>
      <c r="K42" s="181">
        <v>2305.4437279628864</v>
      </c>
      <c r="L42" s="181">
        <f>'RESULTADOS RAGEI '!N40</f>
        <v>2454.34210409523</v>
      </c>
      <c r="M42" s="8"/>
      <c r="N42" s="8"/>
      <c r="O42" s="8"/>
      <c r="P42" s="8"/>
      <c r="Q42" s="8"/>
      <c r="R42" s="8"/>
      <c r="S42" s="8"/>
      <c r="T42" s="8"/>
      <c r="U42" s="8"/>
      <c r="V42" s="8"/>
      <c r="W42" s="8"/>
      <c r="X42" s="8"/>
    </row>
    <row r="43" spans="2:24" ht="15">
      <c r="B43" s="1100" t="s">
        <v>425</v>
      </c>
      <c r="C43" s="542" t="s">
        <v>616</v>
      </c>
      <c r="D43" s="181">
        <v>103.81176237988768</v>
      </c>
      <c r="E43" s="181">
        <v>121.57304946999206</v>
      </c>
      <c r="F43" s="181">
        <v>134.96256073940984</v>
      </c>
      <c r="G43" s="181">
        <v>159.75431968725607</v>
      </c>
      <c r="H43" s="181">
        <v>165.17642895743754</v>
      </c>
      <c r="I43" s="181">
        <v>170.19632020112323</v>
      </c>
      <c r="J43" s="181">
        <v>177.94770645027717</v>
      </c>
      <c r="K43" s="181">
        <v>180.19478590752732</v>
      </c>
      <c r="L43" s="181">
        <f>'RESULTADOS RAGEI '!N41</f>
        <v>185.4068371341044</v>
      </c>
      <c r="M43" s="8"/>
      <c r="N43" s="8"/>
      <c r="O43" s="8"/>
      <c r="P43" s="8"/>
      <c r="Q43" s="8"/>
      <c r="R43" s="8"/>
      <c r="S43" s="8"/>
      <c r="T43" s="8"/>
      <c r="U43" s="8"/>
      <c r="V43" s="8"/>
      <c r="W43" s="8"/>
      <c r="X43" s="8"/>
    </row>
    <row r="44" spans="2:24" ht="15.75" thickBot="1">
      <c r="B44" s="1105" t="s">
        <v>426</v>
      </c>
      <c r="C44" s="547" t="s">
        <v>1007</v>
      </c>
      <c r="D44" s="184">
        <v>1036.8976047009096</v>
      </c>
      <c r="E44" s="184">
        <v>1243.8553972565987</v>
      </c>
      <c r="F44" s="184">
        <v>1547.0031717238276</v>
      </c>
      <c r="G44" s="184">
        <v>1679.4707047635488</v>
      </c>
      <c r="H44" s="184">
        <v>1701.9107754176703</v>
      </c>
      <c r="I44" s="184">
        <v>1647.7724420373197</v>
      </c>
      <c r="J44" s="184">
        <v>1812.4689010040747</v>
      </c>
      <c r="K44" s="184">
        <v>1891.9412633057718</v>
      </c>
      <c r="L44" s="184">
        <f>'RESULTADOS RAGEI '!N42</f>
        <v>1790.834423305186</v>
      </c>
      <c r="M44" s="8"/>
      <c r="N44" s="8"/>
      <c r="O44" s="8"/>
      <c r="P44" s="8"/>
      <c r="Q44" s="8"/>
      <c r="R44" s="8"/>
      <c r="S44" s="8"/>
      <c r="T44" s="8"/>
      <c r="U44" s="8"/>
      <c r="V44" s="8"/>
      <c r="W44" s="8"/>
      <c r="X44" s="8"/>
    </row>
    <row r="45" spans="1:1023" s="6" customFormat="1" ht="15">
      <c r="A45" s="178"/>
      <c r="B45" s="178"/>
      <c r="C45" s="178"/>
      <c r="D45" s="178"/>
      <c r="E45" s="178"/>
      <c r="F45" s="178"/>
      <c r="G45" s="178"/>
      <c r="H45" s="178"/>
      <c r="I45" s="178"/>
      <c r="J45" s="178"/>
      <c r="K45" s="178"/>
      <c r="L45" s="178"/>
      <c r="M45" s="8"/>
      <c r="N45" s="8"/>
      <c r="AKS45" s="8"/>
      <c r="AKT45" s="8"/>
      <c r="AKU45" s="8"/>
      <c r="AKV45" s="8"/>
      <c r="AKW45" s="8"/>
      <c r="AKX45" s="8"/>
      <c r="AKY45" s="8"/>
      <c r="AKZ45" s="8"/>
      <c r="ALA45" s="8"/>
      <c r="ALB45" s="8"/>
      <c r="ALC45" s="8"/>
      <c r="ALD45" s="8"/>
      <c r="ALE45" s="8"/>
      <c r="ALF45" s="8"/>
      <c r="ALG45" s="8"/>
      <c r="ALH45" s="8"/>
      <c r="ALI45" s="8"/>
      <c r="ALJ45" s="8"/>
      <c r="ALK45" s="8"/>
      <c r="ALL45" s="8"/>
      <c r="ALM45" s="8"/>
      <c r="ALN45" s="8"/>
      <c r="ALO45" s="8"/>
      <c r="ALP45" s="8"/>
      <c r="ALQ45" s="8"/>
      <c r="ALR45" s="8"/>
      <c r="ALS45" s="8"/>
      <c r="ALT45" s="8"/>
      <c r="ALU45" s="8"/>
      <c r="ALV45" s="8"/>
      <c r="ALW45" s="8"/>
      <c r="ALX45" s="8"/>
      <c r="ALY45" s="8"/>
      <c r="ALZ45" s="8"/>
      <c r="AMA45" s="8"/>
      <c r="AMB45" s="8"/>
      <c r="AMC45" s="8"/>
      <c r="AMD45" s="8"/>
      <c r="AME45" s="8"/>
      <c r="AMF45" s="8"/>
      <c r="AMG45" s="8"/>
      <c r="AMH45" s="8"/>
      <c r="AMI45" s="8"/>
    </row>
    <row r="46" ht="12.75"/>
    <row r="47" ht="12.75"/>
    <row r="48" ht="12.75">
      <c r="S48" s="519"/>
    </row>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spans="3:12" ht="15.75">
      <c r="C94" s="525"/>
      <c r="D94" s="526"/>
      <c r="E94" s="526"/>
      <c r="F94" s="526"/>
      <c r="G94" s="526"/>
      <c r="H94" s="526"/>
      <c r="I94" s="526"/>
      <c r="J94" s="526"/>
      <c r="K94" s="526"/>
      <c r="L94" s="527"/>
    </row>
    <row r="95" spans="3:12" ht="15.75">
      <c r="C95" s="528"/>
      <c r="D95" s="529"/>
      <c r="E95" s="529"/>
      <c r="F95" s="529"/>
      <c r="G95" s="529"/>
      <c r="H95" s="529"/>
      <c r="I95" s="524"/>
      <c r="J95" s="524"/>
      <c r="K95" s="529"/>
      <c r="L95" s="527"/>
    </row>
    <row r="96" spans="3:12" ht="15.75">
      <c r="C96" s="528"/>
      <c r="D96" s="529"/>
      <c r="E96" s="529"/>
      <c r="F96" s="529"/>
      <c r="G96" s="529"/>
      <c r="H96" s="529"/>
      <c r="I96" s="524"/>
      <c r="J96" s="524"/>
      <c r="K96" s="529"/>
      <c r="L96" s="527"/>
    </row>
    <row r="97" spans="3:12" ht="15.75">
      <c r="C97" s="528"/>
      <c r="D97" s="529"/>
      <c r="E97" s="529"/>
      <c r="F97" s="529"/>
      <c r="G97" s="529"/>
      <c r="H97" s="529"/>
      <c r="I97" s="524"/>
      <c r="J97" s="524"/>
      <c r="K97" s="529"/>
      <c r="L97" s="527"/>
    </row>
    <row r="98" spans="3:12" ht="15.75">
      <c r="C98" s="528"/>
      <c r="D98" s="529"/>
      <c r="E98" s="529"/>
      <c r="F98" s="529"/>
      <c r="G98" s="529"/>
      <c r="H98" s="529"/>
      <c r="I98" s="524"/>
      <c r="J98" s="524"/>
      <c r="K98" s="529"/>
      <c r="L98" s="527"/>
    </row>
    <row r="99" spans="3:11" ht="15.75">
      <c r="C99" s="521"/>
      <c r="D99" s="522"/>
      <c r="E99" s="522"/>
      <c r="F99" s="522"/>
      <c r="G99" s="522"/>
      <c r="H99" s="522"/>
      <c r="I99" s="524"/>
      <c r="J99" s="524"/>
      <c r="K99" s="522"/>
    </row>
    <row r="100" spans="3:11" ht="15.75">
      <c r="C100" s="521"/>
      <c r="D100" s="522"/>
      <c r="E100" s="522"/>
      <c r="F100" s="522"/>
      <c r="G100" s="522"/>
      <c r="H100" s="522"/>
      <c r="I100" s="523"/>
      <c r="J100" s="523"/>
      <c r="K100" s="522"/>
    </row>
    <row r="101" spans="3:11" ht="15.75">
      <c r="C101" s="521"/>
      <c r="D101" s="522"/>
      <c r="E101" s="522"/>
      <c r="F101" s="522"/>
      <c r="G101" s="522"/>
      <c r="H101" s="522"/>
      <c r="I101" s="523"/>
      <c r="J101" s="523"/>
      <c r="K101" s="522"/>
    </row>
    <row r="102" spans="3:11" ht="15.75">
      <c r="C102" s="521"/>
      <c r="D102" s="522"/>
      <c r="E102" s="522"/>
      <c r="F102" s="522"/>
      <c r="G102" s="522"/>
      <c r="H102" s="522"/>
      <c r="I102" s="523"/>
      <c r="J102" s="523"/>
      <c r="K102" s="522"/>
    </row>
  </sheetData>
  <mergeCells count="3">
    <mergeCell ref="C4:C6"/>
    <mergeCell ref="B4:B6"/>
    <mergeCell ref="D4:L4"/>
  </mergeCells>
  <printOptions/>
  <pageMargins left="0.25" right="0.25" top="0.75" bottom="0.75" header="0.511805555555555" footer="0.511805555555555"/>
  <pageSetup horizontalDpi="300" verticalDpi="300" orientation="landscape" paperSize="9" r:id="rId2"/>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AA21"/>
  <sheetViews>
    <sheetView workbookViewId="0" topLeftCell="A1">
      <selection activeCell="T25" sqref="T25"/>
    </sheetView>
  </sheetViews>
  <sheetFormatPr defaultColWidth="11.421875" defaultRowHeight="15"/>
  <cols>
    <col min="1" max="1" width="3.421875" style="0" customWidth="1"/>
    <col min="2" max="2" width="3.00390625" style="0" bestFit="1" customWidth="1"/>
    <col min="3" max="3" width="6.28125" style="0" customWidth="1"/>
    <col min="4" max="4" width="40.421875" style="0" customWidth="1"/>
  </cols>
  <sheetData>
    <row r="1" ht="15.75" thickBot="1"/>
    <row r="2" spans="2:27" ht="15">
      <c r="B2" s="1691" t="s">
        <v>1525</v>
      </c>
      <c r="C2" s="1691"/>
      <c r="D2" s="1692"/>
      <c r="E2" s="1698">
        <v>1994</v>
      </c>
      <c r="F2" s="1699"/>
      <c r="G2" s="1700"/>
      <c r="H2" s="1698">
        <v>2000</v>
      </c>
      <c r="I2" s="1699"/>
      <c r="J2" s="1700"/>
      <c r="K2" s="1698">
        <v>2005</v>
      </c>
      <c r="L2" s="1699"/>
      <c r="M2" s="1700"/>
      <c r="N2" s="1698">
        <v>2010</v>
      </c>
      <c r="O2" s="1699"/>
      <c r="P2" s="1700"/>
      <c r="Q2" s="1698">
        <v>2012</v>
      </c>
      <c r="R2" s="1699"/>
      <c r="S2" s="1700"/>
      <c r="T2" s="1698">
        <v>2014</v>
      </c>
      <c r="U2" s="1699"/>
      <c r="V2" s="1700"/>
      <c r="W2" s="1698">
        <v>2016</v>
      </c>
      <c r="X2" s="1699"/>
      <c r="Y2" s="1700"/>
      <c r="Z2" s="1007">
        <v>2018</v>
      </c>
      <c r="AA2" s="1007">
        <v>2019</v>
      </c>
    </row>
    <row r="3" spans="2:27" ht="25.5">
      <c r="B3" s="1691"/>
      <c r="C3" s="1691"/>
      <c r="D3" s="1692"/>
      <c r="E3" s="1693" t="s">
        <v>1526</v>
      </c>
      <c r="F3" s="1691"/>
      <c r="G3" s="1694"/>
      <c r="H3" s="1693" t="s">
        <v>1526</v>
      </c>
      <c r="I3" s="1691"/>
      <c r="J3" s="1694"/>
      <c r="K3" s="1693" t="s">
        <v>1526</v>
      </c>
      <c r="L3" s="1691"/>
      <c r="M3" s="1694"/>
      <c r="N3" s="1693" t="s">
        <v>1526</v>
      </c>
      <c r="O3" s="1691"/>
      <c r="P3" s="1694"/>
      <c r="Q3" s="1693" t="s">
        <v>1526</v>
      </c>
      <c r="R3" s="1691"/>
      <c r="S3" s="1694"/>
      <c r="T3" s="1701" t="s">
        <v>1526</v>
      </c>
      <c r="U3" s="1702"/>
      <c r="V3" s="1703"/>
      <c r="W3" s="1701" t="s">
        <v>1526</v>
      </c>
      <c r="X3" s="1702"/>
      <c r="Y3" s="1703"/>
      <c r="Z3" s="1008" t="s">
        <v>1526</v>
      </c>
      <c r="AA3" s="1008" t="s">
        <v>1526</v>
      </c>
    </row>
    <row r="4" spans="2:27" ht="15">
      <c r="B4" s="1691"/>
      <c r="C4" s="1691"/>
      <c r="D4" s="1692"/>
      <c r="E4" s="1693" t="s">
        <v>1527</v>
      </c>
      <c r="F4" s="1691"/>
      <c r="G4" s="1694"/>
      <c r="H4" s="1693" t="s">
        <v>1527</v>
      </c>
      <c r="I4" s="1691"/>
      <c r="J4" s="1694"/>
      <c r="K4" s="1693" t="s">
        <v>1527</v>
      </c>
      <c r="L4" s="1691"/>
      <c r="M4" s="1694"/>
      <c r="N4" s="1693" t="s">
        <v>1527</v>
      </c>
      <c r="O4" s="1691"/>
      <c r="P4" s="1694"/>
      <c r="Q4" s="1693" t="s">
        <v>1527</v>
      </c>
      <c r="R4" s="1691"/>
      <c r="S4" s="1694"/>
      <c r="T4" s="1701" t="s">
        <v>1527</v>
      </c>
      <c r="U4" s="1702"/>
      <c r="V4" s="1703"/>
      <c r="W4" s="1701" t="s">
        <v>1527</v>
      </c>
      <c r="X4" s="1702"/>
      <c r="Y4" s="1703"/>
      <c r="Z4" s="1008" t="s">
        <v>1527</v>
      </c>
      <c r="AA4" s="1008" t="s">
        <v>1527</v>
      </c>
    </row>
    <row r="5" spans="2:27" ht="15">
      <c r="B5" s="1691"/>
      <c r="C5" s="1691"/>
      <c r="D5" s="1692"/>
      <c r="E5" s="1013" t="s">
        <v>1528</v>
      </c>
      <c r="F5" s="1003" t="s">
        <v>10</v>
      </c>
      <c r="G5" s="1014" t="s">
        <v>1529</v>
      </c>
      <c r="H5" s="1013" t="s">
        <v>1528</v>
      </c>
      <c r="I5" s="1003" t="s">
        <v>10</v>
      </c>
      <c r="J5" s="1014" t="s">
        <v>1529</v>
      </c>
      <c r="K5" s="1013" t="s">
        <v>1528</v>
      </c>
      <c r="L5" s="1003" t="s">
        <v>10</v>
      </c>
      <c r="M5" s="1014" t="s">
        <v>1529</v>
      </c>
      <c r="N5" s="1013" t="s">
        <v>1528</v>
      </c>
      <c r="O5" s="1003" t="s">
        <v>10</v>
      </c>
      <c r="P5" s="1014" t="s">
        <v>1529</v>
      </c>
      <c r="Q5" s="1013" t="s">
        <v>1528</v>
      </c>
      <c r="R5" s="1003" t="s">
        <v>10</v>
      </c>
      <c r="S5" s="1014" t="s">
        <v>1529</v>
      </c>
      <c r="T5" s="1013" t="s">
        <v>1528</v>
      </c>
      <c r="U5" s="1003" t="s">
        <v>10</v>
      </c>
      <c r="V5" s="1014" t="s">
        <v>1529</v>
      </c>
      <c r="W5" s="1013" t="s">
        <v>1528</v>
      </c>
      <c r="X5" s="1003" t="s">
        <v>10</v>
      </c>
      <c r="Y5" s="1014" t="s">
        <v>1529</v>
      </c>
      <c r="Z5" s="1008" t="s">
        <v>10</v>
      </c>
      <c r="AA5" s="1008" t="s">
        <v>10</v>
      </c>
    </row>
    <row r="6" spans="2:27" ht="15">
      <c r="B6" s="1004" t="s">
        <v>1279</v>
      </c>
      <c r="C6" s="1704" t="s">
        <v>126</v>
      </c>
      <c r="D6" s="1705"/>
      <c r="E6" s="1009">
        <f aca="true" t="shared" si="0" ref="E6:F6">SUM(E7:E8)</f>
        <v>9981.66861575242</v>
      </c>
      <c r="F6" s="1009">
        <f t="shared" si="0"/>
        <v>0</v>
      </c>
      <c r="G6" s="1015">
        <f>+(F6-E6)/E6</f>
        <v>-1</v>
      </c>
      <c r="H6" s="1009">
        <f aca="true" t="shared" si="1" ref="H6:I6">SUM(H7:H8)</f>
        <v>10913.88</v>
      </c>
      <c r="I6" s="1009">
        <f t="shared" si="1"/>
        <v>0</v>
      </c>
      <c r="J6" s="1015">
        <f>+(I6-H6)/H6</f>
        <v>-1</v>
      </c>
      <c r="K6" s="1009">
        <f aca="true" t="shared" si="2" ref="K6:L6">SUM(K7:K8)</f>
        <v>11672.91</v>
      </c>
      <c r="L6" s="1009">
        <f t="shared" si="2"/>
        <v>0</v>
      </c>
      <c r="M6" s="1015">
        <f>+(L6-K6)/K6</f>
        <v>-1</v>
      </c>
      <c r="N6" s="1009">
        <f aca="true" t="shared" si="3" ref="N6:O6">SUM(N7:N8)</f>
        <v>12185.03</v>
      </c>
      <c r="O6" s="1009">
        <f t="shared" si="3"/>
        <v>0</v>
      </c>
      <c r="P6" s="1015">
        <f>+(O6-N6)/N6</f>
        <v>-1</v>
      </c>
      <c r="Q6" s="1009">
        <f aca="true" t="shared" si="4" ref="Q6:R6">SUM(Q7:Q8)</f>
        <v>12228.67</v>
      </c>
      <c r="R6" s="1009">
        <f t="shared" si="4"/>
        <v>16244.901007339475</v>
      </c>
      <c r="S6" s="1015">
        <f>+(R6-Q6)/Q6</f>
        <v>0.32842745836950993</v>
      </c>
      <c r="T6" s="1009">
        <f aca="true" t="shared" si="5" ref="T6:U6">SUM(T7:T8)</f>
        <v>12161.38</v>
      </c>
      <c r="U6" s="1009">
        <f t="shared" si="5"/>
        <v>16081.57506484227</v>
      </c>
      <c r="V6" s="1015">
        <f>+(U6-T6)/T6</f>
        <v>0.3223478803262682</v>
      </c>
      <c r="W6" s="1009">
        <f aca="true" t="shared" si="6" ref="W6:X6">SUM(W7:W8)</f>
        <v>12084.692425243413</v>
      </c>
      <c r="X6" s="1009">
        <f t="shared" si="6"/>
        <v>15931.836340526272</v>
      </c>
      <c r="Y6" s="1015">
        <f>+(X6-W6)/W6</f>
        <v>0.31834851727352664</v>
      </c>
      <c r="Z6" s="1009">
        <f>SUM(Z7:Z8)</f>
        <v>16018.10908627866</v>
      </c>
      <c r="AA6" s="1009">
        <f>SUM(AA7:AA8)</f>
        <v>16086.676895243136</v>
      </c>
    </row>
    <row r="7" spans="2:27" ht="15">
      <c r="B7" s="1004"/>
      <c r="C7" s="1004" t="s">
        <v>786</v>
      </c>
      <c r="D7" s="1025" t="s">
        <v>382</v>
      </c>
      <c r="E7" s="1024">
        <v>9484.368573448253</v>
      </c>
      <c r="F7" s="1005"/>
      <c r="G7" s="1017">
        <f aca="true" t="shared" si="7" ref="G7:G10">+(F7-E7)/E7</f>
        <v>-1</v>
      </c>
      <c r="H7" s="1024">
        <v>10376</v>
      </c>
      <c r="I7" s="1005"/>
      <c r="J7" s="1017">
        <f aca="true" t="shared" si="8" ref="J7:J10">+(I7-H7)/H7</f>
        <v>-1</v>
      </c>
      <c r="K7" s="1016">
        <v>11089.31</v>
      </c>
      <c r="L7" s="1005"/>
      <c r="M7" s="1017">
        <f aca="true" t="shared" si="9" ref="M7:M8">+(L7-K7)/K7</f>
        <v>-1</v>
      </c>
      <c r="N7" s="1016">
        <v>11564.62</v>
      </c>
      <c r="O7" s="1005"/>
      <c r="P7" s="1017">
        <f aca="true" t="shared" si="10" ref="P7:P10">+(O7-N7)/N7</f>
        <v>-1</v>
      </c>
      <c r="Q7" s="1016">
        <v>11613.43</v>
      </c>
      <c r="R7" s="1005">
        <f>+'Recálculos RAGEI anteriores'!H9</f>
        <v>15586.302805468697</v>
      </c>
      <c r="S7" s="1017">
        <f aca="true" t="shared" si="11" ref="S7:S8">+(R7-Q7)/Q7</f>
        <v>0.34209297386462884</v>
      </c>
      <c r="T7" s="1016">
        <v>11533.32</v>
      </c>
      <c r="U7" s="1005">
        <f>+'Recálculos RAGEI anteriores'!I9</f>
        <v>15422.976862971493</v>
      </c>
      <c r="V7" s="1017">
        <f aca="true" t="shared" si="12" ref="V7:V8">+(U7-T7)/T7</f>
        <v>0.3372538751176151</v>
      </c>
      <c r="W7" s="1016">
        <v>11462.848005765238</v>
      </c>
      <c r="X7" s="1005">
        <f>+'Recálculos RAGEI anteriores'!J9</f>
        <v>15284.69361627644</v>
      </c>
      <c r="Y7" s="1017">
        <f aca="true" t="shared" si="13" ref="Y7:Y8">+(X7-W7)/W7</f>
        <v>0.3334115229120202</v>
      </c>
      <c r="Z7" s="1010">
        <f>+'Recálculos RAGEI anteriores'!K9</f>
        <v>15356.54325460657</v>
      </c>
      <c r="AA7" s="1010">
        <f>+'Recálculos RAGEI anteriores'!L9</f>
        <v>15432.438755566665</v>
      </c>
    </row>
    <row r="8" spans="2:27" ht="15">
      <c r="B8" s="1004"/>
      <c r="C8" s="1004" t="s">
        <v>3</v>
      </c>
      <c r="D8" s="1025" t="s">
        <v>389</v>
      </c>
      <c r="E8" s="1024">
        <v>497.30004230416614</v>
      </c>
      <c r="F8" s="1005"/>
      <c r="G8" s="1017">
        <f t="shared" si="7"/>
        <v>-1</v>
      </c>
      <c r="H8" s="1024">
        <v>537.88</v>
      </c>
      <c r="I8" s="1005"/>
      <c r="J8" s="1017">
        <f t="shared" si="8"/>
        <v>-1</v>
      </c>
      <c r="K8" s="1016">
        <v>583.6</v>
      </c>
      <c r="L8" s="1005"/>
      <c r="M8" s="1017">
        <f t="shared" si="9"/>
        <v>-1</v>
      </c>
      <c r="N8" s="1016">
        <v>620.41</v>
      </c>
      <c r="O8" s="1005"/>
      <c r="P8" s="1017">
        <f t="shared" si="10"/>
        <v>-1</v>
      </c>
      <c r="Q8" s="1016">
        <v>615.24</v>
      </c>
      <c r="R8" s="1005">
        <f>+'Recálculos RAGEI anteriores'!H22</f>
        <v>658.5982018707782</v>
      </c>
      <c r="S8" s="1017">
        <f t="shared" si="11"/>
        <v>0.07047363934526071</v>
      </c>
      <c r="T8" s="1016">
        <v>628.06</v>
      </c>
      <c r="U8" s="1005">
        <f>+'Recálculos RAGEI anteriores'!H22</f>
        <v>658.5982018707782</v>
      </c>
      <c r="V8" s="1017">
        <f t="shared" si="12"/>
        <v>0.04862306446960206</v>
      </c>
      <c r="W8" s="1016">
        <v>621.8444194781752</v>
      </c>
      <c r="X8" s="1005">
        <f>+'Recálculos RAGEI anteriores'!J22</f>
        <v>647.1427242498326</v>
      </c>
      <c r="Y8" s="1017">
        <f t="shared" si="13"/>
        <v>0.04068269164960367</v>
      </c>
      <c r="Z8" s="1010">
        <f>+'Recálculos RAGEI anteriores'!K22</f>
        <v>661.5658316720918</v>
      </c>
      <c r="AA8" s="1010">
        <f>+'Recálculos RAGEI anteriores'!L22</f>
        <v>654.2381396764708</v>
      </c>
    </row>
    <row r="9" spans="2:27" ht="15">
      <c r="B9" s="1004" t="s">
        <v>413</v>
      </c>
      <c r="C9" s="1704" t="s">
        <v>1530</v>
      </c>
      <c r="D9" s="1705"/>
      <c r="E9" s="1009">
        <f aca="true" t="shared" si="14" ref="E9:F9">SUM(E10:E16)</f>
        <v>10223.128364760696</v>
      </c>
      <c r="F9" s="1009">
        <f t="shared" si="14"/>
        <v>0</v>
      </c>
      <c r="G9" s="1015">
        <f t="shared" si="7"/>
        <v>-1</v>
      </c>
      <c r="H9" s="1009">
        <f aca="true" t="shared" si="15" ref="H9:I9">SUM(H10:H16)</f>
        <v>11908.45</v>
      </c>
      <c r="I9" s="1009">
        <f t="shared" si="15"/>
        <v>0</v>
      </c>
      <c r="J9" s="1015">
        <f t="shared" si="8"/>
        <v>-1</v>
      </c>
      <c r="K9" s="1009">
        <f aca="true" t="shared" si="16" ref="K9:L9">SUM(K10:K16)</f>
        <v>12426.869999999999</v>
      </c>
      <c r="L9" s="1009">
        <f t="shared" si="16"/>
        <v>0</v>
      </c>
      <c r="M9" s="1015">
        <f>+(L9-K9)/K9</f>
        <v>-1</v>
      </c>
      <c r="N9" s="1009">
        <f aca="true" t="shared" si="17" ref="N9:O9">SUM(N10:N16)</f>
        <v>13395.03</v>
      </c>
      <c r="O9" s="1009">
        <f t="shared" si="17"/>
        <v>0</v>
      </c>
      <c r="P9" s="1015">
        <f>+(O9-N9)/N9</f>
        <v>-1</v>
      </c>
      <c r="Q9" s="1009">
        <f aca="true" t="shared" si="18" ref="Q9:R9">SUM(Q10:Q16)</f>
        <v>13819.350000000002</v>
      </c>
      <c r="R9" s="1009">
        <f t="shared" si="18"/>
        <v>0</v>
      </c>
      <c r="S9" s="1015">
        <f>+(R9-Q9)/Q9</f>
        <v>-1</v>
      </c>
      <c r="T9" s="1009">
        <f aca="true" t="shared" si="19" ref="T9:U9">SUM(T10:T16)</f>
        <v>13678.69</v>
      </c>
      <c r="U9" s="1009">
        <f t="shared" si="19"/>
        <v>814.5990184488188</v>
      </c>
      <c r="V9" s="1015">
        <f>+(U9-T9)/T9</f>
        <v>-0.9404475853719312</v>
      </c>
      <c r="W9" s="1009">
        <f aca="true" t="shared" si="20" ref="W9:X9">SUM(W10:W16)</f>
        <v>13825.602287677575</v>
      </c>
      <c r="X9" s="1009">
        <f t="shared" si="20"/>
        <v>11803.8239898459</v>
      </c>
      <c r="Y9" s="1015">
        <f>+(X9-W9)/W9</f>
        <v>-0.14623437415335153</v>
      </c>
      <c r="Z9" s="1009">
        <f>SUM(Z10:Z16)</f>
        <v>10986.362876242914</v>
      </c>
      <c r="AA9" s="1009">
        <f>SUM(AA10:AA16)</f>
        <v>12391.666370218392</v>
      </c>
    </row>
    <row r="10" spans="2:27" ht="15">
      <c r="B10" s="1004"/>
      <c r="C10" s="1004" t="s">
        <v>1303</v>
      </c>
      <c r="D10" s="1026" t="s">
        <v>1531</v>
      </c>
      <c r="E10" s="1024">
        <v>1801.487277802257</v>
      </c>
      <c r="F10" s="1005"/>
      <c r="G10" s="1017">
        <f t="shared" si="7"/>
        <v>-1</v>
      </c>
      <c r="H10" s="1024">
        <v>1800.74</v>
      </c>
      <c r="I10" s="1005"/>
      <c r="J10" s="1017">
        <f t="shared" si="8"/>
        <v>-1</v>
      </c>
      <c r="K10" s="1016">
        <v>1816.65</v>
      </c>
      <c r="L10" s="1005"/>
      <c r="M10" s="1017">
        <f aca="true" t="shared" si="21" ref="M10">+(L10-K10)/K10</f>
        <v>-1</v>
      </c>
      <c r="N10" s="1016">
        <v>1862.62</v>
      </c>
      <c r="O10" s="1005"/>
      <c r="P10" s="1017">
        <f t="shared" si="10"/>
        <v>-1</v>
      </c>
      <c r="Q10" s="1016">
        <v>1875.81</v>
      </c>
      <c r="R10" s="1005"/>
      <c r="S10" s="1017">
        <f aca="true" t="shared" si="22" ref="S10">+(R10-Q10)/Q10</f>
        <v>-1</v>
      </c>
      <c r="T10" s="1016">
        <v>1883.56</v>
      </c>
      <c r="U10" s="1005">
        <f>+'Recálculos RAGEI anteriores'!I36</f>
        <v>814.5990184488188</v>
      </c>
      <c r="V10" s="1017">
        <f aca="true" t="shared" si="23" ref="V10">+(U10-T10)/T10</f>
        <v>-0.5675215982242038</v>
      </c>
      <c r="W10" s="1016">
        <v>1891.3302211521877</v>
      </c>
      <c r="X10" s="1005">
        <f>+'Recálculos RAGEI anteriores'!J36</f>
        <v>817.4611136029826</v>
      </c>
      <c r="Y10" s="1017">
        <f aca="true" t="shared" si="24" ref="Y10">+(X10-W10)/W10</f>
        <v>-0.5677850940778656</v>
      </c>
      <c r="Z10" s="1010"/>
      <c r="AA10" s="1010">
        <f>+'Recálculos RAGEI anteriores'!L36</f>
        <v>814.8033507066436</v>
      </c>
    </row>
    <row r="11" spans="2:27" ht="15">
      <c r="B11" s="1004"/>
      <c r="C11" s="1004" t="s">
        <v>16</v>
      </c>
      <c r="D11" s="1026" t="s">
        <v>1532</v>
      </c>
      <c r="E11" s="1018"/>
      <c r="F11" s="1006"/>
      <c r="G11" s="1019">
        <v>0</v>
      </c>
      <c r="H11" s="1018">
        <v>0</v>
      </c>
      <c r="I11" s="1006"/>
      <c r="J11" s="1019">
        <v>0</v>
      </c>
      <c r="K11" s="1018">
        <v>0</v>
      </c>
      <c r="L11" s="1006"/>
      <c r="M11" s="1019">
        <v>0</v>
      </c>
      <c r="N11" s="1018">
        <v>0</v>
      </c>
      <c r="O11" s="1006"/>
      <c r="P11" s="1019">
        <v>0</v>
      </c>
      <c r="Q11" s="1018">
        <v>0</v>
      </c>
      <c r="R11" s="1006"/>
      <c r="S11" s="1019">
        <v>0</v>
      </c>
      <c r="T11" s="1018">
        <v>0</v>
      </c>
      <c r="U11" s="1006" t="str">
        <f>+'Recálculos RAGEI anteriores'!I39</f>
        <v>NE</v>
      </c>
      <c r="V11" s="1019">
        <v>0</v>
      </c>
      <c r="W11" s="1018">
        <v>0</v>
      </c>
      <c r="X11" s="1006" t="str">
        <f>+'Recálculos RAGEI anteriores'!K39</f>
        <v>NE</v>
      </c>
      <c r="Y11" s="1019">
        <v>0</v>
      </c>
      <c r="Z11" s="1011">
        <v>0</v>
      </c>
      <c r="AA11" s="1011" t="str">
        <f>+'Recálculos RAGEI anteriores'!L39</f>
        <v>NE</v>
      </c>
    </row>
    <row r="12" spans="2:27" ht="15">
      <c r="B12" s="1004"/>
      <c r="C12" s="1004" t="s">
        <v>17</v>
      </c>
      <c r="D12" s="1026" t="s">
        <v>422</v>
      </c>
      <c r="E12" s="1016">
        <v>155.19753333333335</v>
      </c>
      <c r="F12" s="1005"/>
      <c r="G12" s="1019">
        <v>0</v>
      </c>
      <c r="H12" s="1016">
        <v>256.77</v>
      </c>
      <c r="I12" s="1005"/>
      <c r="J12" s="1019">
        <v>0</v>
      </c>
      <c r="K12" s="1016">
        <v>181.77</v>
      </c>
      <c r="L12" s="1005"/>
      <c r="M12" s="1019">
        <v>0</v>
      </c>
      <c r="N12" s="1016">
        <v>239.83</v>
      </c>
      <c r="O12" s="1005"/>
      <c r="P12" s="1019">
        <v>0</v>
      </c>
      <c r="Q12" s="1016">
        <v>293.87</v>
      </c>
      <c r="R12" s="1005"/>
      <c r="S12" s="1019">
        <v>0</v>
      </c>
      <c r="T12" s="1016">
        <v>250.73</v>
      </c>
      <c r="U12" s="1005"/>
      <c r="V12" s="1019">
        <v>0</v>
      </c>
      <c r="W12" s="1016">
        <v>262.53951122300003</v>
      </c>
      <c r="X12" s="1006">
        <f>+'Recálculos RAGEI anteriores'!K40</f>
        <v>188.3940666666667</v>
      </c>
      <c r="Y12" s="1019">
        <v>0</v>
      </c>
      <c r="Z12" s="1027">
        <f>+'Recálculos RAGEI anteriores'!K40</f>
        <v>188.3940666666667</v>
      </c>
      <c r="AA12" s="1027">
        <f>+'Recálculos RAGEI anteriores'!L40</f>
        <v>292.6029333333333</v>
      </c>
    </row>
    <row r="13" spans="2:27" ht="15">
      <c r="B13" s="1004"/>
      <c r="C13" s="1004" t="s">
        <v>20</v>
      </c>
      <c r="D13" s="1026" t="s">
        <v>1533</v>
      </c>
      <c r="E13" s="1016">
        <v>5534.160244874101</v>
      </c>
      <c r="F13" s="1005"/>
      <c r="G13" s="1020">
        <f>+(F13+F14-E13)/E13</f>
        <v>-1</v>
      </c>
      <c r="H13" s="1016">
        <v>6626.31</v>
      </c>
      <c r="I13" s="1005"/>
      <c r="J13" s="1020">
        <f>+(I13+I14-H13)/H13</f>
        <v>-1</v>
      </c>
      <c r="K13" s="1016">
        <v>6918.56</v>
      </c>
      <c r="L13" s="1005"/>
      <c r="M13" s="1020">
        <f>+(L13+L14-K13)/K13</f>
        <v>-1</v>
      </c>
      <c r="N13" s="1016">
        <v>7486.27</v>
      </c>
      <c r="O13" s="1005"/>
      <c r="P13" s="1020">
        <f>+(O13+O14-N13)/N13</f>
        <v>-1</v>
      </c>
      <c r="Q13" s="1016">
        <v>7763.15</v>
      </c>
      <c r="R13" s="1005"/>
      <c r="S13" s="1020">
        <f>+(R13+R14-Q13)/Q13</f>
        <v>-1</v>
      </c>
      <c r="T13" s="1016">
        <v>7704.6</v>
      </c>
      <c r="U13" s="1005"/>
      <c r="V13" s="1020">
        <f>+(U13+U14-T13)/T13</f>
        <v>-1</v>
      </c>
      <c r="W13" s="1016">
        <v>7709.85946982283</v>
      </c>
      <c r="X13" s="1006">
        <f>+'Recálculos RAGEI anteriores'!K41</f>
        <v>6420.389032400063</v>
      </c>
      <c r="Y13" s="1020">
        <f>+(X13+X14-W13)/W13</f>
        <v>0.131775850716442</v>
      </c>
      <c r="Z13" s="1027">
        <f>+'Recálculos RAGEI anteriores'!K41</f>
        <v>6420.389032400063</v>
      </c>
      <c r="AA13" s="1027">
        <f>+'Recálculos RAGEI anteriores'!L41</f>
        <v>6853.676721643895</v>
      </c>
    </row>
    <row r="14" spans="2:27" ht="27">
      <c r="B14" s="1004"/>
      <c r="C14" s="1004" t="s">
        <v>29</v>
      </c>
      <c r="D14" s="1026" t="s">
        <v>1534</v>
      </c>
      <c r="E14" s="1016">
        <v>1982.516003767302</v>
      </c>
      <c r="F14" s="1005"/>
      <c r="G14" s="1020"/>
      <c r="H14" s="1016">
        <v>2338.43</v>
      </c>
      <c r="I14" s="1005"/>
      <c r="J14" s="1020"/>
      <c r="K14" s="1016">
        <v>2437.21</v>
      </c>
      <c r="L14" s="1005"/>
      <c r="M14" s="1020"/>
      <c r="N14" s="1016">
        <v>2613.65</v>
      </c>
      <c r="O14" s="1005"/>
      <c r="P14" s="1020"/>
      <c r="Q14" s="1016">
        <v>2674.69</v>
      </c>
      <c r="R14" s="1005"/>
      <c r="S14" s="1020"/>
      <c r="T14" s="1016">
        <v>2660.13</v>
      </c>
      <c r="U14" s="1005"/>
      <c r="V14" s="1020"/>
      <c r="W14" s="1016">
        <v>2667.6630882364475</v>
      </c>
      <c r="X14" s="1006">
        <f>+'Recálculos RAGEI anteriores'!K42</f>
        <v>2305.4437279628864</v>
      </c>
      <c r="Y14" s="1020"/>
      <c r="Z14" s="1027">
        <f>+'Recálculos RAGEI anteriores'!K42</f>
        <v>2305.4437279628864</v>
      </c>
      <c r="AA14" s="1027">
        <f>+'Recálculos RAGEI anteriores'!L42</f>
        <v>2454.34210409523</v>
      </c>
    </row>
    <row r="15" spans="2:27" ht="27">
      <c r="B15" s="225"/>
      <c r="C15" s="1004" t="s">
        <v>30</v>
      </c>
      <c r="D15" s="1026" t="s">
        <v>1535</v>
      </c>
      <c r="E15" s="1016">
        <v>121.59205902640025</v>
      </c>
      <c r="F15" s="1005"/>
      <c r="G15" s="1019">
        <v>0</v>
      </c>
      <c r="H15" s="1016">
        <v>142.43</v>
      </c>
      <c r="I15" s="1005"/>
      <c r="J15" s="1019">
        <v>0</v>
      </c>
      <c r="K15" s="1016">
        <v>158.51</v>
      </c>
      <c r="L15" s="1005"/>
      <c r="M15" s="1019">
        <v>0</v>
      </c>
      <c r="N15" s="1016">
        <v>187.72</v>
      </c>
      <c r="O15" s="1005"/>
      <c r="P15" s="1019">
        <v>0</v>
      </c>
      <c r="Q15" s="1016">
        <v>194.12</v>
      </c>
      <c r="R15" s="1005"/>
      <c r="S15" s="1019">
        <v>0</v>
      </c>
      <c r="T15" s="1016">
        <v>200.17</v>
      </c>
      <c r="U15" s="1005"/>
      <c r="V15" s="1019">
        <v>0</v>
      </c>
      <c r="W15" s="1016">
        <v>209.3022782667291</v>
      </c>
      <c r="X15" s="1006">
        <f>+'Recálculos RAGEI anteriores'!K43</f>
        <v>180.19478590752732</v>
      </c>
      <c r="Y15" s="1019">
        <v>0</v>
      </c>
      <c r="Z15" s="1027">
        <f>+'Recálculos RAGEI anteriores'!K43</f>
        <v>180.19478590752732</v>
      </c>
      <c r="AA15" s="1027">
        <f>+'Recálculos RAGEI anteriores'!L43</f>
        <v>185.4068371341044</v>
      </c>
    </row>
    <row r="16" spans="2:27" ht="15">
      <c r="B16" s="1004"/>
      <c r="C16" s="1004" t="s">
        <v>32</v>
      </c>
      <c r="D16" s="1026" t="s">
        <v>1420</v>
      </c>
      <c r="E16" s="1016">
        <v>628.1752459573041</v>
      </c>
      <c r="F16" s="1005"/>
      <c r="G16" s="1017">
        <f aca="true" t="shared" si="25" ref="G16:G17">+(F16-E16)/E16</f>
        <v>-1</v>
      </c>
      <c r="H16" s="1016">
        <v>743.77</v>
      </c>
      <c r="I16" s="1005"/>
      <c r="J16" s="1017">
        <f aca="true" t="shared" si="26" ref="J16:J17">+(I16-H16)/H16</f>
        <v>-1</v>
      </c>
      <c r="K16" s="1016">
        <v>914.17</v>
      </c>
      <c r="L16" s="1005"/>
      <c r="M16" s="1017">
        <f aca="true" t="shared" si="27" ref="M16:M17">+(L16-K16)/K16</f>
        <v>-1</v>
      </c>
      <c r="N16" s="1016">
        <v>1004.94</v>
      </c>
      <c r="O16" s="1005"/>
      <c r="P16" s="1017">
        <f aca="true" t="shared" si="28" ref="P16:P17">+(O16-N16)/N16</f>
        <v>-1</v>
      </c>
      <c r="Q16" s="1016">
        <v>1017.71</v>
      </c>
      <c r="R16" s="1005"/>
      <c r="S16" s="1017">
        <f aca="true" t="shared" si="29" ref="S16:S17">+(R16-Q16)/Q16</f>
        <v>-1</v>
      </c>
      <c r="T16" s="1016">
        <v>979.5</v>
      </c>
      <c r="U16" s="1005"/>
      <c r="V16" s="1017">
        <f aca="true" t="shared" si="30" ref="V16:V17">+(U16-T16)/T16</f>
        <v>-1</v>
      </c>
      <c r="W16" s="1016">
        <v>1084.9077189763816</v>
      </c>
      <c r="X16" s="1006">
        <f>+'Recálculos RAGEI anteriores'!K44</f>
        <v>1891.9412633057718</v>
      </c>
      <c r="Y16" s="1017">
        <f aca="true" t="shared" si="31" ref="Y16:Y17">+(X16-W16)/W16</f>
        <v>0.7438729858893735</v>
      </c>
      <c r="Z16" s="1027">
        <f>+'Recálculos RAGEI anteriores'!K44</f>
        <v>1891.9412633057718</v>
      </c>
      <c r="AA16" s="1027">
        <f>+'Recálculos RAGEI anteriores'!L44</f>
        <v>1790.834423305186</v>
      </c>
    </row>
    <row r="17" spans="2:27" ht="15.75" thickBot="1">
      <c r="B17" s="1695" t="s">
        <v>124</v>
      </c>
      <c r="C17" s="1695"/>
      <c r="D17" s="1696"/>
      <c r="E17" s="1021">
        <f>+E6+E9</f>
        <v>20204.796980513114</v>
      </c>
      <c r="F17" s="1022">
        <f>+F6+F9</f>
        <v>0</v>
      </c>
      <c r="G17" s="1023">
        <f t="shared" si="25"/>
        <v>-1</v>
      </c>
      <c r="H17" s="1021">
        <f aca="true" t="shared" si="32" ref="H17:I17">+H6+H9</f>
        <v>22822.33</v>
      </c>
      <c r="I17" s="1022">
        <f t="shared" si="32"/>
        <v>0</v>
      </c>
      <c r="J17" s="1023">
        <f t="shared" si="26"/>
        <v>-1</v>
      </c>
      <c r="K17" s="1021">
        <f aca="true" t="shared" si="33" ref="K17:L17">+K6+K9</f>
        <v>24099.78</v>
      </c>
      <c r="L17" s="1022">
        <f t="shared" si="33"/>
        <v>0</v>
      </c>
      <c r="M17" s="1023">
        <f t="shared" si="27"/>
        <v>-1</v>
      </c>
      <c r="N17" s="1021">
        <f aca="true" t="shared" si="34" ref="N17:O17">+N6+N9</f>
        <v>25580.06</v>
      </c>
      <c r="O17" s="1022">
        <f t="shared" si="34"/>
        <v>0</v>
      </c>
      <c r="P17" s="1023">
        <f t="shared" si="28"/>
        <v>-1</v>
      </c>
      <c r="Q17" s="1021">
        <f>+Q6+Q9</f>
        <v>26048.020000000004</v>
      </c>
      <c r="R17" s="1022">
        <f>+R6+R9</f>
        <v>16244.901007339475</v>
      </c>
      <c r="S17" s="1023">
        <f t="shared" si="29"/>
        <v>-0.3763479524608983</v>
      </c>
      <c r="T17" s="1021">
        <f>+T6+T9</f>
        <v>25840.07</v>
      </c>
      <c r="U17" s="1022">
        <f>+U6+U9</f>
        <v>16896.17408329109</v>
      </c>
      <c r="V17" s="1023">
        <f t="shared" si="30"/>
        <v>-0.3461250653233102</v>
      </c>
      <c r="W17" s="1021">
        <f>+W6+W9</f>
        <v>25910.294712920986</v>
      </c>
      <c r="X17" s="1022">
        <f>+X6+X9</f>
        <v>27735.66033037217</v>
      </c>
      <c r="Y17" s="1023">
        <f t="shared" si="31"/>
        <v>0.07044943477778773</v>
      </c>
      <c r="Z17" s="1012">
        <f>+Z6+Z9</f>
        <v>27004.471962521573</v>
      </c>
      <c r="AA17" s="1012">
        <f>+AA6+AA9</f>
        <v>28478.343265461528</v>
      </c>
    </row>
    <row r="19" spans="2:19" ht="15">
      <c r="B19" s="1697" t="s">
        <v>1536</v>
      </c>
      <c r="C19" s="1697"/>
      <c r="D19" s="1697"/>
      <c r="E19" s="1697"/>
      <c r="F19" s="1697"/>
      <c r="G19" s="1697"/>
      <c r="H19" s="1697"/>
      <c r="I19" s="1697"/>
      <c r="J19" s="1697"/>
      <c r="K19" s="1697"/>
      <c r="L19" s="1697"/>
      <c r="M19" s="1697"/>
      <c r="N19" s="1697"/>
      <c r="O19" s="1697"/>
      <c r="P19" s="1697"/>
      <c r="Q19" s="1697"/>
      <c r="R19" s="1697"/>
      <c r="S19" s="1697"/>
    </row>
    <row r="20" spans="2:19" ht="15">
      <c r="B20" s="1697"/>
      <c r="C20" s="1697"/>
      <c r="D20" s="1697"/>
      <c r="E20" s="1697"/>
      <c r="F20" s="1697"/>
      <c r="G20" s="1697"/>
      <c r="H20" s="1697"/>
      <c r="I20" s="1697"/>
      <c r="J20" s="1697"/>
      <c r="K20" s="1697"/>
      <c r="L20" s="1697"/>
      <c r="M20" s="1697"/>
      <c r="N20" s="1697"/>
      <c r="O20" s="1697"/>
      <c r="P20" s="1697"/>
      <c r="Q20" s="1697"/>
      <c r="R20" s="1697"/>
      <c r="S20" s="1697"/>
    </row>
    <row r="21" spans="2:19" ht="15">
      <c r="B21" s="1697"/>
      <c r="C21" s="1697"/>
      <c r="D21" s="1697"/>
      <c r="E21" s="1697"/>
      <c r="F21" s="1697"/>
      <c r="G21" s="1697"/>
      <c r="H21" s="1697"/>
      <c r="I21" s="1697"/>
      <c r="J21" s="1697"/>
      <c r="K21" s="1697"/>
      <c r="L21" s="1697"/>
      <c r="M21" s="1697"/>
      <c r="N21" s="1697"/>
      <c r="O21" s="1697"/>
      <c r="P21" s="1697"/>
      <c r="Q21" s="1697"/>
      <c r="R21" s="1697"/>
      <c r="S21" s="1697"/>
    </row>
  </sheetData>
  <mergeCells count="26">
    <mergeCell ref="T4:V4"/>
    <mergeCell ref="T2:V2"/>
    <mergeCell ref="H3:J3"/>
    <mergeCell ref="K3:M3"/>
    <mergeCell ref="N3:P3"/>
    <mergeCell ref="Q3:S3"/>
    <mergeCell ref="H2:J2"/>
    <mergeCell ref="K2:M2"/>
    <mergeCell ref="N2:P2"/>
    <mergeCell ref="Q2:S2"/>
    <mergeCell ref="B2:D5"/>
    <mergeCell ref="E4:G4"/>
    <mergeCell ref="B17:D17"/>
    <mergeCell ref="B19:S21"/>
    <mergeCell ref="W2:Y2"/>
    <mergeCell ref="W3:Y3"/>
    <mergeCell ref="W4:Y4"/>
    <mergeCell ref="E2:G2"/>
    <mergeCell ref="E3:G3"/>
    <mergeCell ref="C6:D6"/>
    <mergeCell ref="C9:D9"/>
    <mergeCell ref="T3:V3"/>
    <mergeCell ref="H4:J4"/>
    <mergeCell ref="K4:M4"/>
    <mergeCell ref="N4:P4"/>
    <mergeCell ref="Q4:S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H403"/>
  <sheetViews>
    <sheetView workbookViewId="0" topLeftCell="A1"/>
  </sheetViews>
  <sheetFormatPr defaultColWidth="11.421875" defaultRowHeight="15"/>
  <cols>
    <col min="1" max="1" width="3.140625" style="0" customWidth="1"/>
    <col min="2" max="2" width="2.8515625" style="3" customWidth="1"/>
    <col min="3" max="3" width="3.7109375" style="3" customWidth="1"/>
    <col min="4" max="4" width="5.57421875" style="3" customWidth="1"/>
    <col min="5" max="5" width="6.8515625" style="3" customWidth="1"/>
    <col min="6" max="6" width="8.140625" style="3" customWidth="1"/>
    <col min="7" max="7" width="45.28125" style="3" customWidth="1"/>
    <col min="8" max="8" width="7.00390625" style="16" customWidth="1"/>
    <col min="9" max="9" width="16.00390625" style="16" customWidth="1"/>
    <col min="10" max="10" width="15.00390625" style="16" customWidth="1"/>
    <col min="11" max="11" width="13.8515625" style="16" customWidth="1"/>
    <col min="12" max="12" width="2.8515625" style="0" customWidth="1"/>
    <col min="13" max="13" width="2.28125" style="0" customWidth="1"/>
    <col min="14" max="14" width="3.421875" style="0" customWidth="1"/>
    <col min="15" max="15" width="5.00390625" style="0" customWidth="1"/>
    <col min="16" max="16" width="6.57421875" style="0" customWidth="1"/>
    <col min="17" max="17" width="37.57421875" style="0" customWidth="1"/>
    <col min="18" max="18" width="5.57421875" style="327" customWidth="1"/>
    <col min="19" max="19" width="12.28125" style="0" customWidth="1"/>
    <col min="20" max="20" width="16.00390625" style="660" customWidth="1"/>
    <col min="21" max="21" width="17.421875" style="660" customWidth="1"/>
    <col min="22" max="22" width="13.421875" style="233" customWidth="1"/>
    <col min="23" max="23" width="3.00390625" style="0" customWidth="1"/>
    <col min="24" max="24" width="3.28125" style="0" customWidth="1"/>
    <col min="25" max="26" width="4.00390625" style="0" customWidth="1"/>
    <col min="27" max="27" width="6.57421875" style="0" customWidth="1"/>
    <col min="28" max="28" width="44.421875" style="0" customWidth="1"/>
    <col min="29" max="29" width="7.00390625" style="327" customWidth="1"/>
    <col min="30" max="30" width="14.8515625" style="0" customWidth="1"/>
    <col min="31" max="31" width="15.8515625" style="0" customWidth="1"/>
    <col min="32" max="32" width="15.421875" style="0" customWidth="1"/>
    <col min="33" max="33" width="13.57421875" style="0" customWidth="1"/>
  </cols>
  <sheetData>
    <row r="2" spans="2:22" ht="15">
      <c r="B2" s="1736" t="s">
        <v>1267</v>
      </c>
      <c r="C2" s="1736"/>
      <c r="D2" s="1736"/>
      <c r="E2" s="1736"/>
      <c r="F2" s="1736"/>
      <c r="G2" s="1736"/>
      <c r="H2" s="1736"/>
      <c r="I2" s="1736"/>
      <c r="J2" s="1736"/>
      <c r="K2" s="1736"/>
      <c r="M2" s="1736"/>
      <c r="N2" s="1736"/>
      <c r="O2" s="1736"/>
      <c r="P2" s="1736"/>
      <c r="Q2" s="1736"/>
      <c r="R2" s="1736"/>
      <c r="S2" s="1736"/>
      <c r="T2" s="1736"/>
      <c r="U2" s="1736"/>
      <c r="V2" s="1736"/>
    </row>
    <row r="3" spans="13:22" ht="15.75" thickBot="1">
      <c r="M3" s="16"/>
      <c r="N3" s="16"/>
      <c r="O3" s="16"/>
      <c r="P3" s="16"/>
      <c r="Q3" s="16"/>
      <c r="R3" s="603"/>
      <c r="S3" s="16"/>
      <c r="T3" s="604"/>
      <c r="U3" s="604"/>
      <c r="V3" s="605"/>
    </row>
    <row r="4" spans="2:33" ht="15">
      <c r="B4" s="1737" t="s">
        <v>10</v>
      </c>
      <c r="C4" s="1738"/>
      <c r="D4" s="1738"/>
      <c r="E4" s="1738"/>
      <c r="F4" s="1738"/>
      <c r="G4" s="1738"/>
      <c r="H4" s="838" t="s">
        <v>1268</v>
      </c>
      <c r="I4" s="838" t="s">
        <v>1269</v>
      </c>
      <c r="J4" s="838" t="s">
        <v>21</v>
      </c>
      <c r="K4" s="606" t="s">
        <v>102</v>
      </c>
      <c r="M4" s="1739" t="s">
        <v>10</v>
      </c>
      <c r="N4" s="1740"/>
      <c r="O4" s="1740"/>
      <c r="P4" s="1740"/>
      <c r="Q4" s="1740"/>
      <c r="R4" s="838" t="s">
        <v>1268</v>
      </c>
      <c r="S4" s="838"/>
      <c r="T4" s="607" t="s">
        <v>1269</v>
      </c>
      <c r="U4" s="607" t="s">
        <v>21</v>
      </c>
      <c r="V4" s="608" t="s">
        <v>102</v>
      </c>
      <c r="X4" s="1739" t="s">
        <v>10</v>
      </c>
      <c r="Y4" s="1740"/>
      <c r="Z4" s="1740"/>
      <c r="AA4" s="1740"/>
      <c r="AB4" s="1740"/>
      <c r="AC4" s="838" t="s">
        <v>1268</v>
      </c>
      <c r="AD4" s="838"/>
      <c r="AE4" s="607" t="s">
        <v>1269</v>
      </c>
      <c r="AF4" s="607" t="s">
        <v>21</v>
      </c>
      <c r="AG4" s="608" t="s">
        <v>102</v>
      </c>
    </row>
    <row r="5" spans="2:33" ht="37.5" customHeight="1">
      <c r="B5" s="1715" t="s">
        <v>1270</v>
      </c>
      <c r="C5" s="1716"/>
      <c r="D5" s="1716"/>
      <c r="E5" s="1716"/>
      <c r="F5" s="1717"/>
      <c r="G5" s="1724" t="s">
        <v>379</v>
      </c>
      <c r="H5" s="1706" t="s">
        <v>1271</v>
      </c>
      <c r="I5" s="609" t="s">
        <v>1272</v>
      </c>
      <c r="J5" s="609" t="s">
        <v>1273</v>
      </c>
      <c r="K5" s="610" t="s">
        <v>1274</v>
      </c>
      <c r="M5" s="1727" t="s">
        <v>1275</v>
      </c>
      <c r="N5" s="1728"/>
      <c r="O5" s="1728"/>
      <c r="P5" s="1729"/>
      <c r="Q5" s="1724" t="s">
        <v>379</v>
      </c>
      <c r="R5" s="1706" t="s">
        <v>1271</v>
      </c>
      <c r="S5" s="1706" t="s">
        <v>1444</v>
      </c>
      <c r="T5" s="609" t="s">
        <v>1272</v>
      </c>
      <c r="U5" s="609" t="s">
        <v>1273</v>
      </c>
      <c r="V5" s="610" t="s">
        <v>1274</v>
      </c>
      <c r="X5" s="1727" t="s">
        <v>1275</v>
      </c>
      <c r="Y5" s="1728"/>
      <c r="Z5" s="1728"/>
      <c r="AA5" s="1729"/>
      <c r="AB5" s="1724" t="s">
        <v>379</v>
      </c>
      <c r="AC5" s="1706" t="s">
        <v>1271</v>
      </c>
      <c r="AD5" s="1706" t="s">
        <v>1444</v>
      </c>
      <c r="AE5" s="609" t="s">
        <v>1272</v>
      </c>
      <c r="AF5" s="609" t="s">
        <v>1273</v>
      </c>
      <c r="AG5" s="610" t="s">
        <v>1274</v>
      </c>
    </row>
    <row r="6" spans="2:33" ht="25.5" customHeight="1">
      <c r="B6" s="1718"/>
      <c r="C6" s="1719"/>
      <c r="D6" s="1719"/>
      <c r="E6" s="1719"/>
      <c r="F6" s="1720"/>
      <c r="G6" s="1725"/>
      <c r="H6" s="1707"/>
      <c r="I6" s="609" t="s">
        <v>1276</v>
      </c>
      <c r="J6" s="609" t="s">
        <v>1276</v>
      </c>
      <c r="K6" s="610" t="s">
        <v>1277</v>
      </c>
      <c r="M6" s="1730"/>
      <c r="N6" s="1731"/>
      <c r="O6" s="1731"/>
      <c r="P6" s="1732"/>
      <c r="Q6" s="1725"/>
      <c r="R6" s="1707"/>
      <c r="S6" s="1741"/>
      <c r="T6" s="609" t="s">
        <v>1276</v>
      </c>
      <c r="U6" s="609" t="s">
        <v>1276</v>
      </c>
      <c r="V6" s="610" t="s">
        <v>1277</v>
      </c>
      <c r="X6" s="1730"/>
      <c r="Y6" s="1731"/>
      <c r="Z6" s="1731"/>
      <c r="AA6" s="1732"/>
      <c r="AB6" s="1725"/>
      <c r="AC6" s="1707"/>
      <c r="AD6" s="1707"/>
      <c r="AE6" s="609" t="s">
        <v>1276</v>
      </c>
      <c r="AF6" s="609" t="s">
        <v>1276</v>
      </c>
      <c r="AG6" s="610" t="s">
        <v>1277</v>
      </c>
    </row>
    <row r="7" spans="2:33" ht="16.5" customHeight="1" thickBot="1">
      <c r="B7" s="1721"/>
      <c r="C7" s="1722"/>
      <c r="D7" s="1722"/>
      <c r="E7" s="1722"/>
      <c r="F7" s="1723"/>
      <c r="G7" s="1726"/>
      <c r="H7" s="1708"/>
      <c r="I7" s="925" t="s">
        <v>347</v>
      </c>
      <c r="J7" s="925" t="s">
        <v>347</v>
      </c>
      <c r="K7" s="926" t="s">
        <v>347</v>
      </c>
      <c r="M7" s="1733"/>
      <c r="N7" s="1734"/>
      <c r="O7" s="1734"/>
      <c r="P7" s="1735"/>
      <c r="Q7" s="1726"/>
      <c r="R7" s="1708"/>
      <c r="S7" s="925"/>
      <c r="T7" s="925" t="s">
        <v>347</v>
      </c>
      <c r="U7" s="925" t="s">
        <v>347</v>
      </c>
      <c r="V7" s="926" t="s">
        <v>347</v>
      </c>
      <c r="X7" s="1733"/>
      <c r="Y7" s="1734"/>
      <c r="Z7" s="1734"/>
      <c r="AA7" s="1735"/>
      <c r="AB7" s="1726"/>
      <c r="AC7" s="1708"/>
      <c r="AD7" s="1708"/>
      <c r="AE7" s="925" t="s">
        <v>347</v>
      </c>
      <c r="AF7" s="925" t="s">
        <v>347</v>
      </c>
      <c r="AG7" s="926" t="s">
        <v>347</v>
      </c>
    </row>
    <row r="8" spans="2:33" ht="15">
      <c r="B8" s="920">
        <v>3</v>
      </c>
      <c r="C8" s="921"/>
      <c r="D8" s="921"/>
      <c r="E8" s="921"/>
      <c r="F8" s="922"/>
      <c r="G8" s="854" t="s">
        <v>381</v>
      </c>
      <c r="H8" s="923"/>
      <c r="I8" s="923"/>
      <c r="J8" s="923"/>
      <c r="K8" s="924"/>
      <c r="M8" s="930">
        <v>3</v>
      </c>
      <c r="N8" s="931"/>
      <c r="O8" s="931"/>
      <c r="P8" s="931"/>
      <c r="Q8" s="1742" t="s">
        <v>381</v>
      </c>
      <c r="R8" s="1743"/>
      <c r="S8" s="1743"/>
      <c r="T8" s="1743"/>
      <c r="U8" s="1743"/>
      <c r="V8" s="1744"/>
      <c r="X8" s="927">
        <v>3</v>
      </c>
      <c r="Y8" s="928"/>
      <c r="Z8" s="928"/>
      <c r="AA8" s="928"/>
      <c r="AB8" s="928" t="s">
        <v>381</v>
      </c>
      <c r="AC8" s="879"/>
      <c r="AD8" s="879"/>
      <c r="AE8" s="879"/>
      <c r="AF8" s="879"/>
      <c r="AG8" s="929"/>
    </row>
    <row r="9" spans="2:33" ht="15">
      <c r="B9" s="870"/>
      <c r="C9" s="866" t="s">
        <v>391</v>
      </c>
      <c r="D9" s="865"/>
      <c r="E9" s="865"/>
      <c r="F9" s="871"/>
      <c r="G9" s="855" t="s">
        <v>126</v>
      </c>
      <c r="H9" s="612"/>
      <c r="I9" s="613"/>
      <c r="J9" s="613"/>
      <c r="K9" s="614"/>
      <c r="M9" s="615"/>
      <c r="N9" s="616" t="s">
        <v>413</v>
      </c>
      <c r="O9" s="616"/>
      <c r="P9" s="616"/>
      <c r="Q9" s="1709" t="s">
        <v>1443</v>
      </c>
      <c r="R9" s="1710"/>
      <c r="S9" s="1710"/>
      <c r="T9" s="1710"/>
      <c r="U9" s="1710"/>
      <c r="V9" s="1711"/>
      <c r="X9" s="615"/>
      <c r="Y9" s="616" t="s">
        <v>413</v>
      </c>
      <c r="Z9" s="616"/>
      <c r="AA9" s="616"/>
      <c r="AB9" s="1709" t="s">
        <v>1443</v>
      </c>
      <c r="AC9" s="1710"/>
      <c r="AD9" s="1710"/>
      <c r="AE9" s="1710"/>
      <c r="AF9" s="1710"/>
      <c r="AG9" s="1711"/>
    </row>
    <row r="10" spans="2:33" ht="15">
      <c r="B10" s="872"/>
      <c r="C10" s="866"/>
      <c r="D10" s="866" t="s">
        <v>392</v>
      </c>
      <c r="E10" s="866"/>
      <c r="F10" s="873"/>
      <c r="G10" s="856" t="s">
        <v>382</v>
      </c>
      <c r="H10" s="612"/>
      <c r="I10" s="618"/>
      <c r="J10" s="618"/>
      <c r="K10" s="619"/>
      <c r="M10" s="620"/>
      <c r="N10" s="621"/>
      <c r="O10" s="622" t="s">
        <v>30</v>
      </c>
      <c r="P10" s="622"/>
      <c r="Q10" s="622" t="s">
        <v>422</v>
      </c>
      <c r="R10" s="623" t="s">
        <v>1278</v>
      </c>
      <c r="S10" s="625">
        <f>'RESULTADOS RAGEI '!H38</f>
        <v>292.6029333333333</v>
      </c>
      <c r="T10" s="625">
        <f>I49</f>
        <v>0</v>
      </c>
      <c r="U10" s="625">
        <f>J49</f>
        <v>50</v>
      </c>
      <c r="V10" s="626">
        <f>SQRT(T10^2+U10^2)</f>
        <v>50</v>
      </c>
      <c r="X10" s="620"/>
      <c r="Y10" s="621"/>
      <c r="Z10" s="622" t="s">
        <v>30</v>
      </c>
      <c r="AA10" s="622"/>
      <c r="AB10" s="622" t="s">
        <v>422</v>
      </c>
      <c r="AC10" s="623" t="s">
        <v>1278</v>
      </c>
      <c r="AD10" s="624">
        <f>S10</f>
        <v>292.6029333333333</v>
      </c>
      <c r="AE10" s="625">
        <f aca="true" t="shared" si="0" ref="AE10:AF10">T10</f>
        <v>0</v>
      </c>
      <c r="AF10" s="625">
        <f t="shared" si="0"/>
        <v>50</v>
      </c>
      <c r="AG10" s="626">
        <f>SQRT(AE10^2+AF10^2)</f>
        <v>50</v>
      </c>
    </row>
    <row r="11" spans="2:33" ht="15">
      <c r="B11" s="872"/>
      <c r="C11" s="866"/>
      <c r="D11" s="866"/>
      <c r="E11" s="866" t="s">
        <v>390</v>
      </c>
      <c r="F11" s="873"/>
      <c r="G11" s="16" t="s">
        <v>393</v>
      </c>
      <c r="H11" s="612"/>
      <c r="I11" s="618"/>
      <c r="J11" s="618"/>
      <c r="K11" s="619"/>
      <c r="M11" s="615"/>
      <c r="N11" s="616" t="s">
        <v>1279</v>
      </c>
      <c r="O11" s="616"/>
      <c r="P11" s="616"/>
      <c r="Q11" s="936" t="s">
        <v>126</v>
      </c>
      <c r="R11" s="937"/>
      <c r="S11" s="937"/>
      <c r="T11" s="937"/>
      <c r="U11" s="937"/>
      <c r="V11" s="938"/>
      <c r="X11" s="615"/>
      <c r="Y11" s="616" t="s">
        <v>1279</v>
      </c>
      <c r="Z11" s="616"/>
      <c r="AA11" s="616"/>
      <c r="AB11" s="1712" t="s">
        <v>126</v>
      </c>
      <c r="AC11" s="1713"/>
      <c r="AD11" s="1713"/>
      <c r="AE11" s="1713"/>
      <c r="AF11" s="1713"/>
      <c r="AG11" s="1714"/>
    </row>
    <row r="12" spans="2:33" ht="15">
      <c r="B12" s="872"/>
      <c r="C12" s="866"/>
      <c r="D12" s="866"/>
      <c r="E12" s="866"/>
      <c r="F12" s="873" t="s">
        <v>394</v>
      </c>
      <c r="G12" s="880" t="s">
        <v>395</v>
      </c>
      <c r="H12" s="612" t="s">
        <v>632</v>
      </c>
      <c r="I12" s="618">
        <f>'Valores de incertidumbre'!C48</f>
        <v>10</v>
      </c>
      <c r="J12" s="618">
        <f>'Valores de incertidumbre'!D48</f>
        <v>29.71212322690895</v>
      </c>
      <c r="K12" s="619">
        <f>SQRT(I12^2+J12^2)</f>
        <v>31.34980489015876</v>
      </c>
      <c r="M12" s="620"/>
      <c r="N12" s="621"/>
      <c r="O12" s="622" t="s">
        <v>786</v>
      </c>
      <c r="P12" s="622"/>
      <c r="Q12" s="622" t="s">
        <v>382</v>
      </c>
      <c r="R12" s="627"/>
      <c r="S12" s="622"/>
      <c r="T12" s="622"/>
      <c r="U12" s="622"/>
      <c r="V12" s="628"/>
      <c r="X12" s="620"/>
      <c r="Y12" s="621"/>
      <c r="Z12" s="622" t="s">
        <v>786</v>
      </c>
      <c r="AA12" s="622"/>
      <c r="AB12" s="622" t="s">
        <v>382</v>
      </c>
      <c r="AC12" s="627"/>
      <c r="AD12" s="622"/>
      <c r="AE12" s="622"/>
      <c r="AF12" s="622"/>
      <c r="AG12" s="628"/>
    </row>
    <row r="13" spans="2:33" ht="15">
      <c r="B13" s="872"/>
      <c r="C13" s="866"/>
      <c r="D13" s="866"/>
      <c r="E13" s="866"/>
      <c r="F13" s="873" t="s">
        <v>396</v>
      </c>
      <c r="G13" s="880" t="s">
        <v>375</v>
      </c>
      <c r="H13" s="612" t="s">
        <v>632</v>
      </c>
      <c r="I13" s="618">
        <f>'Valores de incertidumbre'!C49</f>
        <v>10</v>
      </c>
      <c r="J13" s="618">
        <f>'Valores de incertidumbre'!D49</f>
        <v>11.284470769564463</v>
      </c>
      <c r="K13" s="619">
        <f>SQRT(I13^2+J13^2)</f>
        <v>15.077774389781629</v>
      </c>
      <c r="M13" s="620"/>
      <c r="N13" s="621"/>
      <c r="O13" s="621"/>
      <c r="P13" s="621" t="s">
        <v>1281</v>
      </c>
      <c r="Q13" s="621" t="s">
        <v>393</v>
      </c>
      <c r="R13" s="629" t="s">
        <v>1280</v>
      </c>
      <c r="S13" s="630">
        <f>SUM(S14:S15)</f>
        <v>11920.897155291104</v>
      </c>
      <c r="T13" s="630">
        <f>T14</f>
        <v>10</v>
      </c>
      <c r="U13" s="827">
        <f>SQRT(POWER((S14*U14),2)+POWER((S15*U15),2))/(S13)</f>
        <v>24.21659109449531</v>
      </c>
      <c r="V13" s="832">
        <f>SQRT(T13^2+U13^2)</f>
        <v>26.200062676222544</v>
      </c>
      <c r="X13" s="620"/>
      <c r="Y13" s="621"/>
      <c r="Z13" s="621"/>
      <c r="AA13" s="621" t="s">
        <v>1281</v>
      </c>
      <c r="AB13" s="621" t="s">
        <v>393</v>
      </c>
      <c r="AC13" s="629" t="s">
        <v>1280</v>
      </c>
      <c r="AD13" s="630">
        <f>S13</f>
        <v>11920.897155291104</v>
      </c>
      <c r="AE13" s="630">
        <f>T13</f>
        <v>10</v>
      </c>
      <c r="AF13" s="630">
        <f>U13</f>
        <v>24.21659109449531</v>
      </c>
      <c r="AG13" s="631">
        <f>SQRT(AE13^2+AF13^2)</f>
        <v>26.200062676222544</v>
      </c>
    </row>
    <row r="14" spans="2:33" ht="15">
      <c r="B14" s="872"/>
      <c r="C14" s="866"/>
      <c r="D14" s="866"/>
      <c r="E14" s="866" t="s">
        <v>397</v>
      </c>
      <c r="F14" s="874"/>
      <c r="G14" s="881" t="s">
        <v>383</v>
      </c>
      <c r="H14" s="885"/>
      <c r="I14" s="886"/>
      <c r="J14" s="886"/>
      <c r="K14" s="887"/>
      <c r="M14" s="620"/>
      <c r="N14" s="621"/>
      <c r="O14" s="621"/>
      <c r="P14" s="621" t="s">
        <v>1282</v>
      </c>
      <c r="Q14" s="634" t="s">
        <v>436</v>
      </c>
      <c r="R14" s="629" t="s">
        <v>1280</v>
      </c>
      <c r="S14" s="630">
        <f>'RESULTADOS RAGEI '!I9*28</f>
        <v>2668.031640375591</v>
      </c>
      <c r="T14" s="630">
        <f>I12</f>
        <v>10</v>
      </c>
      <c r="U14" s="827">
        <f>J12</f>
        <v>29.71212322690895</v>
      </c>
      <c r="V14" s="832">
        <f>SQRT(T14^2+U14^2)</f>
        <v>31.34980489015876</v>
      </c>
      <c r="X14" s="620"/>
      <c r="Y14" s="621"/>
      <c r="Z14" s="621"/>
      <c r="AA14" s="621" t="s">
        <v>1283</v>
      </c>
      <c r="AB14" s="621" t="s">
        <v>40</v>
      </c>
      <c r="AC14" s="629" t="s">
        <v>1280</v>
      </c>
      <c r="AD14" s="630">
        <f>S16</f>
        <v>1592.02946</v>
      </c>
      <c r="AE14" s="630">
        <f>T16</f>
        <v>10</v>
      </c>
      <c r="AF14" s="630">
        <f>U16</f>
        <v>50</v>
      </c>
      <c r="AG14" s="631">
        <f aca="true" t="shared" si="1" ref="AG14:AG16">SQRT(AE14^2+AF14^2)</f>
        <v>50.99019513592785</v>
      </c>
    </row>
    <row r="15" spans="2:33" ht="15">
      <c r="B15" s="872"/>
      <c r="C15" s="866"/>
      <c r="D15" s="866"/>
      <c r="E15" s="866" t="s">
        <v>398</v>
      </c>
      <c r="F15" s="873"/>
      <c r="G15" s="858" t="s">
        <v>40</v>
      </c>
      <c r="H15" s="612" t="s">
        <v>632</v>
      </c>
      <c r="I15" s="618">
        <f>'Valores de incertidumbre'!C50</f>
        <v>10</v>
      </c>
      <c r="J15" s="618">
        <f>'Valores de incertidumbre'!D50</f>
        <v>50</v>
      </c>
      <c r="K15" s="619">
        <f>SQRT(I15^2+J15^2)</f>
        <v>50.99019513592785</v>
      </c>
      <c r="M15" s="620"/>
      <c r="N15" s="621"/>
      <c r="O15" s="621"/>
      <c r="P15" s="621" t="s">
        <v>1284</v>
      </c>
      <c r="Q15" s="634" t="s">
        <v>375</v>
      </c>
      <c r="R15" s="629" t="s">
        <v>1280</v>
      </c>
      <c r="S15" s="630">
        <f>'RESULTADOS RAGEI '!I10*28</f>
        <v>9252.865514915513</v>
      </c>
      <c r="T15" s="630">
        <f>I13</f>
        <v>10</v>
      </c>
      <c r="U15" s="827">
        <v>30</v>
      </c>
      <c r="V15" s="832">
        <f>SQRT(T15^2+U15^2)</f>
        <v>31.622776601683793</v>
      </c>
      <c r="X15" s="620"/>
      <c r="Y15" s="621"/>
      <c r="Z15" s="621"/>
      <c r="AA15" s="621" t="s">
        <v>1285</v>
      </c>
      <c r="AB15" s="621" t="s">
        <v>39</v>
      </c>
      <c r="AC15" s="629" t="s">
        <v>1280</v>
      </c>
      <c r="AD15" s="630">
        <f aca="true" t="shared" si="2" ref="AD15:AF20">S17</f>
        <v>252.26348000000002</v>
      </c>
      <c r="AE15" s="630">
        <f t="shared" si="2"/>
        <v>10</v>
      </c>
      <c r="AF15" s="630">
        <f t="shared" si="2"/>
        <v>50</v>
      </c>
      <c r="AG15" s="631">
        <f t="shared" si="1"/>
        <v>50.99019513592785</v>
      </c>
    </row>
    <row r="16" spans="2:33" ht="15">
      <c r="B16" s="872"/>
      <c r="C16" s="866"/>
      <c r="D16" s="866"/>
      <c r="E16" s="866" t="s">
        <v>399</v>
      </c>
      <c r="F16" s="875"/>
      <c r="G16" s="859" t="s">
        <v>39</v>
      </c>
      <c r="H16" s="612" t="s">
        <v>632</v>
      </c>
      <c r="I16" s="618">
        <f>'Valores de incertidumbre'!C51</f>
        <v>10</v>
      </c>
      <c r="J16" s="618">
        <f>'Valores de incertidumbre'!D51</f>
        <v>50</v>
      </c>
      <c r="K16" s="619">
        <f aca="true" t="shared" si="3" ref="K16:K53">SQRT(I16^2+J16^2)</f>
        <v>50.99019513592785</v>
      </c>
      <c r="M16" s="620"/>
      <c r="N16" s="621"/>
      <c r="O16" s="621"/>
      <c r="P16" s="621" t="s">
        <v>1283</v>
      </c>
      <c r="Q16" s="621" t="s">
        <v>40</v>
      </c>
      <c r="R16" s="629" t="s">
        <v>1280</v>
      </c>
      <c r="S16" s="630">
        <f>'RESULTADOS RAGEI '!I12*28</f>
        <v>1592.02946</v>
      </c>
      <c r="T16" s="630">
        <f aca="true" t="shared" si="4" ref="T16:U21">I15</f>
        <v>10</v>
      </c>
      <c r="U16" s="827">
        <f>J15</f>
        <v>50</v>
      </c>
      <c r="V16" s="832">
        <f aca="true" t="shared" si="5" ref="V16:V21">SQRT(T16^2+U16^2)</f>
        <v>50.99019513592785</v>
      </c>
      <c r="X16" s="620"/>
      <c r="Y16" s="621"/>
      <c r="Z16" s="621"/>
      <c r="AA16" s="621" t="s">
        <v>1286</v>
      </c>
      <c r="AB16" s="621" t="s">
        <v>384</v>
      </c>
      <c r="AC16" s="629" t="s">
        <v>1280</v>
      </c>
      <c r="AD16" s="630">
        <f>S18</f>
        <v>1243.64128</v>
      </c>
      <c r="AE16" s="630">
        <f t="shared" si="2"/>
        <v>10</v>
      </c>
      <c r="AF16" s="630">
        <f t="shared" si="2"/>
        <v>50</v>
      </c>
      <c r="AG16" s="631">
        <f t="shared" si="1"/>
        <v>50.99019513592785</v>
      </c>
    </row>
    <row r="17" spans="2:33" ht="15">
      <c r="B17" s="872"/>
      <c r="C17" s="866"/>
      <c r="D17" s="866"/>
      <c r="E17" s="866" t="s">
        <v>400</v>
      </c>
      <c r="F17" s="873"/>
      <c r="G17" s="858" t="s">
        <v>384</v>
      </c>
      <c r="H17" s="612" t="s">
        <v>632</v>
      </c>
      <c r="I17" s="618">
        <f>'Valores de incertidumbre'!C52</f>
        <v>10</v>
      </c>
      <c r="J17" s="618">
        <f>'Valores de incertidumbre'!D52</f>
        <v>50</v>
      </c>
      <c r="K17" s="619">
        <f t="shared" si="3"/>
        <v>50.99019513592785</v>
      </c>
      <c r="M17" s="620"/>
      <c r="N17" s="621"/>
      <c r="O17" s="621"/>
      <c r="P17" s="621" t="s">
        <v>1285</v>
      </c>
      <c r="Q17" s="621" t="s">
        <v>39</v>
      </c>
      <c r="R17" s="629" t="s">
        <v>1280</v>
      </c>
      <c r="S17" s="630">
        <f>'RESULTADOS RAGEI '!I13*28</f>
        <v>252.26348000000002</v>
      </c>
      <c r="T17" s="630">
        <f t="shared" si="4"/>
        <v>10</v>
      </c>
      <c r="U17" s="827">
        <f t="shared" si="4"/>
        <v>50</v>
      </c>
      <c r="V17" s="832">
        <f t="shared" si="5"/>
        <v>50.99019513592785</v>
      </c>
      <c r="X17" s="620"/>
      <c r="Y17" s="621"/>
      <c r="Z17" s="621"/>
      <c r="AA17" s="621" t="s">
        <v>1287</v>
      </c>
      <c r="AB17" s="621" t="s">
        <v>66</v>
      </c>
      <c r="AC17" s="629" t="s">
        <v>1280</v>
      </c>
      <c r="AD17" s="630">
        <f t="shared" si="2"/>
        <v>241.033826422431</v>
      </c>
      <c r="AE17" s="630" t="str">
        <f t="shared" si="2"/>
        <v>ND</v>
      </c>
      <c r="AF17" s="630">
        <f t="shared" si="2"/>
        <v>50</v>
      </c>
      <c r="AG17" s="631">
        <f>SQRT(AF17^2)</f>
        <v>50</v>
      </c>
    </row>
    <row r="18" spans="2:33" ht="15">
      <c r="B18" s="872"/>
      <c r="C18" s="866"/>
      <c r="D18" s="866"/>
      <c r="E18" s="866" t="s">
        <v>401</v>
      </c>
      <c r="F18" s="873"/>
      <c r="G18" s="858" t="s">
        <v>66</v>
      </c>
      <c r="H18" s="612" t="s">
        <v>632</v>
      </c>
      <c r="I18" s="618" t="str">
        <f>'Valores de incertidumbre'!C53</f>
        <v>ND</v>
      </c>
      <c r="J18" s="618">
        <f>'Valores de incertidumbre'!D53</f>
        <v>50</v>
      </c>
      <c r="K18" s="619">
        <f>SQRT(J18^2)</f>
        <v>50</v>
      </c>
      <c r="M18" s="620"/>
      <c r="N18" s="621"/>
      <c r="O18" s="621"/>
      <c r="P18" s="621" t="s">
        <v>1286</v>
      </c>
      <c r="Q18" s="621" t="s">
        <v>384</v>
      </c>
      <c r="R18" s="629" t="s">
        <v>1280</v>
      </c>
      <c r="S18" s="630">
        <f>'RESULTADOS RAGEI '!I14*28</f>
        <v>1243.64128</v>
      </c>
      <c r="T18" s="630">
        <f t="shared" si="4"/>
        <v>10</v>
      </c>
      <c r="U18" s="827">
        <f t="shared" si="4"/>
        <v>50</v>
      </c>
      <c r="V18" s="832">
        <f t="shared" si="5"/>
        <v>50.99019513592785</v>
      </c>
      <c r="X18" s="620"/>
      <c r="Y18" s="621"/>
      <c r="Z18" s="621"/>
      <c r="AA18" s="621" t="s">
        <v>1288</v>
      </c>
      <c r="AB18" s="621" t="s">
        <v>385</v>
      </c>
      <c r="AC18" s="629" t="s">
        <v>1280</v>
      </c>
      <c r="AD18" s="630">
        <f t="shared" si="2"/>
        <v>151.4985378020299</v>
      </c>
      <c r="AE18" s="630" t="str">
        <f t="shared" si="2"/>
        <v>ND</v>
      </c>
      <c r="AF18" s="630">
        <f t="shared" si="2"/>
        <v>50</v>
      </c>
      <c r="AG18" s="631">
        <f>SQRT(AF18^2)</f>
        <v>50</v>
      </c>
    </row>
    <row r="19" spans="2:33" ht="15">
      <c r="B19" s="872"/>
      <c r="C19" s="866"/>
      <c r="D19" s="866"/>
      <c r="E19" s="866" t="s">
        <v>402</v>
      </c>
      <c r="F19" s="873"/>
      <c r="G19" s="860" t="s">
        <v>385</v>
      </c>
      <c r="H19" s="612" t="s">
        <v>632</v>
      </c>
      <c r="I19" s="618" t="str">
        <f>'Valores de incertidumbre'!C54</f>
        <v>ND</v>
      </c>
      <c r="J19" s="618">
        <f>'Valores de incertidumbre'!D54</f>
        <v>50</v>
      </c>
      <c r="K19" s="619">
        <f>SQRT(J19^2)</f>
        <v>50</v>
      </c>
      <c r="M19" s="620"/>
      <c r="N19" s="621"/>
      <c r="O19" s="621"/>
      <c r="P19" s="621" t="s">
        <v>1287</v>
      </c>
      <c r="Q19" s="621" t="s">
        <v>66</v>
      </c>
      <c r="R19" s="629" t="s">
        <v>1280</v>
      </c>
      <c r="S19" s="630">
        <f>'RESULTADOS RAGEI '!I15*28</f>
        <v>241.033826422431</v>
      </c>
      <c r="T19" s="630" t="str">
        <f>I18</f>
        <v>ND</v>
      </c>
      <c r="U19" s="827">
        <f t="shared" si="4"/>
        <v>50</v>
      </c>
      <c r="V19" s="832">
        <f>SQRT(U19^2)</f>
        <v>50</v>
      </c>
      <c r="X19" s="620"/>
      <c r="Y19" s="621"/>
      <c r="Z19" s="621"/>
      <c r="AA19" s="621" t="s">
        <v>1289</v>
      </c>
      <c r="AB19" s="621" t="s">
        <v>386</v>
      </c>
      <c r="AC19" s="629" t="s">
        <v>1280</v>
      </c>
      <c r="AD19" s="630">
        <f t="shared" si="2"/>
        <v>26.335456767123286</v>
      </c>
      <c r="AE19" s="630">
        <f t="shared" si="2"/>
        <v>10</v>
      </c>
      <c r="AF19" s="630">
        <f t="shared" si="2"/>
        <v>50</v>
      </c>
      <c r="AG19" s="631">
        <f>SQRT(AE19^2+AF19^2)</f>
        <v>50.99019513592785</v>
      </c>
    </row>
    <row r="20" spans="2:33" ht="15">
      <c r="B20" s="872"/>
      <c r="C20" s="866"/>
      <c r="D20" s="866"/>
      <c r="E20" s="866" t="s">
        <v>403</v>
      </c>
      <c r="F20" s="873"/>
      <c r="G20" s="860" t="s">
        <v>386</v>
      </c>
      <c r="H20" s="612" t="s">
        <v>632</v>
      </c>
      <c r="I20" s="618">
        <f>'Valores de incertidumbre'!C55</f>
        <v>10</v>
      </c>
      <c r="J20" s="618">
        <f>'Valores de incertidumbre'!D55</f>
        <v>50</v>
      </c>
      <c r="K20" s="619">
        <f t="shared" si="3"/>
        <v>50.99019513592785</v>
      </c>
      <c r="M20" s="620"/>
      <c r="N20" s="621"/>
      <c r="O20" s="621"/>
      <c r="P20" s="621" t="s">
        <v>1288</v>
      </c>
      <c r="Q20" s="621" t="s">
        <v>385</v>
      </c>
      <c r="R20" s="629" t="s">
        <v>1280</v>
      </c>
      <c r="S20" s="630">
        <f>'RESULTADOS RAGEI '!I16*28</f>
        <v>151.4985378020299</v>
      </c>
      <c r="T20" s="630" t="str">
        <f t="shared" si="4"/>
        <v>ND</v>
      </c>
      <c r="U20" s="827">
        <f t="shared" si="4"/>
        <v>50</v>
      </c>
      <c r="V20" s="832">
        <f>SQRT(U20^2)</f>
        <v>50</v>
      </c>
      <c r="X20" s="620"/>
      <c r="Y20" s="621"/>
      <c r="Z20" s="621"/>
      <c r="AA20" s="621" t="s">
        <v>1290</v>
      </c>
      <c r="AB20" s="621" t="s">
        <v>388</v>
      </c>
      <c r="AC20" s="629" t="s">
        <v>1280</v>
      </c>
      <c r="AD20" s="630">
        <f t="shared" si="2"/>
        <v>4.739559283977472</v>
      </c>
      <c r="AE20" s="630" t="str">
        <f t="shared" si="2"/>
        <v>ND</v>
      </c>
      <c r="AF20" s="630">
        <f t="shared" si="2"/>
        <v>50</v>
      </c>
      <c r="AG20" s="631">
        <f>SQRT(AF20^2)</f>
        <v>50</v>
      </c>
    </row>
    <row r="21" spans="2:33" ht="15">
      <c r="B21" s="872"/>
      <c r="C21" s="866"/>
      <c r="D21" s="866"/>
      <c r="E21" s="866" t="s">
        <v>404</v>
      </c>
      <c r="F21" s="874"/>
      <c r="G21" s="881" t="s">
        <v>387</v>
      </c>
      <c r="H21" s="885"/>
      <c r="I21" s="886"/>
      <c r="J21" s="886"/>
      <c r="K21" s="887"/>
      <c r="M21" s="620"/>
      <c r="N21" s="621"/>
      <c r="O21" s="621"/>
      <c r="P21" s="621" t="s">
        <v>1289</v>
      </c>
      <c r="Q21" s="621" t="s">
        <v>386</v>
      </c>
      <c r="R21" s="629" t="s">
        <v>1280</v>
      </c>
      <c r="S21" s="630">
        <f>'RESULTADOS RAGEI '!I17*28</f>
        <v>26.335456767123286</v>
      </c>
      <c r="T21" s="630">
        <f t="shared" si="4"/>
        <v>10</v>
      </c>
      <c r="U21" s="827">
        <f t="shared" si="4"/>
        <v>50</v>
      </c>
      <c r="V21" s="832">
        <f t="shared" si="5"/>
        <v>50.99019513592785</v>
      </c>
      <c r="X21" s="620"/>
      <c r="Y21" s="621"/>
      <c r="Z21" s="622" t="s">
        <v>3</v>
      </c>
      <c r="AA21" s="622"/>
      <c r="AB21" s="622" t="s">
        <v>389</v>
      </c>
      <c r="AC21" s="629"/>
      <c r="AD21" s="630"/>
      <c r="AE21" s="630"/>
      <c r="AF21" s="635"/>
      <c r="AG21" s="631"/>
    </row>
    <row r="22" spans="2:34" ht="15">
      <c r="B22" s="872"/>
      <c r="C22" s="866"/>
      <c r="D22" s="866"/>
      <c r="E22" s="866" t="s">
        <v>405</v>
      </c>
      <c r="F22" s="873"/>
      <c r="G22" s="860" t="s">
        <v>388</v>
      </c>
      <c r="H22" s="612" t="s">
        <v>632</v>
      </c>
      <c r="I22" s="618" t="str">
        <f>'Valores de incertidumbre'!C56</f>
        <v>ND</v>
      </c>
      <c r="J22" s="618">
        <f>'Valores de incertidumbre'!D56</f>
        <v>50</v>
      </c>
      <c r="K22" s="619">
        <f>SQRT(J22^2)</f>
        <v>50</v>
      </c>
      <c r="M22" s="620"/>
      <c r="N22" s="621"/>
      <c r="O22" s="621"/>
      <c r="P22" s="621" t="s">
        <v>1290</v>
      </c>
      <c r="Q22" s="621" t="s">
        <v>388</v>
      </c>
      <c r="R22" s="629" t="s">
        <v>1280</v>
      </c>
      <c r="S22" s="630">
        <f>'RESULTADOS RAGEI '!I19*28</f>
        <v>4.739559283977472</v>
      </c>
      <c r="T22" s="630" t="str">
        <f>I22</f>
        <v>ND</v>
      </c>
      <c r="U22" s="827">
        <f>J22</f>
        <v>50</v>
      </c>
      <c r="V22" s="832">
        <f>SQRT(U22^2)</f>
        <v>50</v>
      </c>
      <c r="X22" s="620"/>
      <c r="Y22" s="621"/>
      <c r="Z22" s="621"/>
      <c r="AA22" s="621" t="s">
        <v>1291</v>
      </c>
      <c r="AB22" s="621" t="s">
        <v>393</v>
      </c>
      <c r="AC22" s="629" t="s">
        <v>1280</v>
      </c>
      <c r="AD22" s="630">
        <f>S24</f>
        <v>157.65512</v>
      </c>
      <c r="AE22" s="630">
        <f>T24</f>
        <v>8.501095252715356</v>
      </c>
      <c r="AF22" s="630">
        <f>U24</f>
        <v>25.50328575814607</v>
      </c>
      <c r="AG22" s="631">
        <f>SQRT(AE22^2+AF22^2)</f>
        <v>26.882823604625234</v>
      </c>
      <c r="AH22" s="789"/>
    </row>
    <row r="23" spans="2:34" ht="15">
      <c r="B23" s="872"/>
      <c r="C23" s="866"/>
      <c r="D23" s="866" t="s">
        <v>406</v>
      </c>
      <c r="E23" s="866"/>
      <c r="F23" s="873"/>
      <c r="G23" s="856" t="s">
        <v>389</v>
      </c>
      <c r="H23" s="611"/>
      <c r="I23" s="882"/>
      <c r="J23" s="882"/>
      <c r="K23" s="619"/>
      <c r="M23" s="620"/>
      <c r="N23" s="621"/>
      <c r="O23" s="622" t="s">
        <v>3</v>
      </c>
      <c r="P23" s="622"/>
      <c r="Q23" s="622" t="s">
        <v>389</v>
      </c>
      <c r="R23" s="629"/>
      <c r="S23" s="630"/>
      <c r="T23" s="630"/>
      <c r="U23" s="836"/>
      <c r="V23" s="832"/>
      <c r="X23" s="620"/>
      <c r="Y23" s="621"/>
      <c r="Z23" s="621"/>
      <c r="AA23" s="621" t="s">
        <v>1292</v>
      </c>
      <c r="AB23" s="621" t="s">
        <v>40</v>
      </c>
      <c r="AC23" s="629" t="s">
        <v>1280</v>
      </c>
      <c r="AD23" s="630">
        <f>S27</f>
        <v>36.4986608</v>
      </c>
      <c r="AE23" s="630">
        <f>T27</f>
        <v>10</v>
      </c>
      <c r="AF23" s="630">
        <f>U27</f>
        <v>30</v>
      </c>
      <c r="AG23" s="631">
        <f>SQRT(AE23^2+AF23^2)</f>
        <v>31.622776601683793</v>
      </c>
      <c r="AH23" s="789"/>
    </row>
    <row r="24" spans="2:34" ht="15">
      <c r="B24" s="872"/>
      <c r="C24" s="866"/>
      <c r="D24" s="866"/>
      <c r="E24" s="866" t="s">
        <v>407</v>
      </c>
      <c r="F24" s="873"/>
      <c r="G24" s="858" t="s">
        <v>412</v>
      </c>
      <c r="H24" s="612"/>
      <c r="I24" s="611"/>
      <c r="J24" s="611"/>
      <c r="K24" s="619"/>
      <c r="M24" s="620"/>
      <c r="N24" s="621"/>
      <c r="O24" s="621"/>
      <c r="P24" s="621" t="s">
        <v>1291</v>
      </c>
      <c r="Q24" s="621" t="s">
        <v>393</v>
      </c>
      <c r="R24" s="629" t="s">
        <v>1280</v>
      </c>
      <c r="S24" s="630">
        <f>SUM(S25:S26)</f>
        <v>157.65512</v>
      </c>
      <c r="T24" s="630">
        <f>SQRT(POWER((S25*T25),2)+POWER((S26*T26),2))/(S24)</f>
        <v>8.501095252715356</v>
      </c>
      <c r="U24" s="827">
        <f>SQRT(POWER((S25*U25),2)+POWER((S26*U26),2))/(S24)</f>
        <v>25.50328575814607</v>
      </c>
      <c r="V24" s="832">
        <f aca="true" t="shared" si="6" ref="V24:V53">SQRT(T24^2+U24^2)</f>
        <v>26.882823604625234</v>
      </c>
      <c r="X24" s="620"/>
      <c r="Y24" s="621"/>
      <c r="Z24" s="621"/>
      <c r="AA24" s="621" t="s">
        <v>1293</v>
      </c>
      <c r="AB24" s="621" t="s">
        <v>39</v>
      </c>
      <c r="AC24" s="629" t="s">
        <v>1280</v>
      </c>
      <c r="AD24" s="630">
        <f aca="true" t="shared" si="7" ref="AD24:AF30">S28</f>
        <v>8.26863632</v>
      </c>
      <c r="AE24" s="630">
        <f t="shared" si="7"/>
        <v>10</v>
      </c>
      <c r="AF24" s="630">
        <f t="shared" si="7"/>
        <v>30</v>
      </c>
      <c r="AG24" s="631">
        <f>SQRT(AE24^2+AF24^2)</f>
        <v>31.622776601683793</v>
      </c>
      <c r="AH24" s="789"/>
    </row>
    <row r="25" spans="2:34" ht="15">
      <c r="B25" s="872"/>
      <c r="C25" s="866"/>
      <c r="D25" s="866"/>
      <c r="E25" s="866"/>
      <c r="F25" s="873" t="s">
        <v>408</v>
      </c>
      <c r="G25" s="880" t="s">
        <v>395</v>
      </c>
      <c r="H25" s="612" t="s">
        <v>632</v>
      </c>
      <c r="I25" s="618">
        <f>'Valores de incertidumbre'!C81</f>
        <v>10</v>
      </c>
      <c r="J25" s="618">
        <f>'Valores de incertidumbre'!D81</f>
        <v>30</v>
      </c>
      <c r="K25" s="619">
        <f t="shared" si="3"/>
        <v>31.622776601683793</v>
      </c>
      <c r="M25" s="620"/>
      <c r="N25" s="621"/>
      <c r="O25" s="621"/>
      <c r="P25" s="621" t="s">
        <v>1294</v>
      </c>
      <c r="Q25" s="634" t="s">
        <v>1319</v>
      </c>
      <c r="R25" s="629" t="s">
        <v>1280</v>
      </c>
      <c r="S25" s="630">
        <f>'RESULTADOS RAGEI '!I22*28</f>
        <v>26.221020000000003</v>
      </c>
      <c r="T25" s="630">
        <f>I25</f>
        <v>10</v>
      </c>
      <c r="U25" s="827">
        <f>J25</f>
        <v>30</v>
      </c>
      <c r="V25" s="832">
        <f t="shared" si="6"/>
        <v>31.622776601683793</v>
      </c>
      <c r="X25" s="620"/>
      <c r="Y25" s="621"/>
      <c r="Z25" s="621"/>
      <c r="AA25" s="621" t="s">
        <v>1295</v>
      </c>
      <c r="AB25" s="621" t="s">
        <v>384</v>
      </c>
      <c r="AC25" s="629" t="s">
        <v>1280</v>
      </c>
      <c r="AD25" s="630">
        <f t="shared" si="7"/>
        <v>33.20598080868572</v>
      </c>
      <c r="AE25" s="630">
        <f t="shared" si="7"/>
        <v>10</v>
      </c>
      <c r="AF25" s="630">
        <f t="shared" si="7"/>
        <v>30</v>
      </c>
      <c r="AG25" s="631">
        <f>SQRT(AE25^2+AF25^2)</f>
        <v>31.622776601683793</v>
      </c>
      <c r="AH25" s="789"/>
    </row>
    <row r="26" spans="2:34" ht="15">
      <c r="B26" s="872"/>
      <c r="C26" s="866"/>
      <c r="D26" s="866"/>
      <c r="E26" s="866"/>
      <c r="F26" s="873" t="s">
        <v>409</v>
      </c>
      <c r="G26" s="880" t="s">
        <v>375</v>
      </c>
      <c r="H26" s="612" t="s">
        <v>632</v>
      </c>
      <c r="I26" s="618">
        <f>'Valores de incertidumbre'!C82</f>
        <v>10</v>
      </c>
      <c r="J26" s="618">
        <f>'Valores de incertidumbre'!D82</f>
        <v>30</v>
      </c>
      <c r="K26" s="619">
        <f t="shared" si="3"/>
        <v>31.622776601683793</v>
      </c>
      <c r="M26" s="620"/>
      <c r="N26" s="621"/>
      <c r="O26" s="621"/>
      <c r="P26" s="621" t="s">
        <v>1296</v>
      </c>
      <c r="Q26" s="634" t="s">
        <v>375</v>
      </c>
      <c r="R26" s="629" t="s">
        <v>1280</v>
      </c>
      <c r="S26" s="630">
        <f>'RESULTADOS RAGEI '!I23*28</f>
        <v>131.4341</v>
      </c>
      <c r="T26" s="630">
        <f>I26</f>
        <v>10</v>
      </c>
      <c r="U26" s="827">
        <f>J26</f>
        <v>30</v>
      </c>
      <c r="V26" s="832">
        <f t="shared" si="6"/>
        <v>31.622776601683793</v>
      </c>
      <c r="X26" s="620"/>
      <c r="Y26" s="621"/>
      <c r="Z26" s="621"/>
      <c r="AA26" s="621" t="s">
        <v>1297</v>
      </c>
      <c r="AB26" s="621" t="s">
        <v>66</v>
      </c>
      <c r="AC26" s="629" t="s">
        <v>1280</v>
      </c>
      <c r="AD26" s="630">
        <f t="shared" si="7"/>
        <v>19.1598201799315</v>
      </c>
      <c r="AE26" s="630" t="str">
        <f t="shared" si="7"/>
        <v>ND</v>
      </c>
      <c r="AF26" s="630">
        <f t="shared" si="7"/>
        <v>30</v>
      </c>
      <c r="AG26" s="631">
        <f>SQRT(AF26^2)</f>
        <v>30</v>
      </c>
      <c r="AH26" s="789"/>
    </row>
    <row r="27" spans="2:34" ht="15">
      <c r="B27" s="872"/>
      <c r="C27" s="866"/>
      <c r="D27" s="866"/>
      <c r="E27" s="866" t="s">
        <v>407</v>
      </c>
      <c r="F27" s="873"/>
      <c r="G27" s="858" t="s">
        <v>412</v>
      </c>
      <c r="H27" s="612"/>
      <c r="I27" s="611"/>
      <c r="J27" s="611"/>
      <c r="K27" s="619"/>
      <c r="M27" s="620"/>
      <c r="N27" s="621"/>
      <c r="O27" s="621"/>
      <c r="P27" s="621" t="s">
        <v>1292</v>
      </c>
      <c r="Q27" s="621" t="s">
        <v>40</v>
      </c>
      <c r="R27" s="629" t="s">
        <v>1280</v>
      </c>
      <c r="S27" s="630">
        <f>'RESULTADOS RAGEI '!I25*28</f>
        <v>36.4986608</v>
      </c>
      <c r="T27" s="630">
        <f aca="true" t="shared" si="8" ref="T27:U29">I31</f>
        <v>10</v>
      </c>
      <c r="U27" s="827">
        <f t="shared" si="8"/>
        <v>30</v>
      </c>
      <c r="V27" s="832">
        <f t="shared" si="6"/>
        <v>31.622776601683793</v>
      </c>
      <c r="X27" s="620"/>
      <c r="Y27" s="621"/>
      <c r="Z27" s="621"/>
      <c r="AA27" s="621" t="s">
        <v>1298</v>
      </c>
      <c r="AB27" s="621" t="s">
        <v>385</v>
      </c>
      <c r="AC27" s="629" t="s">
        <v>1280</v>
      </c>
      <c r="AD27" s="630">
        <f t="shared" si="7"/>
        <v>12.071480935240753</v>
      </c>
      <c r="AE27" s="630" t="str">
        <f t="shared" si="7"/>
        <v>ND</v>
      </c>
      <c r="AF27" s="630">
        <f t="shared" si="7"/>
        <v>30</v>
      </c>
      <c r="AG27" s="631">
        <f>SQRT(AF27^2)</f>
        <v>30</v>
      </c>
      <c r="AH27" s="789"/>
    </row>
    <row r="28" spans="2:34" ht="15">
      <c r="B28" s="872"/>
      <c r="C28" s="866"/>
      <c r="D28" s="866"/>
      <c r="E28" s="866"/>
      <c r="F28" s="873" t="s">
        <v>408</v>
      </c>
      <c r="G28" s="880" t="s">
        <v>395</v>
      </c>
      <c r="H28" s="612" t="s">
        <v>674</v>
      </c>
      <c r="I28" s="618">
        <f>'Valores de incertidumbre'!C81</f>
        <v>10</v>
      </c>
      <c r="J28" s="618">
        <f>'Valores de incertidumbre'!D81</f>
        <v>30</v>
      </c>
      <c r="K28" s="619">
        <f>SQRT(I28^2+J28^2)</f>
        <v>31.622776601683793</v>
      </c>
      <c r="M28" s="620"/>
      <c r="N28" s="621"/>
      <c r="O28" s="621"/>
      <c r="P28" s="621" t="s">
        <v>1293</v>
      </c>
      <c r="Q28" s="621" t="s">
        <v>39</v>
      </c>
      <c r="R28" s="629" t="s">
        <v>1280</v>
      </c>
      <c r="S28" s="630">
        <f>'RESULTADOS RAGEI '!I26*28</f>
        <v>8.26863632</v>
      </c>
      <c r="T28" s="630">
        <f t="shared" si="8"/>
        <v>10</v>
      </c>
      <c r="U28" s="827">
        <f t="shared" si="8"/>
        <v>30</v>
      </c>
      <c r="V28" s="832">
        <f t="shared" si="6"/>
        <v>31.622776601683793</v>
      </c>
      <c r="X28" s="620"/>
      <c r="Y28" s="621"/>
      <c r="Z28" s="621"/>
      <c r="AA28" s="621" t="s">
        <v>1300</v>
      </c>
      <c r="AB28" s="621" t="s">
        <v>386</v>
      </c>
      <c r="AC28" s="629" t="s">
        <v>1280</v>
      </c>
      <c r="AD28" s="630">
        <f t="shared" si="7"/>
        <v>29.167240602739728</v>
      </c>
      <c r="AE28" s="630">
        <f t="shared" si="7"/>
        <v>10</v>
      </c>
      <c r="AF28" s="630">
        <f t="shared" si="7"/>
        <v>30</v>
      </c>
      <c r="AG28" s="631">
        <f>SQRT(AE28^2+AF28^2)</f>
        <v>31.622776601683793</v>
      </c>
      <c r="AH28" s="789"/>
    </row>
    <row r="29" spans="2:34" ht="15">
      <c r="B29" s="872"/>
      <c r="C29" s="866"/>
      <c r="D29" s="866"/>
      <c r="E29" s="866"/>
      <c r="F29" s="873" t="s">
        <v>409</v>
      </c>
      <c r="G29" s="880" t="s">
        <v>375</v>
      </c>
      <c r="H29" s="612" t="s">
        <v>674</v>
      </c>
      <c r="I29" s="618">
        <f>'Valores de incertidumbre'!C82</f>
        <v>10</v>
      </c>
      <c r="J29" s="618">
        <f>'Valores de incertidumbre'!D82</f>
        <v>30</v>
      </c>
      <c r="K29" s="619">
        <f>SQRT(I29^2+J29^2)</f>
        <v>31.622776601683793</v>
      </c>
      <c r="M29" s="620"/>
      <c r="N29" s="621"/>
      <c r="O29" s="621"/>
      <c r="P29" s="621" t="s">
        <v>1295</v>
      </c>
      <c r="Q29" s="621" t="s">
        <v>384</v>
      </c>
      <c r="R29" s="629" t="s">
        <v>1280</v>
      </c>
      <c r="S29" s="630">
        <f>'RESULTADOS RAGEI '!I27*28</f>
        <v>33.20598080868572</v>
      </c>
      <c r="T29" s="630">
        <f t="shared" si="8"/>
        <v>10</v>
      </c>
      <c r="U29" s="827">
        <f t="shared" si="8"/>
        <v>30</v>
      </c>
      <c r="V29" s="832">
        <f t="shared" si="6"/>
        <v>31.622776601683793</v>
      </c>
      <c r="X29" s="620"/>
      <c r="Y29" s="621"/>
      <c r="Z29" s="621"/>
      <c r="AA29" s="621" t="s">
        <v>1301</v>
      </c>
      <c r="AB29" s="621" t="s">
        <v>387</v>
      </c>
      <c r="AC29" s="629" t="s">
        <v>1280</v>
      </c>
      <c r="AD29" s="630">
        <f t="shared" si="7"/>
        <v>28.62019813506793</v>
      </c>
      <c r="AE29" s="630">
        <f t="shared" si="7"/>
        <v>5</v>
      </c>
      <c r="AF29" s="630">
        <f t="shared" si="7"/>
        <v>30</v>
      </c>
      <c r="AG29" s="631">
        <f>SQRT(AE29^2+AF29^2)</f>
        <v>30.4138126514911</v>
      </c>
      <c r="AH29" s="789"/>
    </row>
    <row r="30" spans="2:34" ht="15">
      <c r="B30" s="872"/>
      <c r="C30" s="866"/>
      <c r="D30" s="866"/>
      <c r="E30" s="866" t="s">
        <v>410</v>
      </c>
      <c r="F30" s="874"/>
      <c r="G30" s="881" t="s">
        <v>383</v>
      </c>
      <c r="H30" s="632"/>
      <c r="I30" s="618"/>
      <c r="J30" s="618"/>
      <c r="K30" s="633"/>
      <c r="M30" s="620"/>
      <c r="N30" s="621"/>
      <c r="O30" s="621"/>
      <c r="P30" s="621" t="s">
        <v>1297</v>
      </c>
      <c r="Q30" s="621" t="s">
        <v>66</v>
      </c>
      <c r="R30" s="629" t="s">
        <v>1280</v>
      </c>
      <c r="S30" s="630">
        <f>'RESULTADOS RAGEI '!I28*28</f>
        <v>19.1598201799315</v>
      </c>
      <c r="T30" s="630" t="str">
        <f>I35</f>
        <v>ND</v>
      </c>
      <c r="U30" s="827">
        <f aca="true" t="shared" si="9" ref="T30:U32">J35</f>
        <v>30</v>
      </c>
      <c r="V30" s="832">
        <f>SQRT(U30^2)</f>
        <v>30</v>
      </c>
      <c r="X30" s="620"/>
      <c r="Y30" s="621"/>
      <c r="Z30" s="621"/>
      <c r="AA30" s="621" t="s">
        <v>1302</v>
      </c>
      <c r="AB30" s="621" t="s">
        <v>388</v>
      </c>
      <c r="AC30" s="629" t="s">
        <v>1280</v>
      </c>
      <c r="AD30" s="630">
        <f>S34</f>
        <v>4.739559283977472</v>
      </c>
      <c r="AE30" s="630" t="str">
        <f t="shared" si="7"/>
        <v>ND</v>
      </c>
      <c r="AF30" s="630">
        <f t="shared" si="7"/>
        <v>30</v>
      </c>
      <c r="AG30" s="631">
        <f>SQRT(AF30^2)</f>
        <v>30</v>
      </c>
      <c r="AH30" s="789"/>
    </row>
    <row r="31" spans="2:34" ht="15">
      <c r="B31" s="872"/>
      <c r="C31" s="866"/>
      <c r="D31" s="866"/>
      <c r="E31" s="866" t="s">
        <v>411</v>
      </c>
      <c r="F31" s="873"/>
      <c r="G31" s="860" t="s">
        <v>40</v>
      </c>
      <c r="H31" s="612" t="s">
        <v>632</v>
      </c>
      <c r="I31" s="618">
        <f>'Valores de incertidumbre'!C83</f>
        <v>10</v>
      </c>
      <c r="J31" s="618">
        <f>'Valores de incertidumbre'!D83</f>
        <v>30</v>
      </c>
      <c r="K31" s="619">
        <f t="shared" si="3"/>
        <v>31.622776601683793</v>
      </c>
      <c r="M31" s="620"/>
      <c r="N31" s="621"/>
      <c r="O31" s="621"/>
      <c r="P31" s="621" t="s">
        <v>1298</v>
      </c>
      <c r="Q31" s="621" t="s">
        <v>385</v>
      </c>
      <c r="R31" s="629" t="s">
        <v>1280</v>
      </c>
      <c r="S31" s="630">
        <f>'RESULTADOS RAGEI '!I29*28</f>
        <v>12.071480935240753</v>
      </c>
      <c r="T31" s="630" t="str">
        <f>I36</f>
        <v>ND</v>
      </c>
      <c r="U31" s="827">
        <f t="shared" si="9"/>
        <v>30</v>
      </c>
      <c r="V31" s="832">
        <f>SQRT(U31^2)</f>
        <v>30</v>
      </c>
      <c r="X31" s="615"/>
      <c r="Y31" s="616" t="s">
        <v>413</v>
      </c>
      <c r="Z31" s="616"/>
      <c r="AA31" s="616"/>
      <c r="AB31" s="1709" t="s">
        <v>1443</v>
      </c>
      <c r="AC31" s="1710"/>
      <c r="AD31" s="1710"/>
      <c r="AE31" s="1710"/>
      <c r="AF31" s="1710"/>
      <c r="AG31" s="1711"/>
      <c r="AH31" s="789"/>
    </row>
    <row r="32" spans="2:33" ht="15">
      <c r="B32" s="872"/>
      <c r="C32" s="866"/>
      <c r="D32" s="866"/>
      <c r="E32" s="866" t="s">
        <v>399</v>
      </c>
      <c r="F32" s="875"/>
      <c r="G32" s="862" t="s">
        <v>39</v>
      </c>
      <c r="H32" s="612" t="s">
        <v>632</v>
      </c>
      <c r="I32" s="618">
        <f>'Valores de incertidumbre'!C84</f>
        <v>10</v>
      </c>
      <c r="J32" s="618">
        <f>'Valores de incertidumbre'!D84</f>
        <v>30</v>
      </c>
      <c r="K32" s="619">
        <f t="shared" si="3"/>
        <v>31.622776601683793</v>
      </c>
      <c r="M32" s="620"/>
      <c r="N32" s="621"/>
      <c r="O32" s="621"/>
      <c r="P32" s="621" t="s">
        <v>1300</v>
      </c>
      <c r="Q32" s="621" t="s">
        <v>386</v>
      </c>
      <c r="R32" s="629" t="s">
        <v>1280</v>
      </c>
      <c r="S32" s="630">
        <f>'RESULTADOS RAGEI '!I30*28</f>
        <v>29.167240602739728</v>
      </c>
      <c r="T32" s="630">
        <f t="shared" si="9"/>
        <v>10</v>
      </c>
      <c r="U32" s="827">
        <f t="shared" si="9"/>
        <v>30</v>
      </c>
      <c r="V32" s="832">
        <f t="shared" si="6"/>
        <v>31.622776601683793</v>
      </c>
      <c r="X32" s="620"/>
      <c r="Y32" s="621"/>
      <c r="Z32" s="622" t="s">
        <v>1303</v>
      </c>
      <c r="AA32" s="622"/>
      <c r="AB32" s="622" t="s">
        <v>415</v>
      </c>
      <c r="AC32" s="629"/>
      <c r="AD32" s="636"/>
      <c r="AE32" s="637"/>
      <c r="AF32" s="635"/>
      <c r="AG32" s="631"/>
    </row>
    <row r="33" spans="2:34" ht="15">
      <c r="B33" s="872"/>
      <c r="C33" s="866"/>
      <c r="D33" s="866"/>
      <c r="E33" s="866" t="s">
        <v>400</v>
      </c>
      <c r="F33" s="873"/>
      <c r="G33" s="860" t="s">
        <v>384</v>
      </c>
      <c r="H33" s="612" t="s">
        <v>632</v>
      </c>
      <c r="I33" s="618">
        <f>'Valores de incertidumbre'!C85</f>
        <v>10</v>
      </c>
      <c r="J33" s="618">
        <f>'Valores de incertidumbre'!D85</f>
        <v>30</v>
      </c>
      <c r="K33" s="619">
        <f t="shared" si="3"/>
        <v>31.622776601683793</v>
      </c>
      <c r="M33" s="620"/>
      <c r="N33" s="621"/>
      <c r="O33" s="621"/>
      <c r="P33" s="621" t="s">
        <v>1301</v>
      </c>
      <c r="Q33" s="621" t="s">
        <v>387</v>
      </c>
      <c r="R33" s="629" t="s">
        <v>1280</v>
      </c>
      <c r="S33" s="630">
        <f>'RESULTADOS RAGEI '!I31*28</f>
        <v>28.62019813506793</v>
      </c>
      <c r="T33" s="630">
        <f>I39</f>
        <v>5</v>
      </c>
      <c r="U33" s="827">
        <f>J39</f>
        <v>30</v>
      </c>
      <c r="V33" s="832">
        <f t="shared" si="6"/>
        <v>30.4138126514911</v>
      </c>
      <c r="X33" s="620"/>
      <c r="Y33" s="621"/>
      <c r="Z33" s="621"/>
      <c r="AA33" s="621" t="s">
        <v>13</v>
      </c>
      <c r="AB33" s="621" t="s">
        <v>416</v>
      </c>
      <c r="AC33" s="629" t="s">
        <v>1280</v>
      </c>
      <c r="AD33" s="636">
        <f>S37</f>
        <v>74.98997512959458</v>
      </c>
      <c r="AE33" s="630">
        <f>T37</f>
        <v>10</v>
      </c>
      <c r="AF33" s="630">
        <f>U37</f>
        <v>20</v>
      </c>
      <c r="AG33" s="631">
        <f aca="true" t="shared" si="10" ref="AG33:AG35">SQRT(AE33^2+AF33^2)</f>
        <v>22.360679774997898</v>
      </c>
      <c r="AH33" s="932"/>
    </row>
    <row r="34" spans="2:34" ht="15">
      <c r="B34" s="872"/>
      <c r="C34" s="866"/>
      <c r="D34" s="866"/>
      <c r="E34" s="866" t="s">
        <v>400</v>
      </c>
      <c r="F34" s="873"/>
      <c r="G34" s="860" t="s">
        <v>384</v>
      </c>
      <c r="H34" s="612" t="s">
        <v>674</v>
      </c>
      <c r="I34" s="618">
        <f>'Valores de incertidumbre'!C85</f>
        <v>10</v>
      </c>
      <c r="J34" s="618">
        <f>'Valores de incertidumbre'!D85</f>
        <v>30</v>
      </c>
      <c r="K34" s="619">
        <f t="shared" si="3"/>
        <v>31.622776601683793</v>
      </c>
      <c r="M34" s="620"/>
      <c r="N34" s="621"/>
      <c r="O34" s="621"/>
      <c r="P34" s="621" t="s">
        <v>1302</v>
      </c>
      <c r="Q34" s="621" t="s">
        <v>388</v>
      </c>
      <c r="R34" s="629" t="s">
        <v>1280</v>
      </c>
      <c r="S34" s="630">
        <f>'RESULTADOS RAGEI '!I32*28</f>
        <v>4.739559283977472</v>
      </c>
      <c r="T34" s="630" t="str">
        <f>I41</f>
        <v>ND</v>
      </c>
      <c r="U34" s="827">
        <f>J41</f>
        <v>30</v>
      </c>
      <c r="V34" s="832">
        <f>SQRT(U34^2)</f>
        <v>30</v>
      </c>
      <c r="X34" s="620"/>
      <c r="Y34" s="621"/>
      <c r="Z34" s="621"/>
      <c r="AA34" s="621" t="s">
        <v>14</v>
      </c>
      <c r="AB34" s="621" t="s">
        <v>1304</v>
      </c>
      <c r="AC34" s="629" t="s">
        <v>1280</v>
      </c>
      <c r="AD34" s="636">
        <f aca="true" t="shared" si="11" ref="AD34:AF35">S38</f>
        <v>386.9970921265311</v>
      </c>
      <c r="AE34" s="630">
        <f t="shared" si="11"/>
        <v>12.5</v>
      </c>
      <c r="AF34" s="630">
        <f t="shared" si="11"/>
        <v>39.130434782608695</v>
      </c>
      <c r="AG34" s="631">
        <f t="shared" si="10"/>
        <v>41.07847278412371</v>
      </c>
      <c r="AH34" s="932"/>
    </row>
    <row r="35" spans="2:33" ht="15">
      <c r="B35" s="872"/>
      <c r="C35" s="866"/>
      <c r="D35" s="866"/>
      <c r="E35" s="866" t="s">
        <v>401</v>
      </c>
      <c r="F35" s="873"/>
      <c r="G35" s="860" t="s">
        <v>66</v>
      </c>
      <c r="H35" s="612" t="s">
        <v>632</v>
      </c>
      <c r="I35" s="618" t="str">
        <f>'Valores de incertidumbre'!C86</f>
        <v>ND</v>
      </c>
      <c r="J35" s="618">
        <f>'Valores de incertidumbre'!D86</f>
        <v>30</v>
      </c>
      <c r="K35" s="619">
        <f aca="true" t="shared" si="12" ref="K35:K36">SQRT(J35^2)</f>
        <v>30</v>
      </c>
      <c r="M35" s="615"/>
      <c r="N35" s="616" t="s">
        <v>413</v>
      </c>
      <c r="O35" s="616"/>
      <c r="P35" s="616"/>
      <c r="Q35" s="933" t="s">
        <v>1443</v>
      </c>
      <c r="R35" s="934"/>
      <c r="S35" s="934"/>
      <c r="T35" s="934"/>
      <c r="U35" s="934"/>
      <c r="V35" s="935"/>
      <c r="X35" s="638"/>
      <c r="Y35" s="622"/>
      <c r="Z35" s="622" t="s">
        <v>32</v>
      </c>
      <c r="AA35" s="622"/>
      <c r="AB35" s="622" t="s">
        <v>1007</v>
      </c>
      <c r="AC35" s="629" t="s">
        <v>1280</v>
      </c>
      <c r="AD35" s="636">
        <f t="shared" si="11"/>
        <v>1790.834423305186</v>
      </c>
      <c r="AE35" s="630">
        <f t="shared" si="11"/>
        <v>10</v>
      </c>
      <c r="AF35" s="630">
        <f t="shared" si="11"/>
        <v>47.38869471578695</v>
      </c>
      <c r="AG35" s="631">
        <f t="shared" si="10"/>
        <v>48.43230726349978</v>
      </c>
    </row>
    <row r="36" spans="2:33" ht="15">
      <c r="B36" s="872"/>
      <c r="C36" s="866"/>
      <c r="D36" s="866"/>
      <c r="E36" s="866" t="s">
        <v>402</v>
      </c>
      <c r="F36" s="873"/>
      <c r="G36" s="860" t="s">
        <v>385</v>
      </c>
      <c r="H36" s="612" t="s">
        <v>632</v>
      </c>
      <c r="I36" s="618" t="str">
        <f>'Valores de incertidumbre'!C87</f>
        <v>ND</v>
      </c>
      <c r="J36" s="618">
        <f>'Valores de incertidumbre'!D87</f>
        <v>30</v>
      </c>
      <c r="K36" s="619">
        <f t="shared" si="12"/>
        <v>30</v>
      </c>
      <c r="M36" s="620"/>
      <c r="N36" s="621"/>
      <c r="O36" s="622" t="s">
        <v>1303</v>
      </c>
      <c r="P36" s="622"/>
      <c r="Q36" s="622" t="s">
        <v>415</v>
      </c>
      <c r="R36" s="629"/>
      <c r="S36" s="630"/>
      <c r="T36" s="830"/>
      <c r="U36" s="836"/>
      <c r="V36" s="832"/>
      <c r="X36" s="615"/>
      <c r="Y36" s="616" t="s">
        <v>1279</v>
      </c>
      <c r="Z36" s="616"/>
      <c r="AA36" s="616"/>
      <c r="AB36" s="1712" t="s">
        <v>126</v>
      </c>
      <c r="AC36" s="1713"/>
      <c r="AD36" s="1713"/>
      <c r="AE36" s="1713"/>
      <c r="AF36" s="1713"/>
      <c r="AG36" s="1714"/>
    </row>
    <row r="37" spans="2:33" ht="15">
      <c r="B37" s="872"/>
      <c r="C37" s="866"/>
      <c r="D37" s="866"/>
      <c r="E37" s="866" t="s">
        <v>403</v>
      </c>
      <c r="F37" s="873"/>
      <c r="G37" s="860" t="s">
        <v>386</v>
      </c>
      <c r="H37" s="612" t="s">
        <v>632</v>
      </c>
      <c r="I37" s="618">
        <f>'Valores de incertidumbre'!C88</f>
        <v>10</v>
      </c>
      <c r="J37" s="618">
        <f>'Valores de incertidumbre'!D88</f>
        <v>30</v>
      </c>
      <c r="K37" s="619">
        <f t="shared" si="3"/>
        <v>31.622776601683793</v>
      </c>
      <c r="M37" s="620"/>
      <c r="N37" s="621"/>
      <c r="O37" s="621"/>
      <c r="P37" s="621" t="s">
        <v>13</v>
      </c>
      <c r="Q37" s="621" t="s">
        <v>416</v>
      </c>
      <c r="R37" s="629" t="s">
        <v>1280</v>
      </c>
      <c r="S37" s="630">
        <f>'RESULTADOS RAGEI '!I35*28</f>
        <v>74.98997512959458</v>
      </c>
      <c r="T37" s="630">
        <f>I44</f>
        <v>10</v>
      </c>
      <c r="U37" s="827">
        <f>J44</f>
        <v>20</v>
      </c>
      <c r="V37" s="832">
        <f t="shared" si="6"/>
        <v>22.360679774997898</v>
      </c>
      <c r="X37" s="620"/>
      <c r="Y37" s="621"/>
      <c r="Z37" s="622" t="s">
        <v>3</v>
      </c>
      <c r="AA37" s="622"/>
      <c r="AB37" s="622" t="s">
        <v>389</v>
      </c>
      <c r="AC37" s="639"/>
      <c r="AD37" s="640"/>
      <c r="AE37" s="641"/>
      <c r="AF37" s="641"/>
      <c r="AG37" s="642"/>
    </row>
    <row r="38" spans="2:33" ht="15">
      <c r="B38" s="872"/>
      <c r="C38" s="866"/>
      <c r="D38" s="866"/>
      <c r="E38" s="866" t="s">
        <v>403</v>
      </c>
      <c r="F38" s="873"/>
      <c r="G38" s="860" t="s">
        <v>386</v>
      </c>
      <c r="H38" s="612" t="s">
        <v>674</v>
      </c>
      <c r="I38" s="618">
        <f>I37</f>
        <v>10</v>
      </c>
      <c r="J38" s="618">
        <f>'[3]Valores de incertidumbre'!J60</f>
        <v>30</v>
      </c>
      <c r="K38" s="619">
        <f t="shared" si="3"/>
        <v>31.622776601683793</v>
      </c>
      <c r="M38" s="620"/>
      <c r="N38" s="621"/>
      <c r="O38" s="621"/>
      <c r="P38" s="621" t="s">
        <v>14</v>
      </c>
      <c r="Q38" s="621" t="s">
        <v>1304</v>
      </c>
      <c r="R38" s="629" t="s">
        <v>1280</v>
      </c>
      <c r="S38" s="630">
        <f>'RESULTADOS RAGEI '!I36*28</f>
        <v>386.9970921265311</v>
      </c>
      <c r="T38" s="630">
        <f>I46</f>
        <v>12.5</v>
      </c>
      <c r="U38" s="827">
        <f>J46</f>
        <v>39.130434782608695</v>
      </c>
      <c r="V38" s="832">
        <f t="shared" si="6"/>
        <v>41.07847278412371</v>
      </c>
      <c r="X38" s="620"/>
      <c r="Y38" s="621"/>
      <c r="Z38" s="621"/>
      <c r="AA38" s="621" t="s">
        <v>1291</v>
      </c>
      <c r="AB38" s="621" t="s">
        <v>393</v>
      </c>
      <c r="AC38" s="643" t="s">
        <v>1299</v>
      </c>
      <c r="AD38" s="644">
        <f>S42</f>
        <v>142.95393369243337</v>
      </c>
      <c r="AE38" s="644">
        <f>T42</f>
        <v>7.071397238913242</v>
      </c>
      <c r="AF38" s="644">
        <f>U42</f>
        <v>21.214191716739727</v>
      </c>
      <c r="AG38" s="642">
        <f aca="true" t="shared" si="13" ref="AG38">SQRT(AE38^2+AF38^2)</f>
        <v>22.361721514791704</v>
      </c>
    </row>
    <row r="39" spans="2:33" ht="15">
      <c r="B39" s="872"/>
      <c r="C39" s="866"/>
      <c r="D39" s="866"/>
      <c r="E39" s="866" t="s">
        <v>404</v>
      </c>
      <c r="F39" s="873"/>
      <c r="G39" s="860" t="s">
        <v>387</v>
      </c>
      <c r="H39" s="612" t="s">
        <v>632</v>
      </c>
      <c r="I39" s="618">
        <f>'Valores de incertidumbre'!C89</f>
        <v>5</v>
      </c>
      <c r="J39" s="618">
        <f>'Valores de incertidumbre'!D89</f>
        <v>30</v>
      </c>
      <c r="K39" s="619">
        <f t="shared" si="3"/>
        <v>30.4138126514911</v>
      </c>
      <c r="M39" s="638"/>
      <c r="N39" s="622"/>
      <c r="O39" s="622" t="s">
        <v>32</v>
      </c>
      <c r="P39" s="622"/>
      <c r="Q39" s="622" t="s">
        <v>1007</v>
      </c>
      <c r="R39" s="629" t="s">
        <v>1280</v>
      </c>
      <c r="S39" s="630">
        <f>'RESULTADOS RAGEI '!I42*28</f>
        <v>1790.834423305186</v>
      </c>
      <c r="T39" s="630">
        <f>I53</f>
        <v>10</v>
      </c>
      <c r="U39" s="827">
        <f>J53</f>
        <v>47.38869471578695</v>
      </c>
      <c r="V39" s="832">
        <f t="shared" si="6"/>
        <v>48.43230726349978</v>
      </c>
      <c r="X39" s="620"/>
      <c r="Y39" s="621"/>
      <c r="Z39" s="621"/>
      <c r="AA39" s="621" t="s">
        <v>1295</v>
      </c>
      <c r="AB39" s="621" t="s">
        <v>384</v>
      </c>
      <c r="AC39" s="643" t="s">
        <v>1299</v>
      </c>
      <c r="AD39" s="644">
        <f>S45</f>
        <v>136.75565458320432</v>
      </c>
      <c r="AE39" s="645">
        <f>T45</f>
        <v>10</v>
      </c>
      <c r="AF39" s="645">
        <f>U45</f>
        <v>30</v>
      </c>
      <c r="AG39" s="642">
        <f>SQRT(AE39^2+AF39^2)</f>
        <v>31.622776601683793</v>
      </c>
    </row>
    <row r="40" spans="2:33" ht="15">
      <c r="B40" s="872"/>
      <c r="C40" s="866"/>
      <c r="D40" s="866"/>
      <c r="E40" s="866" t="s">
        <v>404</v>
      </c>
      <c r="F40" s="873"/>
      <c r="G40" s="860" t="s">
        <v>387</v>
      </c>
      <c r="H40" s="612" t="s">
        <v>674</v>
      </c>
      <c r="I40" s="618">
        <f>'Valores de incertidumbre'!C89</f>
        <v>5</v>
      </c>
      <c r="J40" s="618">
        <f>J39</f>
        <v>30</v>
      </c>
      <c r="K40" s="619">
        <f>SQRT(I40^2+J40^2)</f>
        <v>30.4138126514911</v>
      </c>
      <c r="M40" s="615"/>
      <c r="N40" s="616" t="s">
        <v>1279</v>
      </c>
      <c r="O40" s="616"/>
      <c r="P40" s="616"/>
      <c r="Q40" s="936" t="s">
        <v>126</v>
      </c>
      <c r="R40" s="937"/>
      <c r="S40" s="937"/>
      <c r="T40" s="937"/>
      <c r="U40" s="937"/>
      <c r="V40" s="938"/>
      <c r="X40" s="620"/>
      <c r="Y40" s="621"/>
      <c r="Z40" s="621"/>
      <c r="AA40" s="621" t="s">
        <v>1300</v>
      </c>
      <c r="AB40" s="621" t="s">
        <v>386</v>
      </c>
      <c r="AC40" s="643" t="s">
        <v>1299</v>
      </c>
      <c r="AD40" s="644">
        <f aca="true" t="shared" si="14" ref="AD40:AF41">S46</f>
        <v>19.418045456363398</v>
      </c>
      <c r="AE40" s="645">
        <f t="shared" si="14"/>
        <v>10</v>
      </c>
      <c r="AF40" s="645">
        <f t="shared" si="14"/>
        <v>30</v>
      </c>
      <c r="AG40" s="642">
        <f>SQRT(AE40^2+AF40^2)</f>
        <v>31.622776601683793</v>
      </c>
    </row>
    <row r="41" spans="2:33" ht="15">
      <c r="B41" s="872"/>
      <c r="C41" s="866"/>
      <c r="D41" s="866"/>
      <c r="E41" s="866" t="s">
        <v>405</v>
      </c>
      <c r="F41" s="873"/>
      <c r="G41" s="860" t="s">
        <v>388</v>
      </c>
      <c r="H41" s="612" t="s">
        <v>632</v>
      </c>
      <c r="I41" s="618" t="str">
        <f>'Valores de incertidumbre'!C90</f>
        <v>ND</v>
      </c>
      <c r="J41" s="618">
        <f>'Valores de incertidumbre'!D90</f>
        <v>30</v>
      </c>
      <c r="K41" s="619">
        <f>SQRT(J41^2)</f>
        <v>30</v>
      </c>
      <c r="M41" s="620"/>
      <c r="N41" s="621"/>
      <c r="O41" s="622" t="s">
        <v>3</v>
      </c>
      <c r="P41" s="622"/>
      <c r="Q41" s="622" t="s">
        <v>389</v>
      </c>
      <c r="R41" s="639"/>
      <c r="S41" s="640"/>
      <c r="T41" s="831"/>
      <c r="U41" s="837"/>
      <c r="V41" s="833"/>
      <c r="X41" s="620"/>
      <c r="Y41" s="621"/>
      <c r="Z41" s="621"/>
      <c r="AA41" s="621" t="s">
        <v>1301</v>
      </c>
      <c r="AB41" s="621" t="s">
        <v>387</v>
      </c>
      <c r="AC41" s="643" t="s">
        <v>1299</v>
      </c>
      <c r="AD41" s="644">
        <f t="shared" si="14"/>
        <v>25.723808878826723</v>
      </c>
      <c r="AE41" s="645">
        <f t="shared" si="14"/>
        <v>5</v>
      </c>
      <c r="AF41" s="645">
        <f t="shared" si="14"/>
        <v>30</v>
      </c>
      <c r="AG41" s="642">
        <f>SQRT(AE41^2+AF41^2)</f>
        <v>30.4138126514911</v>
      </c>
    </row>
    <row r="42" spans="2:33" ht="15">
      <c r="B42" s="872"/>
      <c r="C42" s="866" t="s">
        <v>413</v>
      </c>
      <c r="D42" s="866"/>
      <c r="E42" s="866"/>
      <c r="F42" s="873"/>
      <c r="G42" s="617" t="s">
        <v>1443</v>
      </c>
      <c r="H42" s="612"/>
      <c r="I42" s="883"/>
      <c r="J42" s="883"/>
      <c r="K42" s="619"/>
      <c r="M42" s="620"/>
      <c r="N42" s="621"/>
      <c r="O42" s="621"/>
      <c r="P42" s="621" t="s">
        <v>1291</v>
      </c>
      <c r="Q42" s="621" t="s">
        <v>393</v>
      </c>
      <c r="R42" s="643" t="s">
        <v>1299</v>
      </c>
      <c r="S42" s="828">
        <f>SUM(S43:S44)</f>
        <v>142.95393369243337</v>
      </c>
      <c r="T42" s="644">
        <f>SQRT(POWER((S43*T43),2)+POWER((S44*T44),2))/(S42)</f>
        <v>7.071397238913242</v>
      </c>
      <c r="U42" s="828">
        <f>SQRT(POWER((S44*U44),2)+POWER((S43*U43),2))/(S42)</f>
        <v>21.214191716739727</v>
      </c>
      <c r="V42" s="833">
        <f t="shared" si="6"/>
        <v>22.361721514791704</v>
      </c>
      <c r="X42" s="615"/>
      <c r="Y42" s="616" t="s">
        <v>413</v>
      </c>
      <c r="Z42" s="616"/>
      <c r="AA42" s="616"/>
      <c r="AB42" s="1709" t="s">
        <v>1443</v>
      </c>
      <c r="AC42" s="1710"/>
      <c r="AD42" s="1710"/>
      <c r="AE42" s="1710"/>
      <c r="AF42" s="1710"/>
      <c r="AG42" s="1711"/>
    </row>
    <row r="43" spans="2:33" ht="15">
      <c r="B43" s="872"/>
      <c r="C43" s="866"/>
      <c r="D43" s="866" t="s">
        <v>414</v>
      </c>
      <c r="E43" s="866"/>
      <c r="F43" s="873"/>
      <c r="G43" s="863" t="s">
        <v>415</v>
      </c>
      <c r="H43" s="612"/>
      <c r="I43" s="883"/>
      <c r="J43" s="883"/>
      <c r="K43" s="619"/>
      <c r="M43" s="620"/>
      <c r="N43" s="621"/>
      <c r="O43" s="621"/>
      <c r="P43" s="621" t="s">
        <v>1294</v>
      </c>
      <c r="Q43" s="939" t="s">
        <v>1319</v>
      </c>
      <c r="R43" s="643" t="s">
        <v>1299</v>
      </c>
      <c r="S43" s="829">
        <f>'RESULTADOS RAGEI '!J22*265</f>
        <v>72.16692586646398</v>
      </c>
      <c r="T43" s="645">
        <f>I28</f>
        <v>10</v>
      </c>
      <c r="U43" s="829">
        <f>J28</f>
        <v>30</v>
      </c>
      <c r="V43" s="833">
        <f t="shared" si="6"/>
        <v>31.622776601683793</v>
      </c>
      <c r="X43" s="620"/>
      <c r="Y43" s="621"/>
      <c r="Z43" s="622" t="s">
        <v>1303</v>
      </c>
      <c r="AA43" s="622"/>
      <c r="AB43" s="622" t="s">
        <v>415</v>
      </c>
      <c r="AC43" s="643"/>
      <c r="AD43" s="646"/>
      <c r="AE43" s="645"/>
      <c r="AF43" s="645"/>
      <c r="AG43" s="642"/>
    </row>
    <row r="44" spans="2:33" ht="15">
      <c r="B44" s="872"/>
      <c r="C44" s="866"/>
      <c r="D44" s="866"/>
      <c r="E44" s="866" t="s">
        <v>417</v>
      </c>
      <c r="F44" s="873"/>
      <c r="G44" s="860" t="s">
        <v>416</v>
      </c>
      <c r="H44" s="612" t="s">
        <v>632</v>
      </c>
      <c r="I44" s="618">
        <f>'Valores de incertidumbre'!C113</f>
        <v>10</v>
      </c>
      <c r="J44" s="618">
        <f>'Valores de incertidumbre'!D113</f>
        <v>20</v>
      </c>
      <c r="K44" s="619">
        <f t="shared" si="3"/>
        <v>22.360679774997898</v>
      </c>
      <c r="M44" s="620"/>
      <c r="N44" s="621"/>
      <c r="O44" s="621"/>
      <c r="P44" s="621" t="s">
        <v>1296</v>
      </c>
      <c r="Q44" s="939" t="s">
        <v>375</v>
      </c>
      <c r="R44" s="643" t="s">
        <v>1299</v>
      </c>
      <c r="S44" s="829">
        <f>'RESULTADOS RAGEI '!J23*265</f>
        <v>70.78700782596938</v>
      </c>
      <c r="T44" s="645">
        <f>I29</f>
        <v>10</v>
      </c>
      <c r="U44" s="829">
        <f>J29</f>
        <v>30</v>
      </c>
      <c r="V44" s="833">
        <f t="shared" si="6"/>
        <v>31.622776601683793</v>
      </c>
      <c r="X44" s="620"/>
      <c r="Y44" s="621"/>
      <c r="Z44" s="621"/>
      <c r="AA44" s="621" t="s">
        <v>13</v>
      </c>
      <c r="AB44" s="621" t="s">
        <v>416</v>
      </c>
      <c r="AC44" s="643" t="s">
        <v>1299</v>
      </c>
      <c r="AD44" s="647">
        <f>S50</f>
        <v>18.400317971613486</v>
      </c>
      <c r="AE44" s="645">
        <f>T50</f>
        <v>10</v>
      </c>
      <c r="AF44" s="645">
        <f>U50</f>
        <v>20</v>
      </c>
      <c r="AG44" s="642">
        <f aca="true" t="shared" si="15" ref="AG44:AG48">SQRT(AE44^2+AF44^2)</f>
        <v>22.360679774997898</v>
      </c>
    </row>
    <row r="45" spans="2:33" ht="15">
      <c r="B45" s="872"/>
      <c r="C45" s="866"/>
      <c r="D45" s="866"/>
      <c r="E45" s="866" t="s">
        <v>417</v>
      </c>
      <c r="F45" s="873"/>
      <c r="G45" s="860" t="s">
        <v>416</v>
      </c>
      <c r="H45" s="612" t="s">
        <v>674</v>
      </c>
      <c r="I45" s="618">
        <f>'Valores de incertidumbre'!C113</f>
        <v>10</v>
      </c>
      <c r="J45" s="618">
        <f>'Valores de incertidumbre'!D113</f>
        <v>20</v>
      </c>
      <c r="K45" s="619">
        <f t="shared" si="3"/>
        <v>22.360679774997898</v>
      </c>
      <c r="M45" s="620"/>
      <c r="N45" s="621"/>
      <c r="O45" s="621"/>
      <c r="P45" s="621" t="s">
        <v>1295</v>
      </c>
      <c r="Q45" s="621" t="s">
        <v>384</v>
      </c>
      <c r="R45" s="643" t="s">
        <v>1299</v>
      </c>
      <c r="S45" s="829">
        <f>'RESULTADOS RAGEI '!J27*265</f>
        <v>136.75565458320432</v>
      </c>
      <c r="T45" s="645">
        <f>I34</f>
        <v>10</v>
      </c>
      <c r="U45" s="829">
        <f>J34</f>
        <v>30</v>
      </c>
      <c r="V45" s="833">
        <f t="shared" si="6"/>
        <v>31.622776601683793</v>
      </c>
      <c r="X45" s="620"/>
      <c r="Y45" s="621"/>
      <c r="Z45" s="621"/>
      <c r="AA45" s="621" t="s">
        <v>14</v>
      </c>
      <c r="AB45" s="621" t="s">
        <v>1304</v>
      </c>
      <c r="AC45" s="643" t="s">
        <v>1299</v>
      </c>
      <c r="AD45" s="647">
        <f aca="true" t="shared" si="16" ref="AD45:AF48">S51</f>
        <v>334.4159654789045</v>
      </c>
      <c r="AE45" s="645">
        <f t="shared" si="16"/>
        <v>12.5</v>
      </c>
      <c r="AF45" s="645">
        <f t="shared" si="16"/>
        <v>39.130434782608695</v>
      </c>
      <c r="AG45" s="642">
        <f t="shared" si="15"/>
        <v>41.07847278412371</v>
      </c>
    </row>
    <row r="46" spans="2:33" ht="15">
      <c r="B46" s="872"/>
      <c r="C46" s="866"/>
      <c r="D46" s="866"/>
      <c r="E46" s="866" t="s">
        <v>418</v>
      </c>
      <c r="F46" s="873"/>
      <c r="G46" s="860" t="s">
        <v>1304</v>
      </c>
      <c r="H46" s="612" t="s">
        <v>632</v>
      </c>
      <c r="I46" s="618">
        <f>'Valores de incertidumbre'!C114</f>
        <v>12.5</v>
      </c>
      <c r="J46" s="618">
        <f>'Valores de incertidumbre'!D114</f>
        <v>39.130434782608695</v>
      </c>
      <c r="K46" s="619">
        <f t="shared" si="3"/>
        <v>41.07847278412371</v>
      </c>
      <c r="M46" s="620"/>
      <c r="N46" s="621"/>
      <c r="O46" s="621"/>
      <c r="P46" s="621" t="s">
        <v>1300</v>
      </c>
      <c r="Q46" s="621" t="s">
        <v>386</v>
      </c>
      <c r="R46" s="643" t="s">
        <v>1299</v>
      </c>
      <c r="S46" s="829">
        <f>'RESULTADOS RAGEI '!J30*265</f>
        <v>19.418045456363398</v>
      </c>
      <c r="T46" s="645">
        <f>I38</f>
        <v>10</v>
      </c>
      <c r="U46" s="829">
        <f>J38</f>
        <v>30</v>
      </c>
      <c r="V46" s="833">
        <f t="shared" si="6"/>
        <v>31.622776601683793</v>
      </c>
      <c r="X46" s="620"/>
      <c r="Y46" s="621"/>
      <c r="Z46" s="622" t="s">
        <v>20</v>
      </c>
      <c r="AA46" s="622"/>
      <c r="AB46" s="622" t="s">
        <v>1305</v>
      </c>
      <c r="AC46" s="643" t="s">
        <v>1299</v>
      </c>
      <c r="AD46" s="647">
        <f t="shared" si="16"/>
        <v>6853.676721643895</v>
      </c>
      <c r="AE46" s="645">
        <f t="shared" si="16"/>
        <v>16.85312368013057</v>
      </c>
      <c r="AF46" s="645">
        <f t="shared" si="16"/>
        <v>75.7806458151165</v>
      </c>
      <c r="AG46" s="642">
        <f t="shared" si="15"/>
        <v>77.63204272678847</v>
      </c>
    </row>
    <row r="47" spans="2:33" ht="15">
      <c r="B47" s="872"/>
      <c r="C47" s="866"/>
      <c r="D47" s="866"/>
      <c r="E47" s="866" t="s">
        <v>418</v>
      </c>
      <c r="F47" s="873"/>
      <c r="G47" s="860" t="s">
        <v>1304</v>
      </c>
      <c r="H47" s="612" t="s">
        <v>674</v>
      </c>
      <c r="I47" s="618">
        <f>'Valores de incertidumbre'!C114</f>
        <v>12.5</v>
      </c>
      <c r="J47" s="618">
        <f>'Valores de incertidumbre'!D114</f>
        <v>39.130434782608695</v>
      </c>
      <c r="K47" s="619">
        <f t="shared" si="3"/>
        <v>41.07847278412371</v>
      </c>
      <c r="M47" s="620"/>
      <c r="N47" s="621"/>
      <c r="O47" s="621"/>
      <c r="P47" s="621" t="s">
        <v>1301</v>
      </c>
      <c r="Q47" s="621" t="s">
        <v>387</v>
      </c>
      <c r="R47" s="643" t="s">
        <v>1299</v>
      </c>
      <c r="S47" s="829">
        <f>'RESULTADOS RAGEI '!J31*265</f>
        <v>25.723808878826723</v>
      </c>
      <c r="T47" s="645">
        <f>I40</f>
        <v>5</v>
      </c>
      <c r="U47" s="829">
        <f>J40</f>
        <v>30</v>
      </c>
      <c r="V47" s="833">
        <f t="shared" si="6"/>
        <v>30.4138126514911</v>
      </c>
      <c r="X47" s="620"/>
      <c r="Y47" s="621"/>
      <c r="Z47" s="622" t="s">
        <v>29</v>
      </c>
      <c r="AA47" s="622"/>
      <c r="AB47" s="622" t="s">
        <v>1306</v>
      </c>
      <c r="AC47" s="643" t="s">
        <v>1299</v>
      </c>
      <c r="AD47" s="647">
        <f t="shared" si="16"/>
        <v>2454.34210409523</v>
      </c>
      <c r="AE47" s="645">
        <f t="shared" si="16"/>
        <v>16.85312368013057</v>
      </c>
      <c r="AF47" s="645">
        <f t="shared" si="16"/>
        <v>151.5228984274102</v>
      </c>
      <c r="AG47" s="642">
        <f t="shared" si="15"/>
        <v>152.4572613082796</v>
      </c>
    </row>
    <row r="48" spans="2:33" ht="15.75" thickBot="1">
      <c r="B48" s="872"/>
      <c r="C48" s="866"/>
      <c r="D48" s="866" t="s">
        <v>419</v>
      </c>
      <c r="E48" s="866"/>
      <c r="F48" s="873"/>
      <c r="G48" s="881" t="s">
        <v>420</v>
      </c>
      <c r="H48" s="632"/>
      <c r="I48" s="618"/>
      <c r="J48" s="618"/>
      <c r="K48" s="633"/>
      <c r="M48" s="615"/>
      <c r="N48" s="616" t="s">
        <v>413</v>
      </c>
      <c r="O48" s="616"/>
      <c r="P48" s="616"/>
      <c r="Q48" s="933" t="s">
        <v>1443</v>
      </c>
      <c r="R48" s="934"/>
      <c r="S48" s="934"/>
      <c r="T48" s="934"/>
      <c r="U48" s="934"/>
      <c r="V48" s="935"/>
      <c r="X48" s="648"/>
      <c r="Y48" s="649"/>
      <c r="Z48" s="650" t="s">
        <v>30</v>
      </c>
      <c r="AA48" s="650"/>
      <c r="AB48" s="650" t="s">
        <v>1307</v>
      </c>
      <c r="AC48" s="651" t="s">
        <v>1299</v>
      </c>
      <c r="AD48" s="652">
        <f t="shared" si="16"/>
        <v>185.4068371341044</v>
      </c>
      <c r="AE48" s="653">
        <f t="shared" si="16"/>
        <v>4.208866585177471</v>
      </c>
      <c r="AF48" s="653">
        <f t="shared" si="16"/>
        <v>240</v>
      </c>
      <c r="AG48" s="654">
        <f t="shared" si="15"/>
        <v>240.03690249195398</v>
      </c>
    </row>
    <row r="49" spans="2:22" ht="15">
      <c r="B49" s="872"/>
      <c r="C49" s="866"/>
      <c r="D49" s="866" t="s">
        <v>421</v>
      </c>
      <c r="E49" s="866"/>
      <c r="F49" s="873"/>
      <c r="G49" s="863" t="s">
        <v>422</v>
      </c>
      <c r="H49" s="612" t="s">
        <v>1278</v>
      </c>
      <c r="I49" s="618">
        <f>'Valores de incertidumbre'!C128</f>
        <v>0</v>
      </c>
      <c r="J49" s="618">
        <f>'Valores de incertidumbre'!D128</f>
        <v>50</v>
      </c>
      <c r="K49" s="619">
        <f t="shared" si="3"/>
        <v>50</v>
      </c>
      <c r="M49" s="620"/>
      <c r="N49" s="621"/>
      <c r="O49" s="622" t="s">
        <v>1303</v>
      </c>
      <c r="P49" s="622"/>
      <c r="Q49" s="622" t="s">
        <v>415</v>
      </c>
      <c r="R49" s="643"/>
      <c r="S49" s="645"/>
      <c r="T49" s="645"/>
      <c r="U49" s="829"/>
      <c r="V49" s="833"/>
    </row>
    <row r="50" spans="2:30" ht="15">
      <c r="B50" s="872"/>
      <c r="C50" s="866"/>
      <c r="D50" s="866" t="s">
        <v>423</v>
      </c>
      <c r="E50" s="866"/>
      <c r="F50" s="873"/>
      <c r="G50" s="856" t="s">
        <v>1305</v>
      </c>
      <c r="H50" s="612" t="s">
        <v>674</v>
      </c>
      <c r="I50" s="618">
        <f>'Valores de incertidumbre'!C166</f>
        <v>16.85312368013057</v>
      </c>
      <c r="J50" s="618">
        <f>'Valores de incertidumbre'!D166</f>
        <v>75.7806458151165</v>
      </c>
      <c r="K50" s="619">
        <f t="shared" si="3"/>
        <v>77.63204272678847</v>
      </c>
      <c r="M50" s="620"/>
      <c r="N50" s="621"/>
      <c r="O50" s="621"/>
      <c r="P50" s="621" t="s">
        <v>13</v>
      </c>
      <c r="Q50" s="621" t="s">
        <v>416</v>
      </c>
      <c r="R50" s="643" t="s">
        <v>1299</v>
      </c>
      <c r="S50" s="645">
        <f>'RESULTADOS RAGEI '!J35*265</f>
        <v>18.400317971613486</v>
      </c>
      <c r="T50" s="645">
        <f>I45</f>
        <v>10</v>
      </c>
      <c r="U50" s="829">
        <f>J45</f>
        <v>20</v>
      </c>
      <c r="V50" s="833">
        <f t="shared" si="6"/>
        <v>22.360679774997898</v>
      </c>
      <c r="AD50" s="932"/>
    </row>
    <row r="51" spans="2:30" ht="15">
      <c r="B51" s="872"/>
      <c r="C51" s="866"/>
      <c r="D51" s="866" t="s">
        <v>424</v>
      </c>
      <c r="E51" s="866"/>
      <c r="F51" s="873"/>
      <c r="G51" s="856" t="s">
        <v>1306</v>
      </c>
      <c r="H51" s="612" t="s">
        <v>674</v>
      </c>
      <c r="I51" s="618">
        <f>'Valores de incertidumbre'!C207</f>
        <v>16.85312368013057</v>
      </c>
      <c r="J51" s="618">
        <f>'Valores de incertidumbre'!D207</f>
        <v>151.5228984274102</v>
      </c>
      <c r="K51" s="619">
        <f t="shared" si="3"/>
        <v>152.4572613082796</v>
      </c>
      <c r="M51" s="620"/>
      <c r="N51" s="621"/>
      <c r="O51" s="621"/>
      <c r="P51" s="621" t="s">
        <v>14</v>
      </c>
      <c r="Q51" s="621" t="s">
        <v>1304</v>
      </c>
      <c r="R51" s="643" t="s">
        <v>1299</v>
      </c>
      <c r="S51" s="645">
        <f>'RESULTADOS RAGEI '!J36*265</f>
        <v>334.4159654789045</v>
      </c>
      <c r="T51" s="645">
        <f>I47</f>
        <v>12.5</v>
      </c>
      <c r="U51" s="829">
        <f>J47</f>
        <v>39.130434782608695</v>
      </c>
      <c r="V51" s="833">
        <f t="shared" si="6"/>
        <v>41.07847278412371</v>
      </c>
      <c r="AD51" s="789"/>
    </row>
    <row r="52" spans="2:22" ht="15">
      <c r="B52" s="872"/>
      <c r="C52" s="866"/>
      <c r="D52" s="866" t="s">
        <v>425</v>
      </c>
      <c r="E52" s="866"/>
      <c r="F52" s="873"/>
      <c r="G52" s="856" t="s">
        <v>1307</v>
      </c>
      <c r="H52" s="612" t="s">
        <v>674</v>
      </c>
      <c r="I52" s="618">
        <f>'Valores de incertidumbre'!C229</f>
        <v>4.208866585177471</v>
      </c>
      <c r="J52" s="618">
        <f>'Valores de incertidumbre'!D229</f>
        <v>240</v>
      </c>
      <c r="K52" s="619">
        <f t="shared" si="3"/>
        <v>240.03690249195398</v>
      </c>
      <c r="M52" s="620"/>
      <c r="N52" s="621"/>
      <c r="O52" s="622" t="s">
        <v>20</v>
      </c>
      <c r="P52" s="622"/>
      <c r="Q52" s="622" t="s">
        <v>1305</v>
      </c>
      <c r="R52" s="643" t="s">
        <v>1299</v>
      </c>
      <c r="S52" s="645">
        <f>'RESULTADOS RAGEI '!J39*265</f>
        <v>6853.676721643895</v>
      </c>
      <c r="T52" s="645">
        <f aca="true" t="shared" si="17" ref="T52:U54">I50</f>
        <v>16.85312368013057</v>
      </c>
      <c r="U52" s="829">
        <f t="shared" si="17"/>
        <v>75.7806458151165</v>
      </c>
      <c r="V52" s="833">
        <f t="shared" si="6"/>
        <v>77.63204272678847</v>
      </c>
    </row>
    <row r="53" spans="2:22" ht="15.75" thickBot="1">
      <c r="B53" s="876"/>
      <c r="C53" s="877"/>
      <c r="D53" s="877" t="s">
        <v>426</v>
      </c>
      <c r="E53" s="877"/>
      <c r="F53" s="878"/>
      <c r="G53" s="864" t="s">
        <v>1007</v>
      </c>
      <c r="H53" s="612" t="s">
        <v>632</v>
      </c>
      <c r="I53" s="884">
        <f>'Valores de incertidumbre'!C258</f>
        <v>10</v>
      </c>
      <c r="J53" s="884">
        <f>'Valores de incertidumbre'!D258</f>
        <v>47.38869471578695</v>
      </c>
      <c r="K53" s="655">
        <f t="shared" si="3"/>
        <v>48.43230726349978</v>
      </c>
      <c r="M53" s="620"/>
      <c r="N53" s="621"/>
      <c r="O53" s="622" t="s">
        <v>29</v>
      </c>
      <c r="P53" s="622"/>
      <c r="Q53" s="622" t="s">
        <v>1306</v>
      </c>
      <c r="R53" s="643" t="s">
        <v>1299</v>
      </c>
      <c r="S53" s="645">
        <f>'RESULTADOS RAGEI '!J40*265</f>
        <v>2454.34210409523</v>
      </c>
      <c r="T53" s="645">
        <f t="shared" si="17"/>
        <v>16.85312368013057</v>
      </c>
      <c r="U53" s="829">
        <f t="shared" si="17"/>
        <v>151.5228984274102</v>
      </c>
      <c r="V53" s="833">
        <f t="shared" si="6"/>
        <v>152.4572613082796</v>
      </c>
    </row>
    <row r="54" spans="1:22" ht="15.75" thickBot="1">
      <c r="A54" s="16"/>
      <c r="B54" s="16"/>
      <c r="C54" s="16"/>
      <c r="D54" s="16"/>
      <c r="E54" s="16"/>
      <c r="F54" s="16"/>
      <c r="G54" s="16"/>
      <c r="M54" s="648"/>
      <c r="N54" s="649"/>
      <c r="O54" s="650" t="s">
        <v>30</v>
      </c>
      <c r="P54" s="650"/>
      <c r="Q54" s="650" t="s">
        <v>1307</v>
      </c>
      <c r="R54" s="651" t="s">
        <v>1299</v>
      </c>
      <c r="S54" s="653">
        <f>'RESULTADOS RAGEI '!J41*265</f>
        <v>185.4068371341044</v>
      </c>
      <c r="T54" s="653">
        <f t="shared" si="17"/>
        <v>4.208866585177471</v>
      </c>
      <c r="U54" s="834">
        <f t="shared" si="17"/>
        <v>240</v>
      </c>
      <c r="V54" s="835">
        <f>SQRT(T54^2+U54^2)</f>
        <v>240.03690249195398</v>
      </c>
    </row>
    <row r="55" spans="1:22" ht="15">
      <c r="A55" s="656"/>
      <c r="B55" s="656"/>
      <c r="C55" s="656"/>
      <c r="D55" s="656"/>
      <c r="E55" s="656"/>
      <c r="F55" s="656"/>
      <c r="G55" s="656"/>
      <c r="H55" s="656"/>
      <c r="I55" s="656"/>
      <c r="J55" s="656"/>
      <c r="K55" s="656"/>
      <c r="T55"/>
      <c r="U55"/>
      <c r="V55"/>
    </row>
    <row r="56" spans="1:22" ht="15">
      <c r="A56" s="16"/>
      <c r="B56" s="16"/>
      <c r="C56" s="16"/>
      <c r="D56" s="16"/>
      <c r="E56" s="16"/>
      <c r="F56" s="16"/>
      <c r="G56" s="16"/>
      <c r="T56"/>
      <c r="U56"/>
      <c r="V56"/>
    </row>
    <row r="57" spans="1:22" ht="15">
      <c r="A57" s="656"/>
      <c r="B57" s="656"/>
      <c r="C57" s="656"/>
      <c r="D57" s="656"/>
      <c r="E57" s="656"/>
      <c r="F57" s="656"/>
      <c r="G57" s="656"/>
      <c r="H57" s="656"/>
      <c r="I57" s="656"/>
      <c r="J57" s="656"/>
      <c r="K57" s="656"/>
      <c r="T57"/>
      <c r="U57"/>
      <c r="V57"/>
    </row>
    <row r="58" spans="1:22" ht="15">
      <c r="A58" s="657"/>
      <c r="B58" s="657"/>
      <c r="C58" s="657"/>
      <c r="D58" s="657"/>
      <c r="E58" s="657"/>
      <c r="F58" s="657"/>
      <c r="G58" s="657"/>
      <c r="H58" s="657"/>
      <c r="I58" s="657"/>
      <c r="J58" s="657"/>
      <c r="K58" s="657"/>
      <c r="T58"/>
      <c r="U58"/>
      <c r="V58"/>
    </row>
    <row r="59" spans="1:22" ht="15">
      <c r="A59" s="16"/>
      <c r="B59" s="16"/>
      <c r="C59" s="16"/>
      <c r="D59" s="16"/>
      <c r="E59" s="16"/>
      <c r="F59" s="16"/>
      <c r="G59" s="16"/>
      <c r="T59"/>
      <c r="U59"/>
      <c r="V59"/>
    </row>
    <row r="60" spans="1:22" ht="15">
      <c r="A60" s="656"/>
      <c r="B60" s="656"/>
      <c r="C60" s="656"/>
      <c r="D60" s="656"/>
      <c r="E60" s="656"/>
      <c r="F60" s="656"/>
      <c r="G60" s="656"/>
      <c r="H60" s="656"/>
      <c r="I60" s="656"/>
      <c r="J60" s="656"/>
      <c r="K60" s="656"/>
      <c r="T60"/>
      <c r="U60"/>
      <c r="V60"/>
    </row>
    <row r="61" spans="1:22" ht="15">
      <c r="A61" s="656"/>
      <c r="B61" s="656"/>
      <c r="C61" s="656"/>
      <c r="D61" s="656"/>
      <c r="E61" s="656"/>
      <c r="F61" s="656"/>
      <c r="G61" s="656"/>
      <c r="H61" s="656"/>
      <c r="I61" s="656"/>
      <c r="J61" s="656"/>
      <c r="K61" s="656"/>
      <c r="T61"/>
      <c r="U61"/>
      <c r="V61"/>
    </row>
    <row r="62" spans="1:22" ht="15">
      <c r="A62" s="656"/>
      <c r="B62" s="656"/>
      <c r="C62" s="656"/>
      <c r="D62" s="656"/>
      <c r="E62" s="656"/>
      <c r="F62" s="656"/>
      <c r="G62" s="656"/>
      <c r="H62" s="656"/>
      <c r="I62" s="656"/>
      <c r="J62" s="656"/>
      <c r="K62" s="656"/>
      <c r="T62"/>
      <c r="U62"/>
      <c r="V62"/>
    </row>
    <row r="63" spans="1:22" ht="15">
      <c r="A63" s="656"/>
      <c r="B63" s="656"/>
      <c r="C63" s="656"/>
      <c r="D63" s="656"/>
      <c r="E63" s="656"/>
      <c r="F63" s="656"/>
      <c r="G63" s="656"/>
      <c r="H63" s="656"/>
      <c r="I63" s="656"/>
      <c r="J63" s="656"/>
      <c r="K63" s="656"/>
      <c r="T63"/>
      <c r="U63"/>
      <c r="V63"/>
    </row>
    <row r="64" spans="1:22" ht="15">
      <c r="A64" s="656"/>
      <c r="B64" s="656"/>
      <c r="C64" s="656"/>
      <c r="D64" s="656"/>
      <c r="E64" s="656"/>
      <c r="F64" s="656"/>
      <c r="G64" s="656"/>
      <c r="H64" s="656"/>
      <c r="I64" s="656"/>
      <c r="J64" s="656"/>
      <c r="K64" s="656"/>
      <c r="T64"/>
      <c r="U64"/>
      <c r="V64"/>
    </row>
    <row r="65" spans="1:22" ht="15">
      <c r="A65" s="656"/>
      <c r="B65" s="656"/>
      <c r="C65" s="656"/>
      <c r="D65" s="656"/>
      <c r="E65" s="656"/>
      <c r="F65" s="656"/>
      <c r="G65" s="656"/>
      <c r="H65" s="656"/>
      <c r="I65" s="656"/>
      <c r="J65" s="656"/>
      <c r="K65" s="656"/>
      <c r="T65"/>
      <c r="U65"/>
      <c r="V65"/>
    </row>
    <row r="66" spans="1:22" ht="15">
      <c r="A66" s="656"/>
      <c r="B66" s="656"/>
      <c r="C66" s="656"/>
      <c r="D66" s="656"/>
      <c r="E66" s="656"/>
      <c r="F66" s="656"/>
      <c r="G66" s="656"/>
      <c r="H66" s="656"/>
      <c r="I66" s="656"/>
      <c r="J66" s="656"/>
      <c r="K66" s="656"/>
      <c r="T66"/>
      <c r="U66"/>
      <c r="V66"/>
    </row>
    <row r="67" spans="1:22" ht="15">
      <c r="A67" s="657"/>
      <c r="B67" s="657"/>
      <c r="C67" s="657"/>
      <c r="D67" s="657"/>
      <c r="E67" s="657"/>
      <c r="F67" s="657"/>
      <c r="G67" s="657"/>
      <c r="H67" s="657"/>
      <c r="I67" s="657"/>
      <c r="J67" s="657"/>
      <c r="K67" s="657"/>
      <c r="T67"/>
      <c r="U67"/>
      <c r="V67"/>
    </row>
    <row r="68" spans="1:22" ht="15">
      <c r="A68" s="657"/>
      <c r="B68" s="657"/>
      <c r="C68" s="657"/>
      <c r="D68" s="657"/>
      <c r="E68" s="657"/>
      <c r="F68" s="657"/>
      <c r="G68" s="657"/>
      <c r="H68" s="657"/>
      <c r="I68" s="657"/>
      <c r="J68" s="657"/>
      <c r="K68" s="657"/>
      <c r="T68"/>
      <c r="U68"/>
      <c r="V68"/>
    </row>
    <row r="69" spans="1:22" ht="15">
      <c r="A69" s="603"/>
      <c r="B69" s="603"/>
      <c r="C69" s="603"/>
      <c r="D69" s="603"/>
      <c r="E69" s="603"/>
      <c r="F69" s="603"/>
      <c r="G69" s="603"/>
      <c r="H69" s="603"/>
      <c r="I69" s="603"/>
      <c r="J69" s="603"/>
      <c r="K69" s="603"/>
      <c r="T69"/>
      <c r="U69"/>
      <c r="V69"/>
    </row>
    <row r="70" spans="1:22" ht="15">
      <c r="A70" s="658"/>
      <c r="B70" s="658"/>
      <c r="C70" s="658"/>
      <c r="D70" s="658"/>
      <c r="E70" s="658"/>
      <c r="F70" s="658"/>
      <c r="G70" s="658"/>
      <c r="H70" s="658"/>
      <c r="I70" s="658"/>
      <c r="J70" s="658"/>
      <c r="K70" s="658"/>
      <c r="T70"/>
      <c r="U70"/>
      <c r="V70"/>
    </row>
    <row r="71" spans="1:22" ht="15">
      <c r="A71" s="16"/>
      <c r="B71" s="16"/>
      <c r="C71" s="16"/>
      <c r="D71" s="16"/>
      <c r="E71" s="16"/>
      <c r="F71" s="16"/>
      <c r="G71" s="16"/>
      <c r="T71"/>
      <c r="U71"/>
      <c r="V71"/>
    </row>
    <row r="72" spans="1:22" ht="15">
      <c r="A72" s="657"/>
      <c r="B72" s="657"/>
      <c r="C72" s="657"/>
      <c r="D72" s="657"/>
      <c r="E72" s="657"/>
      <c r="F72" s="657"/>
      <c r="G72" s="657"/>
      <c r="H72" s="657"/>
      <c r="I72" s="657"/>
      <c r="J72" s="657"/>
      <c r="K72" s="657"/>
      <c r="T72"/>
      <c r="U72"/>
      <c r="V72"/>
    </row>
    <row r="73" spans="1:22" ht="15">
      <c r="A73" s="659"/>
      <c r="B73" s="659"/>
      <c r="C73" s="659"/>
      <c r="D73" s="659"/>
      <c r="E73" s="659"/>
      <c r="F73" s="659"/>
      <c r="G73" s="659"/>
      <c r="H73" s="659"/>
      <c r="I73" s="659"/>
      <c r="J73" s="659"/>
      <c r="K73" s="656"/>
      <c r="T73"/>
      <c r="U73"/>
      <c r="V73"/>
    </row>
    <row r="74" spans="1:22" ht="15">
      <c r="A74" s="659"/>
      <c r="B74" s="659"/>
      <c r="C74" s="659"/>
      <c r="D74" s="659"/>
      <c r="E74" s="659"/>
      <c r="F74" s="659"/>
      <c r="G74" s="659"/>
      <c r="H74" s="659"/>
      <c r="I74" s="659"/>
      <c r="J74" s="659"/>
      <c r="K74" s="659"/>
      <c r="T74"/>
      <c r="U74"/>
      <c r="V74"/>
    </row>
    <row r="75" spans="1:22" ht="15">
      <c r="A75" s="659"/>
      <c r="B75" s="659"/>
      <c r="C75" s="659"/>
      <c r="D75" s="659"/>
      <c r="E75" s="659"/>
      <c r="F75" s="659"/>
      <c r="G75" s="659"/>
      <c r="H75" s="659"/>
      <c r="I75" s="659"/>
      <c r="J75" s="659"/>
      <c r="K75" s="656"/>
      <c r="T75"/>
      <c r="U75"/>
      <c r="V75"/>
    </row>
    <row r="76" spans="1:22" ht="15">
      <c r="A76" s="659"/>
      <c r="B76" s="659"/>
      <c r="C76" s="659"/>
      <c r="D76" s="659"/>
      <c r="E76" s="659"/>
      <c r="F76" s="659"/>
      <c r="G76" s="659"/>
      <c r="H76" s="659"/>
      <c r="I76" s="659"/>
      <c r="J76" s="659"/>
      <c r="K76" s="656"/>
      <c r="T76"/>
      <c r="U76"/>
      <c r="V76"/>
    </row>
    <row r="77" spans="1:22" ht="15">
      <c r="A77" s="659"/>
      <c r="B77" s="659"/>
      <c r="C77" s="659"/>
      <c r="D77" s="659"/>
      <c r="E77" s="659"/>
      <c r="F77" s="659"/>
      <c r="G77" s="659"/>
      <c r="H77" s="659"/>
      <c r="I77" s="659"/>
      <c r="J77" s="659"/>
      <c r="K77" s="656"/>
      <c r="T77"/>
      <c r="U77"/>
      <c r="V77"/>
    </row>
    <row r="78" spans="1:22" ht="15">
      <c r="A78" s="659"/>
      <c r="B78" s="659"/>
      <c r="C78" s="659"/>
      <c r="D78" s="659"/>
      <c r="E78" s="659"/>
      <c r="F78" s="659"/>
      <c r="G78" s="659"/>
      <c r="H78" s="659"/>
      <c r="I78" s="659"/>
      <c r="J78" s="659"/>
      <c r="K78" s="656"/>
      <c r="T78"/>
      <c r="U78"/>
      <c r="V78"/>
    </row>
    <row r="79" spans="1:22" ht="15">
      <c r="A79" s="659"/>
      <c r="B79" s="659"/>
      <c r="C79" s="659"/>
      <c r="D79" s="659"/>
      <c r="E79" s="659"/>
      <c r="F79" s="659"/>
      <c r="G79" s="659"/>
      <c r="H79" s="659"/>
      <c r="I79" s="659"/>
      <c r="J79" s="659"/>
      <c r="K79" s="656"/>
      <c r="T79"/>
      <c r="U79"/>
      <c r="V79"/>
    </row>
    <row r="80" spans="1:22" ht="15">
      <c r="A80" s="657"/>
      <c r="B80" s="657"/>
      <c r="C80" s="657"/>
      <c r="D80" s="657"/>
      <c r="E80" s="657"/>
      <c r="F80" s="657"/>
      <c r="G80" s="657"/>
      <c r="H80" s="657"/>
      <c r="I80" s="657"/>
      <c r="J80" s="657"/>
      <c r="K80" s="657"/>
      <c r="T80"/>
      <c r="U80"/>
      <c r="V80"/>
    </row>
    <row r="81" spans="1:22" ht="15">
      <c r="A81" s="16"/>
      <c r="B81" s="16"/>
      <c r="C81" s="16"/>
      <c r="D81" s="16"/>
      <c r="E81" s="16"/>
      <c r="F81" s="16"/>
      <c r="G81" s="16"/>
      <c r="T81"/>
      <c r="U81"/>
      <c r="V81"/>
    </row>
    <row r="82" spans="1:22" ht="15">
      <c r="A82" s="659"/>
      <c r="B82" s="659"/>
      <c r="C82" s="659"/>
      <c r="D82" s="659"/>
      <c r="E82" s="659"/>
      <c r="F82" s="659"/>
      <c r="G82" s="659"/>
      <c r="H82" s="659"/>
      <c r="I82" s="659"/>
      <c r="J82" s="659"/>
      <c r="K82" s="656"/>
      <c r="T82"/>
      <c r="U82"/>
      <c r="V82"/>
    </row>
    <row r="83" spans="1:22" ht="15">
      <c r="A83" s="659"/>
      <c r="B83" s="659"/>
      <c r="C83" s="659"/>
      <c r="D83" s="659"/>
      <c r="E83" s="659"/>
      <c r="F83" s="659"/>
      <c r="G83" s="659"/>
      <c r="H83" s="659"/>
      <c r="I83" s="659"/>
      <c r="J83" s="659"/>
      <c r="K83" s="656"/>
      <c r="T83"/>
      <c r="U83"/>
      <c r="V83"/>
    </row>
    <row r="84" spans="1:22" ht="15">
      <c r="A84" s="659"/>
      <c r="B84" s="659"/>
      <c r="C84" s="659"/>
      <c r="D84" s="659"/>
      <c r="E84" s="659"/>
      <c r="F84" s="659"/>
      <c r="G84" s="659"/>
      <c r="H84" s="659"/>
      <c r="I84" s="659"/>
      <c r="J84" s="659"/>
      <c r="K84" s="656"/>
      <c r="T84"/>
      <c r="U84"/>
      <c r="V84"/>
    </row>
    <row r="85" spans="1:22" ht="15">
      <c r="A85" s="659"/>
      <c r="B85" s="659"/>
      <c r="C85" s="659"/>
      <c r="D85" s="659"/>
      <c r="E85" s="659"/>
      <c r="F85" s="659"/>
      <c r="G85" s="659"/>
      <c r="H85" s="659"/>
      <c r="I85" s="659"/>
      <c r="J85" s="659"/>
      <c r="K85" s="656"/>
      <c r="T85"/>
      <c r="U85"/>
      <c r="V85"/>
    </row>
    <row r="86" spans="1:22" ht="15">
      <c r="A86" s="659"/>
      <c r="B86" s="659"/>
      <c r="C86" s="659"/>
      <c r="D86" s="659"/>
      <c r="E86" s="659"/>
      <c r="F86" s="659"/>
      <c r="G86" s="659"/>
      <c r="H86" s="659"/>
      <c r="I86" s="659"/>
      <c r="J86" s="659"/>
      <c r="K86" s="656"/>
      <c r="T86"/>
      <c r="U86"/>
      <c r="V86"/>
    </row>
    <row r="87" spans="1:22" ht="15">
      <c r="A87" s="659"/>
      <c r="B87" s="659"/>
      <c r="C87" s="659"/>
      <c r="D87" s="659"/>
      <c r="E87" s="659"/>
      <c r="F87" s="659"/>
      <c r="G87" s="659"/>
      <c r="H87" s="659"/>
      <c r="I87" s="659"/>
      <c r="J87" s="659"/>
      <c r="K87" s="656"/>
      <c r="T87"/>
      <c r="U87"/>
      <c r="V87"/>
    </row>
    <row r="88" spans="1:22" ht="15">
      <c r="A88" s="659"/>
      <c r="B88" s="659"/>
      <c r="C88" s="659"/>
      <c r="D88" s="659"/>
      <c r="E88" s="659"/>
      <c r="F88" s="659"/>
      <c r="G88" s="659"/>
      <c r="H88" s="659"/>
      <c r="I88" s="659"/>
      <c r="J88" s="659"/>
      <c r="K88" s="656"/>
      <c r="T88"/>
      <c r="U88"/>
      <c r="V88"/>
    </row>
    <row r="89" spans="1:22" ht="15">
      <c r="A89" s="657"/>
      <c r="B89" s="657"/>
      <c r="C89" s="657"/>
      <c r="D89" s="657"/>
      <c r="E89" s="657"/>
      <c r="F89" s="657"/>
      <c r="G89" s="657"/>
      <c r="H89" s="657"/>
      <c r="I89" s="657"/>
      <c r="J89" s="657"/>
      <c r="K89" s="657"/>
      <c r="T89"/>
      <c r="U89"/>
      <c r="V89"/>
    </row>
    <row r="90" spans="1:22" ht="15">
      <c r="A90" s="16"/>
      <c r="B90" s="16"/>
      <c r="C90" s="16"/>
      <c r="D90" s="16"/>
      <c r="E90" s="16"/>
      <c r="F90" s="16"/>
      <c r="G90" s="16"/>
      <c r="T90"/>
      <c r="U90"/>
      <c r="V90"/>
    </row>
    <row r="91" spans="1:22" ht="15">
      <c r="A91" s="659"/>
      <c r="B91" s="659"/>
      <c r="C91" s="659"/>
      <c r="D91" s="659"/>
      <c r="E91" s="659"/>
      <c r="F91" s="659"/>
      <c r="G91" s="659"/>
      <c r="H91" s="659"/>
      <c r="I91" s="659"/>
      <c r="J91" s="659"/>
      <c r="K91" s="656"/>
      <c r="T91"/>
      <c r="U91"/>
      <c r="V91"/>
    </row>
    <row r="92" spans="1:22" ht="15">
      <c r="A92" s="657"/>
      <c r="B92" s="657"/>
      <c r="C92" s="657"/>
      <c r="D92" s="657"/>
      <c r="E92" s="657"/>
      <c r="F92" s="657"/>
      <c r="G92" s="657"/>
      <c r="H92" s="657"/>
      <c r="I92" s="657"/>
      <c r="J92" s="657"/>
      <c r="K92" s="657"/>
      <c r="T92"/>
      <c r="U92"/>
      <c r="V92"/>
    </row>
    <row r="93" spans="1:22" ht="15">
      <c r="A93" s="657"/>
      <c r="B93" s="657"/>
      <c r="C93" s="657"/>
      <c r="D93" s="657"/>
      <c r="E93" s="657"/>
      <c r="F93" s="657"/>
      <c r="G93" s="657"/>
      <c r="H93" s="657"/>
      <c r="I93" s="657"/>
      <c r="J93" s="657"/>
      <c r="K93" s="657"/>
      <c r="T93"/>
      <c r="U93"/>
      <c r="V93"/>
    </row>
    <row r="94" spans="1:22" ht="15">
      <c r="A94" s="659"/>
      <c r="B94" s="659"/>
      <c r="C94" s="659"/>
      <c r="D94" s="659"/>
      <c r="E94" s="659"/>
      <c r="F94" s="659"/>
      <c r="G94" s="659"/>
      <c r="H94" s="659"/>
      <c r="I94" s="659"/>
      <c r="J94" s="659"/>
      <c r="K94" s="656"/>
      <c r="T94"/>
      <c r="U94"/>
      <c r="V94"/>
    </row>
    <row r="95" spans="1:22" ht="15">
      <c r="A95" s="657"/>
      <c r="B95" s="657"/>
      <c r="C95" s="657"/>
      <c r="D95" s="657"/>
      <c r="E95" s="657"/>
      <c r="F95" s="657"/>
      <c r="G95" s="657"/>
      <c r="H95" s="657"/>
      <c r="I95" s="657"/>
      <c r="J95" s="657"/>
      <c r="K95" s="657"/>
      <c r="T95"/>
      <c r="U95"/>
      <c r="V95"/>
    </row>
    <row r="96" spans="1:22" ht="15">
      <c r="A96" s="657"/>
      <c r="B96" s="657"/>
      <c r="C96" s="657"/>
      <c r="D96" s="657"/>
      <c r="E96" s="657"/>
      <c r="F96" s="657"/>
      <c r="G96" s="657"/>
      <c r="H96" s="657"/>
      <c r="I96" s="657"/>
      <c r="J96" s="657"/>
      <c r="K96" s="657"/>
      <c r="T96"/>
      <c r="U96"/>
      <c r="V96"/>
    </row>
    <row r="97" spans="1:22" ht="15">
      <c r="A97" s="659"/>
      <c r="B97" s="659"/>
      <c r="C97" s="659"/>
      <c r="D97" s="659"/>
      <c r="E97" s="659"/>
      <c r="F97" s="659"/>
      <c r="G97" s="659"/>
      <c r="H97" s="659"/>
      <c r="I97" s="659"/>
      <c r="J97" s="659"/>
      <c r="K97" s="656"/>
      <c r="T97"/>
      <c r="U97"/>
      <c r="V97"/>
    </row>
    <row r="98" spans="1:22" ht="15">
      <c r="A98" s="656"/>
      <c r="B98" s="656"/>
      <c r="C98" s="656"/>
      <c r="D98" s="656"/>
      <c r="E98" s="656"/>
      <c r="F98" s="656"/>
      <c r="G98" s="656"/>
      <c r="H98" s="656"/>
      <c r="I98" s="656"/>
      <c r="J98" s="659"/>
      <c r="K98" s="656"/>
      <c r="T98"/>
      <c r="U98"/>
      <c r="V98"/>
    </row>
    <row r="99" spans="1:22" ht="15">
      <c r="A99" s="656"/>
      <c r="B99" s="656"/>
      <c r="C99" s="656"/>
      <c r="D99" s="656"/>
      <c r="E99" s="656"/>
      <c r="F99" s="656"/>
      <c r="G99" s="656"/>
      <c r="H99" s="656"/>
      <c r="I99" s="656"/>
      <c r="J99" s="659"/>
      <c r="K99" s="656"/>
      <c r="T99"/>
      <c r="U99"/>
      <c r="V99"/>
    </row>
    <row r="100" spans="1:22" ht="15">
      <c r="A100" s="656"/>
      <c r="B100" s="656"/>
      <c r="C100" s="656"/>
      <c r="D100" s="656"/>
      <c r="E100" s="656"/>
      <c r="F100" s="656"/>
      <c r="G100" s="656"/>
      <c r="H100" s="656"/>
      <c r="I100" s="656"/>
      <c r="J100" s="659"/>
      <c r="K100" s="656"/>
      <c r="T100"/>
      <c r="U100"/>
      <c r="V100"/>
    </row>
    <row r="101" spans="1:22" ht="15">
      <c r="A101" s="656"/>
      <c r="B101" s="656"/>
      <c r="C101" s="656"/>
      <c r="D101" s="656"/>
      <c r="E101" s="656"/>
      <c r="F101" s="656"/>
      <c r="G101" s="656"/>
      <c r="H101" s="656"/>
      <c r="I101" s="656"/>
      <c r="J101" s="659"/>
      <c r="K101" s="656"/>
      <c r="T101"/>
      <c r="U101"/>
      <c r="V101"/>
    </row>
    <row r="102" spans="1:22" ht="15">
      <c r="A102" s="656"/>
      <c r="B102" s="656"/>
      <c r="C102" s="656"/>
      <c r="D102" s="656"/>
      <c r="E102" s="656"/>
      <c r="F102" s="656"/>
      <c r="G102" s="656"/>
      <c r="H102" s="656"/>
      <c r="I102" s="656"/>
      <c r="J102" s="659"/>
      <c r="K102" s="656"/>
      <c r="T102"/>
      <c r="U102"/>
      <c r="V102"/>
    </row>
    <row r="103" spans="1:22" ht="15">
      <c r="A103" s="656"/>
      <c r="B103" s="656"/>
      <c r="C103" s="656"/>
      <c r="D103" s="656"/>
      <c r="E103" s="656"/>
      <c r="F103" s="656"/>
      <c r="G103" s="656"/>
      <c r="H103" s="656"/>
      <c r="I103" s="656"/>
      <c r="J103" s="659"/>
      <c r="K103" s="656"/>
      <c r="T103"/>
      <c r="U103"/>
      <c r="V103"/>
    </row>
    <row r="104" spans="1:22" ht="15">
      <c r="A104" s="657"/>
      <c r="B104" s="657"/>
      <c r="C104" s="657"/>
      <c r="D104" s="657"/>
      <c r="E104" s="657"/>
      <c r="F104" s="657"/>
      <c r="G104" s="657"/>
      <c r="H104" s="657"/>
      <c r="I104" s="657"/>
      <c r="J104" s="657"/>
      <c r="K104" s="657"/>
      <c r="T104"/>
      <c r="U104"/>
      <c r="V104"/>
    </row>
    <row r="105" spans="1:22" ht="15">
      <c r="A105" s="16"/>
      <c r="B105" s="16"/>
      <c r="C105" s="16"/>
      <c r="D105" s="16"/>
      <c r="E105" s="16"/>
      <c r="F105" s="16"/>
      <c r="G105" s="16"/>
      <c r="T105"/>
      <c r="U105"/>
      <c r="V105"/>
    </row>
    <row r="106" spans="1:22" ht="15">
      <c r="A106" s="16"/>
      <c r="B106" s="16"/>
      <c r="C106" s="16"/>
      <c r="D106" s="16"/>
      <c r="E106" s="16"/>
      <c r="F106" s="16"/>
      <c r="G106" s="16"/>
      <c r="T106"/>
      <c r="U106"/>
      <c r="V106"/>
    </row>
    <row r="107" spans="1:22" ht="15">
      <c r="A107" s="16"/>
      <c r="B107" s="16"/>
      <c r="C107" s="16"/>
      <c r="D107" s="16"/>
      <c r="E107" s="16"/>
      <c r="F107" s="16"/>
      <c r="G107" s="16"/>
      <c r="T107"/>
      <c r="U107"/>
      <c r="V107"/>
    </row>
    <row r="108" spans="1:22" ht="15">
      <c r="A108" s="16"/>
      <c r="B108" s="16"/>
      <c r="C108" s="16"/>
      <c r="D108" s="16"/>
      <c r="E108" s="16"/>
      <c r="F108" s="16"/>
      <c r="G108" s="16"/>
      <c r="T108"/>
      <c r="U108"/>
      <c r="V108"/>
    </row>
    <row r="109" spans="1:7" ht="15">
      <c r="A109" s="16"/>
      <c r="B109" s="16"/>
      <c r="C109" s="16"/>
      <c r="D109" s="16"/>
      <c r="E109" s="16"/>
      <c r="F109" s="16"/>
      <c r="G109" s="16"/>
    </row>
    <row r="110" spans="1:7" ht="15">
      <c r="A110" s="16"/>
      <c r="B110" s="16"/>
      <c r="C110" s="16"/>
      <c r="D110" s="16"/>
      <c r="E110" s="16"/>
      <c r="F110" s="16"/>
      <c r="G110" s="16"/>
    </row>
    <row r="111" spans="1:7" ht="15">
      <c r="A111" s="16"/>
      <c r="B111" s="16"/>
      <c r="C111" s="16"/>
      <c r="D111" s="16"/>
      <c r="E111" s="16"/>
      <c r="F111" s="16"/>
      <c r="G111" s="16"/>
    </row>
    <row r="112" spans="1:7" ht="15">
      <c r="A112" s="16"/>
      <c r="B112" s="16"/>
      <c r="C112" s="16"/>
      <c r="D112" s="16"/>
      <c r="E112" s="16"/>
      <c r="F112" s="16"/>
      <c r="G112" s="16"/>
    </row>
    <row r="113" spans="1:7" ht="15">
      <c r="A113" s="16"/>
      <c r="B113" s="16"/>
      <c r="C113" s="16"/>
      <c r="D113" s="16"/>
      <c r="E113" s="16"/>
      <c r="F113" s="16"/>
      <c r="G113" s="16"/>
    </row>
    <row r="114" spans="1:7" ht="15">
      <c r="A114" s="16"/>
      <c r="B114" s="16"/>
      <c r="C114" s="16"/>
      <c r="D114" s="16"/>
      <c r="E114" s="16"/>
      <c r="F114" s="16"/>
      <c r="G114" s="16"/>
    </row>
    <row r="115" spans="1:7" ht="15">
      <c r="A115" s="16"/>
      <c r="B115" s="16"/>
      <c r="C115" s="16"/>
      <c r="D115" s="16"/>
      <c r="E115" s="16"/>
      <c r="F115" s="16"/>
      <c r="G115" s="16"/>
    </row>
    <row r="116" spans="1:7" ht="15">
      <c r="A116" s="16"/>
      <c r="B116" s="16"/>
      <c r="C116" s="16"/>
      <c r="D116" s="16"/>
      <c r="E116" s="16"/>
      <c r="F116" s="16"/>
      <c r="G116" s="16"/>
    </row>
    <row r="117" spans="1:7" ht="15">
      <c r="A117" s="16"/>
      <c r="B117" s="16"/>
      <c r="C117" s="16"/>
      <c r="D117" s="16"/>
      <c r="E117" s="16"/>
      <c r="F117" s="16"/>
      <c r="G117" s="16"/>
    </row>
    <row r="118" spans="1:7" ht="15">
      <c r="A118" s="16"/>
      <c r="B118" s="16"/>
      <c r="C118" s="16"/>
      <c r="D118" s="16"/>
      <c r="E118" s="16"/>
      <c r="F118" s="16"/>
      <c r="G118" s="16"/>
    </row>
    <row r="119" spans="1:7" ht="15">
      <c r="A119" s="16"/>
      <c r="B119" s="16"/>
      <c r="C119" s="16"/>
      <c r="D119" s="16"/>
      <c r="E119" s="16"/>
      <c r="F119" s="16"/>
      <c r="G119" s="16"/>
    </row>
    <row r="120" spans="1:7" ht="15">
      <c r="A120" s="16"/>
      <c r="B120" s="16"/>
      <c r="C120" s="16"/>
      <c r="D120" s="16"/>
      <c r="E120" s="16"/>
      <c r="F120" s="16"/>
      <c r="G120" s="16"/>
    </row>
    <row r="121" spans="1:7" ht="15">
      <c r="A121" s="16"/>
      <c r="B121" s="16"/>
      <c r="C121" s="16"/>
      <c r="D121" s="16"/>
      <c r="E121" s="16"/>
      <c r="F121" s="16"/>
      <c r="G121" s="16"/>
    </row>
    <row r="122" spans="1:7" ht="15">
      <c r="A122" s="16"/>
      <c r="B122" s="16"/>
      <c r="C122" s="16"/>
      <c r="D122" s="16"/>
      <c r="E122" s="16"/>
      <c r="F122" s="16"/>
      <c r="G122" s="16"/>
    </row>
    <row r="123" spans="1:7" ht="15">
      <c r="A123" s="16"/>
      <c r="B123" s="16"/>
      <c r="C123" s="16"/>
      <c r="D123" s="16"/>
      <c r="E123" s="16"/>
      <c r="F123" s="16"/>
      <c r="G123" s="16"/>
    </row>
    <row r="124" spans="1:7" ht="15">
      <c r="A124" s="16"/>
      <c r="B124" s="16"/>
      <c r="C124" s="16"/>
      <c r="D124" s="16"/>
      <c r="E124" s="16"/>
      <c r="F124" s="16"/>
      <c r="G124" s="16"/>
    </row>
    <row r="125" spans="1:7" ht="15">
      <c r="A125" s="16"/>
      <c r="B125" s="16"/>
      <c r="C125" s="16"/>
      <c r="D125" s="16"/>
      <c r="E125" s="16"/>
      <c r="F125" s="16"/>
      <c r="G125" s="16"/>
    </row>
    <row r="126" spans="1:7" ht="15">
      <c r="A126" s="16"/>
      <c r="B126" s="16"/>
      <c r="C126" s="16"/>
      <c r="D126" s="16"/>
      <c r="E126" s="16"/>
      <c r="F126" s="16"/>
      <c r="G126" s="16"/>
    </row>
    <row r="127" spans="1:7" ht="15">
      <c r="A127" s="16"/>
      <c r="B127" s="16"/>
      <c r="C127" s="16"/>
      <c r="D127" s="16"/>
      <c r="E127" s="16"/>
      <c r="F127" s="16"/>
      <c r="G127" s="16"/>
    </row>
    <row r="128" spans="1:7" ht="15">
      <c r="A128" s="16"/>
      <c r="B128" s="16"/>
      <c r="C128" s="16"/>
      <c r="D128" s="16"/>
      <c r="E128" s="16"/>
      <c r="F128" s="16"/>
      <c r="G128" s="16"/>
    </row>
    <row r="129" spans="1:7" ht="15">
      <c r="A129" s="16"/>
      <c r="B129" s="16"/>
      <c r="C129" s="16"/>
      <c r="D129" s="16"/>
      <c r="E129" s="16"/>
      <c r="F129" s="16"/>
      <c r="G129" s="16"/>
    </row>
    <row r="130" spans="1:7" ht="15">
      <c r="A130" s="16"/>
      <c r="B130" s="16"/>
      <c r="C130" s="16"/>
      <c r="D130" s="16"/>
      <c r="E130" s="16"/>
      <c r="F130" s="16"/>
      <c r="G130" s="16"/>
    </row>
    <row r="131" spans="1:7" ht="15">
      <c r="A131" s="16"/>
      <c r="B131" s="16"/>
      <c r="C131" s="16"/>
      <c r="D131" s="16"/>
      <c r="E131" s="16"/>
      <c r="F131" s="16"/>
      <c r="G131" s="16"/>
    </row>
    <row r="132" spans="1:7" ht="15">
      <c r="A132" s="16"/>
      <c r="B132" s="16"/>
      <c r="C132" s="16"/>
      <c r="D132" s="16"/>
      <c r="E132" s="16"/>
      <c r="F132" s="16"/>
      <c r="G132" s="16"/>
    </row>
    <row r="133" spans="1:7" ht="15">
      <c r="A133" s="16"/>
      <c r="B133" s="16"/>
      <c r="C133" s="16"/>
      <c r="D133" s="16"/>
      <c r="E133" s="16"/>
      <c r="F133" s="16"/>
      <c r="G133" s="16"/>
    </row>
    <row r="134" spans="1:7" ht="15">
      <c r="A134" s="16"/>
      <c r="B134" s="16"/>
      <c r="C134" s="16"/>
      <c r="D134" s="16"/>
      <c r="E134" s="16"/>
      <c r="F134" s="16"/>
      <c r="G134" s="16"/>
    </row>
    <row r="135" spans="1:7" ht="15">
      <c r="A135" s="16"/>
      <c r="B135" s="16"/>
      <c r="C135" s="16"/>
      <c r="D135" s="16"/>
      <c r="E135" s="16"/>
      <c r="F135" s="16"/>
      <c r="G135" s="16"/>
    </row>
    <row r="136" spans="1:7" ht="15">
      <c r="A136" s="16"/>
      <c r="B136" s="16"/>
      <c r="C136" s="16"/>
      <c r="D136" s="16"/>
      <c r="E136" s="16"/>
      <c r="F136" s="16"/>
      <c r="G136" s="16"/>
    </row>
    <row r="137" spans="1:7" ht="15">
      <c r="A137" s="16"/>
      <c r="B137" s="16"/>
      <c r="C137" s="16"/>
      <c r="D137" s="16"/>
      <c r="E137" s="16"/>
      <c r="F137" s="16"/>
      <c r="G137" s="16"/>
    </row>
    <row r="138" spans="1:7" ht="15">
      <c r="A138" s="16"/>
      <c r="B138" s="16"/>
      <c r="C138" s="16"/>
      <c r="D138" s="16"/>
      <c r="E138" s="16"/>
      <c r="F138" s="16"/>
      <c r="G138" s="16"/>
    </row>
    <row r="139" spans="1:7" ht="15">
      <c r="A139" s="16"/>
      <c r="B139" s="16"/>
      <c r="C139" s="16"/>
      <c r="D139" s="16"/>
      <c r="E139" s="16"/>
      <c r="F139" s="16"/>
      <c r="G139" s="16"/>
    </row>
    <row r="140" spans="1:7" ht="15">
      <c r="A140" s="16"/>
      <c r="B140" s="16"/>
      <c r="C140" s="16"/>
      <c r="D140" s="16"/>
      <c r="E140" s="16"/>
      <c r="F140" s="16"/>
      <c r="G140" s="16"/>
    </row>
    <row r="141" spans="1:7" ht="15">
      <c r="A141" s="16"/>
      <c r="B141" s="16"/>
      <c r="C141" s="16"/>
      <c r="D141" s="16"/>
      <c r="E141" s="16"/>
      <c r="F141" s="16"/>
      <c r="G141" s="16"/>
    </row>
    <row r="142" spans="1:7" ht="15">
      <c r="A142" s="16"/>
      <c r="B142" s="16"/>
      <c r="C142" s="16"/>
      <c r="D142" s="16"/>
      <c r="E142" s="16"/>
      <c r="F142" s="16"/>
      <c r="G142" s="16"/>
    </row>
    <row r="143" spans="1:7" ht="15">
      <c r="A143" s="16"/>
      <c r="B143" s="16"/>
      <c r="C143" s="16"/>
      <c r="D143" s="16"/>
      <c r="E143" s="16"/>
      <c r="F143" s="16"/>
      <c r="G143" s="16"/>
    </row>
    <row r="144" spans="1:7" ht="15">
      <c r="A144" s="16"/>
      <c r="B144" s="16"/>
      <c r="C144" s="16"/>
      <c r="D144" s="16"/>
      <c r="E144" s="16"/>
      <c r="F144" s="16"/>
      <c r="G144" s="16"/>
    </row>
    <row r="145" spans="1:7" ht="15">
      <c r="A145" s="16"/>
      <c r="B145" s="16"/>
      <c r="C145" s="16"/>
      <c r="D145" s="16"/>
      <c r="E145" s="16"/>
      <c r="F145" s="16"/>
      <c r="G145" s="16"/>
    </row>
    <row r="146" spans="1:7" ht="15">
      <c r="A146" s="16"/>
      <c r="B146" s="16"/>
      <c r="C146" s="16"/>
      <c r="D146" s="16"/>
      <c r="E146" s="16"/>
      <c r="F146" s="16"/>
      <c r="G146" s="16"/>
    </row>
    <row r="147" spans="1:7" ht="15">
      <c r="A147" s="16"/>
      <c r="B147" s="16"/>
      <c r="C147" s="16"/>
      <c r="D147" s="16"/>
      <c r="E147" s="16"/>
      <c r="F147" s="16"/>
      <c r="G147" s="16"/>
    </row>
    <row r="148" spans="1:7" ht="15">
      <c r="A148" s="16"/>
      <c r="B148" s="16"/>
      <c r="C148" s="16"/>
      <c r="D148" s="16"/>
      <c r="E148" s="16"/>
      <c r="F148" s="16"/>
      <c r="G148" s="16"/>
    </row>
    <row r="149" spans="1:7" ht="15">
      <c r="A149" s="16"/>
      <c r="B149" s="16"/>
      <c r="C149" s="16"/>
      <c r="D149" s="16"/>
      <c r="E149" s="16"/>
      <c r="F149" s="16"/>
      <c r="G149" s="16"/>
    </row>
    <row r="150" spans="1:7" ht="15">
      <c r="A150" s="16"/>
      <c r="B150" s="16"/>
      <c r="C150" s="16"/>
      <c r="D150" s="16"/>
      <c r="E150" s="16"/>
      <c r="F150" s="16"/>
      <c r="G150" s="16"/>
    </row>
    <row r="151" spans="1:7" ht="15">
      <c r="A151" s="16"/>
      <c r="B151" s="16"/>
      <c r="C151" s="16"/>
      <c r="D151" s="16"/>
      <c r="E151" s="16"/>
      <c r="F151" s="16"/>
      <c r="G151" s="16"/>
    </row>
    <row r="152" spans="1:7" ht="15">
      <c r="A152" s="16"/>
      <c r="B152" s="16"/>
      <c r="C152" s="16"/>
      <c r="D152" s="16"/>
      <c r="E152" s="16"/>
      <c r="F152" s="16"/>
      <c r="G152" s="16"/>
    </row>
    <row r="153" spans="1:7" ht="15">
      <c r="A153" s="16"/>
      <c r="B153" s="16"/>
      <c r="C153" s="16"/>
      <c r="D153" s="16"/>
      <c r="E153" s="16"/>
      <c r="F153" s="16"/>
      <c r="G153" s="16"/>
    </row>
    <row r="154" spans="1:7" ht="15">
      <c r="A154" s="16"/>
      <c r="B154" s="16"/>
      <c r="C154" s="16"/>
      <c r="D154" s="16"/>
      <c r="E154" s="16"/>
      <c r="F154" s="16"/>
      <c r="G154" s="16"/>
    </row>
    <row r="155" spans="1:7" ht="15">
      <c r="A155" s="16"/>
      <c r="B155" s="16"/>
      <c r="C155" s="16"/>
      <c r="D155" s="16"/>
      <c r="E155" s="16"/>
      <c r="F155" s="16"/>
      <c r="G155" s="16"/>
    </row>
    <row r="156" spans="1:7" ht="15">
      <c r="A156" s="16"/>
      <c r="B156" s="16"/>
      <c r="C156" s="16"/>
      <c r="D156" s="16"/>
      <c r="E156" s="16"/>
      <c r="F156" s="16"/>
      <c r="G156" s="16"/>
    </row>
    <row r="157" spans="1:7" ht="15">
      <c r="A157" s="16"/>
      <c r="B157" s="16"/>
      <c r="C157" s="16"/>
      <c r="D157" s="16"/>
      <c r="E157" s="16"/>
      <c r="F157" s="16"/>
      <c r="G157" s="16"/>
    </row>
    <row r="158" spans="1:7" ht="15">
      <c r="A158" s="16"/>
      <c r="B158" s="16"/>
      <c r="C158" s="16"/>
      <c r="D158" s="16"/>
      <c r="E158" s="16"/>
      <c r="F158" s="16"/>
      <c r="G158" s="16"/>
    </row>
    <row r="159" spans="1:7" ht="15">
      <c r="A159" s="16"/>
      <c r="B159" s="16"/>
      <c r="C159" s="16"/>
      <c r="D159" s="16"/>
      <c r="E159" s="16"/>
      <c r="F159" s="16"/>
      <c r="G159" s="16"/>
    </row>
    <row r="160" spans="1:7" ht="15">
      <c r="A160" s="16"/>
      <c r="B160" s="16"/>
      <c r="C160" s="16"/>
      <c r="D160" s="16"/>
      <c r="E160" s="16"/>
      <c r="F160" s="16"/>
      <c r="G160" s="16"/>
    </row>
    <row r="161" spans="1:7" ht="15">
      <c r="A161" s="16"/>
      <c r="B161" s="16"/>
      <c r="C161" s="16"/>
      <c r="D161" s="16"/>
      <c r="E161" s="16"/>
      <c r="F161" s="16"/>
      <c r="G161" s="16"/>
    </row>
    <row r="162" spans="1:7" ht="15">
      <c r="A162" s="16"/>
      <c r="B162" s="16"/>
      <c r="C162" s="16"/>
      <c r="D162" s="16"/>
      <c r="E162" s="16"/>
      <c r="F162" s="16"/>
      <c r="G162" s="16"/>
    </row>
    <row r="163" spans="1:7" ht="15">
      <c r="A163" s="16"/>
      <c r="B163" s="16"/>
      <c r="C163" s="16"/>
      <c r="D163" s="16"/>
      <c r="E163" s="16"/>
      <c r="F163" s="16"/>
      <c r="G163" s="16"/>
    </row>
    <row r="164" spans="1:7" ht="15">
      <c r="A164" s="16"/>
      <c r="B164" s="16"/>
      <c r="C164" s="16"/>
      <c r="D164" s="16"/>
      <c r="E164" s="16"/>
      <c r="F164" s="16"/>
      <c r="G164" s="16"/>
    </row>
    <row r="165" spans="1:7" ht="15">
      <c r="A165" s="16"/>
      <c r="B165" s="16"/>
      <c r="C165" s="16"/>
      <c r="D165" s="16"/>
      <c r="E165" s="16"/>
      <c r="F165" s="16"/>
      <c r="G165" s="16"/>
    </row>
    <row r="166" spans="1:7" ht="15">
      <c r="A166" s="16"/>
      <c r="B166" s="16"/>
      <c r="C166" s="16"/>
      <c r="D166" s="16"/>
      <c r="E166" s="16"/>
      <c r="F166" s="16"/>
      <c r="G166" s="16"/>
    </row>
    <row r="167" spans="1:7" ht="15">
      <c r="A167" s="16"/>
      <c r="B167" s="16"/>
      <c r="C167" s="16"/>
      <c r="D167" s="16"/>
      <c r="E167" s="16"/>
      <c r="F167" s="16"/>
      <c r="G167" s="16"/>
    </row>
    <row r="168" spans="1:7" ht="15">
      <c r="A168" s="16"/>
      <c r="B168" s="16"/>
      <c r="C168" s="16"/>
      <c r="D168" s="16"/>
      <c r="E168" s="16"/>
      <c r="F168" s="16"/>
      <c r="G168" s="16"/>
    </row>
    <row r="169" spans="1:7" ht="15">
      <c r="A169" s="16"/>
      <c r="B169" s="16"/>
      <c r="C169" s="16"/>
      <c r="D169" s="16"/>
      <c r="E169" s="16"/>
      <c r="F169" s="16"/>
      <c r="G169" s="16"/>
    </row>
    <row r="170" spans="1:7" ht="15">
      <c r="A170" s="16"/>
      <c r="B170" s="16"/>
      <c r="C170" s="16"/>
      <c r="D170" s="16"/>
      <c r="E170" s="16"/>
      <c r="F170" s="16"/>
      <c r="G170" s="16"/>
    </row>
    <row r="171" spans="1:7" ht="15">
      <c r="A171" s="16"/>
      <c r="B171" s="16"/>
      <c r="C171" s="16"/>
      <c r="D171" s="16"/>
      <c r="E171" s="16"/>
      <c r="F171" s="16"/>
      <c r="G171" s="16"/>
    </row>
    <row r="172" spans="1:7" ht="15">
      <c r="A172" s="16"/>
      <c r="B172" s="16"/>
      <c r="C172" s="16"/>
      <c r="D172" s="16"/>
      <c r="E172" s="16"/>
      <c r="F172" s="16"/>
      <c r="G172" s="16"/>
    </row>
    <row r="173" spans="1:7" ht="15">
      <c r="A173" s="16"/>
      <c r="B173" s="16"/>
      <c r="C173" s="16"/>
      <c r="D173" s="16"/>
      <c r="E173" s="16"/>
      <c r="F173" s="16"/>
      <c r="G173" s="16"/>
    </row>
    <row r="174" spans="1:7" ht="15">
      <c r="A174" s="16"/>
      <c r="B174" s="16"/>
      <c r="C174" s="16"/>
      <c r="D174" s="16"/>
      <c r="E174" s="16"/>
      <c r="F174" s="16"/>
      <c r="G174" s="16"/>
    </row>
    <row r="175" spans="1:7" ht="15">
      <c r="A175" s="16"/>
      <c r="B175" s="16"/>
      <c r="C175" s="16"/>
      <c r="D175" s="16"/>
      <c r="E175" s="16"/>
      <c r="F175" s="16"/>
      <c r="G175" s="16"/>
    </row>
    <row r="176" spans="1:7" ht="15">
      <c r="A176" s="16"/>
      <c r="B176" s="16"/>
      <c r="C176" s="16"/>
      <c r="D176" s="16"/>
      <c r="E176" s="16"/>
      <c r="F176" s="16"/>
      <c r="G176" s="16"/>
    </row>
    <row r="177" spans="1:7" ht="15">
      <c r="A177" s="16"/>
      <c r="B177" s="16"/>
      <c r="C177" s="16"/>
      <c r="D177" s="16"/>
      <c r="E177" s="16"/>
      <c r="F177" s="16"/>
      <c r="G177" s="16"/>
    </row>
    <row r="178" spans="1:7" ht="15">
      <c r="A178" s="16"/>
      <c r="B178" s="16"/>
      <c r="C178" s="16"/>
      <c r="D178" s="16"/>
      <c r="E178" s="16"/>
      <c r="F178" s="16"/>
      <c r="G178" s="16"/>
    </row>
    <row r="179" spans="1:7" ht="15">
      <c r="A179" s="16"/>
      <c r="B179" s="16"/>
      <c r="C179" s="16"/>
      <c r="D179" s="16"/>
      <c r="E179" s="16"/>
      <c r="F179" s="16"/>
      <c r="G179" s="16"/>
    </row>
    <row r="180" spans="1:7" ht="15">
      <c r="A180" s="16"/>
      <c r="B180" s="16"/>
      <c r="C180" s="16"/>
      <c r="D180" s="16"/>
      <c r="E180" s="16"/>
      <c r="F180" s="16"/>
      <c r="G180" s="16"/>
    </row>
    <row r="181" spans="1:7" ht="15">
      <c r="A181" s="16"/>
      <c r="B181" s="16"/>
      <c r="C181" s="16"/>
      <c r="D181" s="16"/>
      <c r="E181" s="16"/>
      <c r="F181" s="16"/>
      <c r="G181" s="16"/>
    </row>
    <row r="182" spans="1:7" ht="15">
      <c r="A182" s="16"/>
      <c r="B182" s="16"/>
      <c r="C182" s="16"/>
      <c r="D182" s="16"/>
      <c r="E182" s="16"/>
      <c r="F182" s="16"/>
      <c r="G182" s="16"/>
    </row>
    <row r="183" spans="1:7" ht="15">
      <c r="A183" s="16"/>
      <c r="B183" s="16"/>
      <c r="C183" s="16"/>
      <c r="D183" s="16"/>
      <c r="E183" s="16"/>
      <c r="F183" s="16"/>
      <c r="G183" s="16"/>
    </row>
    <row r="184" spans="1:7" ht="15">
      <c r="A184" s="16"/>
      <c r="B184" s="16"/>
      <c r="C184" s="16"/>
      <c r="D184" s="16"/>
      <c r="E184" s="16"/>
      <c r="F184" s="16"/>
      <c r="G184" s="16"/>
    </row>
    <row r="185" spans="1:7" ht="15">
      <c r="A185" s="16"/>
      <c r="B185" s="16"/>
      <c r="C185" s="16"/>
      <c r="D185" s="16"/>
      <c r="E185" s="16"/>
      <c r="F185" s="16"/>
      <c r="G185" s="16"/>
    </row>
    <row r="186" spans="1:7" ht="15">
      <c r="A186" s="16"/>
      <c r="B186" s="16"/>
      <c r="C186" s="16"/>
      <c r="D186" s="16"/>
      <c r="E186" s="16"/>
      <c r="F186" s="16"/>
      <c r="G186" s="16"/>
    </row>
    <row r="187" spans="1:7" ht="15">
      <c r="A187" s="16"/>
      <c r="B187" s="16"/>
      <c r="C187" s="16"/>
      <c r="D187" s="16"/>
      <c r="E187" s="16"/>
      <c r="F187" s="16"/>
      <c r="G187" s="16"/>
    </row>
    <row r="188" spans="1:7" ht="15">
      <c r="A188" s="16"/>
      <c r="B188" s="16"/>
      <c r="C188" s="16"/>
      <c r="D188" s="16"/>
      <c r="E188" s="16"/>
      <c r="F188" s="16"/>
      <c r="G188" s="16"/>
    </row>
    <row r="189" spans="1:7" ht="15">
      <c r="A189" s="16"/>
      <c r="B189" s="16"/>
      <c r="C189" s="16"/>
      <c r="D189" s="16"/>
      <c r="E189" s="16"/>
      <c r="F189" s="16"/>
      <c r="G189" s="16"/>
    </row>
    <row r="190" spans="1:7" ht="15">
      <c r="A190" s="16"/>
      <c r="B190" s="16"/>
      <c r="C190" s="16"/>
      <c r="D190" s="16"/>
      <c r="E190" s="16"/>
      <c r="F190" s="16"/>
      <c r="G190" s="16"/>
    </row>
    <row r="191" spans="1:7" ht="15">
      <c r="A191" s="16"/>
      <c r="B191" s="16"/>
      <c r="C191" s="16"/>
      <c r="D191" s="16"/>
      <c r="E191" s="16"/>
      <c r="F191" s="16"/>
      <c r="G191" s="16"/>
    </row>
    <row r="192" spans="1:7" ht="15">
      <c r="A192" s="16"/>
      <c r="B192" s="16"/>
      <c r="C192" s="16"/>
      <c r="D192" s="16"/>
      <c r="E192" s="16"/>
      <c r="F192" s="16"/>
      <c r="G192" s="16"/>
    </row>
    <row r="193" spans="1:7" ht="15">
      <c r="A193" s="16"/>
      <c r="B193" s="16"/>
      <c r="C193" s="16"/>
      <c r="D193" s="16"/>
      <c r="E193" s="16"/>
      <c r="F193" s="16"/>
      <c r="G193" s="16"/>
    </row>
    <row r="194" spans="1:7" ht="15">
      <c r="A194" s="16"/>
      <c r="B194" s="16"/>
      <c r="C194" s="16"/>
      <c r="D194" s="16"/>
      <c r="E194" s="16"/>
      <c r="F194" s="16"/>
      <c r="G194" s="16"/>
    </row>
    <row r="195" spans="1:7" ht="15">
      <c r="A195" s="16"/>
      <c r="B195" s="16"/>
      <c r="C195" s="16"/>
      <c r="D195" s="16"/>
      <c r="E195" s="16"/>
      <c r="F195" s="16"/>
      <c r="G195" s="16"/>
    </row>
    <row r="196" spans="1:7" ht="15">
      <c r="A196" s="16"/>
      <c r="B196" s="16"/>
      <c r="C196" s="16"/>
      <c r="D196" s="16"/>
      <c r="E196" s="16"/>
      <c r="F196" s="16"/>
      <c r="G196" s="16"/>
    </row>
    <row r="197" spans="1:7" ht="15">
      <c r="A197" s="16"/>
      <c r="B197" s="16"/>
      <c r="C197" s="16"/>
      <c r="D197" s="16"/>
      <c r="E197" s="16"/>
      <c r="F197" s="16"/>
      <c r="G197" s="16"/>
    </row>
    <row r="198" spans="1:7" ht="15">
      <c r="A198" s="16"/>
      <c r="B198" s="16"/>
      <c r="C198" s="16"/>
      <c r="D198" s="16"/>
      <c r="E198" s="16"/>
      <c r="F198" s="16"/>
      <c r="G198" s="16"/>
    </row>
    <row r="199" spans="1:7" ht="15">
      <c r="A199" s="16"/>
      <c r="B199" s="16"/>
      <c r="C199" s="16"/>
      <c r="D199" s="16"/>
      <c r="E199" s="16"/>
      <c r="F199" s="16"/>
      <c r="G199" s="16"/>
    </row>
    <row r="200" spans="1:7" ht="15">
      <c r="A200" s="16"/>
      <c r="B200" s="16"/>
      <c r="C200" s="16"/>
      <c r="D200" s="16"/>
      <c r="E200" s="16"/>
      <c r="F200" s="16"/>
      <c r="G200" s="16"/>
    </row>
    <row r="201" spans="1:7" ht="15">
      <c r="A201" s="16"/>
      <c r="B201" s="16"/>
      <c r="C201" s="16"/>
      <c r="D201" s="16"/>
      <c r="E201" s="16"/>
      <c r="F201" s="16"/>
      <c r="G201" s="16"/>
    </row>
    <row r="202" spans="1:7" ht="15">
      <c r="A202" s="16"/>
      <c r="B202" s="16"/>
      <c r="C202" s="16"/>
      <c r="D202" s="16"/>
      <c r="E202" s="16"/>
      <c r="F202" s="16"/>
      <c r="G202" s="16"/>
    </row>
    <row r="203" spans="1:7" ht="15">
      <c r="A203" s="16"/>
      <c r="B203" s="16"/>
      <c r="C203" s="16"/>
      <c r="D203" s="16"/>
      <c r="E203" s="16"/>
      <c r="F203" s="16"/>
      <c r="G203" s="16"/>
    </row>
    <row r="204" spans="1:7" ht="15">
      <c r="A204" s="16"/>
      <c r="B204" s="16"/>
      <c r="C204" s="16"/>
      <c r="D204" s="16"/>
      <c r="E204" s="16"/>
      <c r="F204" s="16"/>
      <c r="G204" s="16"/>
    </row>
    <row r="205" spans="1:7" ht="15">
      <c r="A205" s="16"/>
      <c r="B205" s="16"/>
      <c r="C205" s="16"/>
      <c r="D205" s="16"/>
      <c r="E205" s="16"/>
      <c r="F205" s="16"/>
      <c r="G205" s="16"/>
    </row>
    <row r="206" spans="1:7" ht="15">
      <c r="A206" s="16"/>
      <c r="B206" s="16"/>
      <c r="C206" s="16"/>
      <c r="D206" s="16"/>
      <c r="E206" s="16"/>
      <c r="F206" s="16"/>
      <c r="G206" s="16"/>
    </row>
    <row r="207" spans="1:7" ht="15">
      <c r="A207" s="16"/>
      <c r="B207" s="16"/>
      <c r="C207" s="16"/>
      <c r="D207" s="16"/>
      <c r="E207" s="16"/>
      <c r="F207" s="16"/>
      <c r="G207" s="16"/>
    </row>
    <row r="208" spans="1:7" ht="15">
      <c r="A208" s="16"/>
      <c r="B208" s="16"/>
      <c r="C208" s="16"/>
      <c r="D208" s="16"/>
      <c r="E208" s="16"/>
      <c r="F208" s="16"/>
      <c r="G208" s="16"/>
    </row>
    <row r="209" spans="1:7" ht="15">
      <c r="A209" s="16"/>
      <c r="B209" s="16"/>
      <c r="C209" s="16"/>
      <c r="D209" s="16"/>
      <c r="E209" s="16"/>
      <c r="F209" s="16"/>
      <c r="G209" s="16"/>
    </row>
    <row r="210" spans="1:7" ht="15">
      <c r="A210" s="16"/>
      <c r="B210" s="16"/>
      <c r="C210" s="16"/>
      <c r="D210" s="16"/>
      <c r="E210" s="16"/>
      <c r="F210" s="16"/>
      <c r="G210" s="16"/>
    </row>
    <row r="211" spans="1:7" ht="15">
      <c r="A211" s="16"/>
      <c r="B211" s="16"/>
      <c r="C211" s="16"/>
      <c r="D211" s="16"/>
      <c r="E211" s="16"/>
      <c r="F211" s="16"/>
      <c r="G211" s="16"/>
    </row>
    <row r="212" spans="1:7" ht="15">
      <c r="A212" s="16"/>
      <c r="B212" s="16"/>
      <c r="C212" s="16"/>
      <c r="D212" s="16"/>
      <c r="E212" s="16"/>
      <c r="F212" s="16"/>
      <c r="G212" s="16"/>
    </row>
    <row r="213" spans="1:7" ht="15">
      <c r="A213" s="16"/>
      <c r="B213" s="16"/>
      <c r="C213" s="16"/>
      <c r="D213" s="16"/>
      <c r="E213" s="16"/>
      <c r="F213" s="16"/>
      <c r="G213" s="16"/>
    </row>
    <row r="214" spans="1:7" ht="15">
      <c r="A214" s="16"/>
      <c r="B214" s="16"/>
      <c r="C214" s="16"/>
      <c r="D214" s="16"/>
      <c r="E214" s="16"/>
      <c r="F214" s="16"/>
      <c r="G214" s="16"/>
    </row>
    <row r="215" spans="1:7" ht="15">
      <c r="A215" s="16"/>
      <c r="B215" s="16"/>
      <c r="C215" s="16"/>
      <c r="D215" s="16"/>
      <c r="E215" s="16"/>
      <c r="F215" s="16"/>
      <c r="G215" s="16"/>
    </row>
    <row r="216" spans="1:7" ht="15">
      <c r="A216" s="16"/>
      <c r="B216" s="16"/>
      <c r="C216" s="16"/>
      <c r="D216" s="16"/>
      <c r="E216" s="16"/>
      <c r="F216" s="16"/>
      <c r="G216" s="16"/>
    </row>
    <row r="217" spans="1:7" ht="15">
      <c r="A217" s="16"/>
      <c r="B217" s="16"/>
      <c r="C217" s="16"/>
      <c r="D217" s="16"/>
      <c r="E217" s="16"/>
      <c r="F217" s="16"/>
      <c r="G217" s="16"/>
    </row>
    <row r="218" spans="1:7" ht="15">
      <c r="A218" s="16"/>
      <c r="B218" s="16"/>
      <c r="C218" s="16"/>
      <c r="D218" s="16"/>
      <c r="E218" s="16"/>
      <c r="F218" s="16"/>
      <c r="G218" s="16"/>
    </row>
    <row r="219" spans="1:7" ht="15">
      <c r="A219" s="16"/>
      <c r="B219" s="16"/>
      <c r="C219" s="16"/>
      <c r="D219" s="16"/>
      <c r="E219" s="16"/>
      <c r="F219" s="16"/>
      <c r="G219" s="16"/>
    </row>
    <row r="220" spans="1:7" ht="15">
      <c r="A220" s="16"/>
      <c r="B220" s="16"/>
      <c r="C220" s="16"/>
      <c r="D220" s="16"/>
      <c r="E220" s="16"/>
      <c r="F220" s="16"/>
      <c r="G220" s="16"/>
    </row>
    <row r="221" spans="1:7" ht="15">
      <c r="A221" s="16"/>
      <c r="B221" s="16"/>
      <c r="C221" s="16"/>
      <c r="D221" s="16"/>
      <c r="E221" s="16"/>
      <c r="F221" s="16"/>
      <c r="G221" s="16"/>
    </row>
    <row r="222" spans="1:7" ht="15">
      <c r="A222" s="16"/>
      <c r="B222" s="16"/>
      <c r="C222" s="16"/>
      <c r="D222" s="16"/>
      <c r="E222" s="16"/>
      <c r="F222" s="16"/>
      <c r="G222" s="16"/>
    </row>
    <row r="223" spans="1:7" ht="15">
      <c r="A223" s="16"/>
      <c r="B223" s="16"/>
      <c r="C223" s="16"/>
      <c r="D223" s="16"/>
      <c r="E223" s="16"/>
      <c r="F223" s="16"/>
      <c r="G223" s="16"/>
    </row>
    <row r="224" spans="1:7" ht="15">
      <c r="A224" s="16"/>
      <c r="B224" s="16"/>
      <c r="C224" s="16"/>
      <c r="D224" s="16"/>
      <c r="E224" s="16"/>
      <c r="F224" s="16"/>
      <c r="G224" s="16"/>
    </row>
    <row r="225" spans="1:7" ht="15">
      <c r="A225" s="16"/>
      <c r="B225" s="16"/>
      <c r="C225" s="16"/>
      <c r="D225" s="16"/>
      <c r="E225" s="16"/>
      <c r="F225" s="16"/>
      <c r="G225" s="16"/>
    </row>
    <row r="226" spans="1:7" ht="15">
      <c r="A226" s="16"/>
      <c r="B226" s="16"/>
      <c r="C226" s="16"/>
      <c r="D226" s="16"/>
      <c r="E226" s="16"/>
      <c r="F226" s="16"/>
      <c r="G226" s="16"/>
    </row>
    <row r="227" spans="1:7" ht="15">
      <c r="A227" s="16"/>
      <c r="B227" s="16"/>
      <c r="C227" s="16"/>
      <c r="D227" s="16"/>
      <c r="E227" s="16"/>
      <c r="F227" s="16"/>
      <c r="G227" s="16"/>
    </row>
    <row r="228" spans="1:7" ht="15">
      <c r="A228" s="16"/>
      <c r="B228" s="16"/>
      <c r="C228" s="16"/>
      <c r="D228" s="16"/>
      <c r="E228" s="16"/>
      <c r="F228" s="16"/>
      <c r="G228" s="16"/>
    </row>
    <row r="229" spans="1:7" ht="15">
      <c r="A229" s="16"/>
      <c r="B229" s="16"/>
      <c r="C229" s="16"/>
      <c r="D229" s="16"/>
      <c r="E229" s="16"/>
      <c r="F229" s="16"/>
      <c r="G229" s="16"/>
    </row>
    <row r="230" spans="1:7" ht="15">
      <c r="A230" s="16"/>
      <c r="B230" s="16"/>
      <c r="C230" s="16"/>
      <c r="D230" s="16"/>
      <c r="E230" s="16"/>
      <c r="F230" s="16"/>
      <c r="G230" s="16"/>
    </row>
    <row r="231" spans="1:7" ht="15">
      <c r="A231" s="16"/>
      <c r="B231" s="16"/>
      <c r="C231" s="16"/>
      <c r="D231" s="16"/>
      <c r="E231" s="16"/>
      <c r="F231" s="16"/>
      <c r="G231" s="16"/>
    </row>
    <row r="232" spans="1:7" ht="15">
      <c r="A232" s="16"/>
      <c r="B232" s="16"/>
      <c r="C232" s="16"/>
      <c r="D232" s="16"/>
      <c r="E232" s="16"/>
      <c r="F232" s="16"/>
      <c r="G232" s="16"/>
    </row>
    <row r="233" spans="1:7" ht="15">
      <c r="A233" s="16"/>
      <c r="B233" s="16"/>
      <c r="C233" s="16"/>
      <c r="D233" s="16"/>
      <c r="E233" s="16"/>
      <c r="F233" s="16"/>
      <c r="G233" s="16"/>
    </row>
    <row r="234" spans="1:7" ht="15">
      <c r="A234" s="16"/>
      <c r="B234" s="16"/>
      <c r="C234" s="16"/>
      <c r="D234" s="16"/>
      <c r="E234" s="16"/>
      <c r="F234" s="16"/>
      <c r="G234" s="16"/>
    </row>
    <row r="235" spans="1:7" ht="15">
      <c r="A235" s="16"/>
      <c r="B235" s="16"/>
      <c r="C235" s="16"/>
      <c r="D235" s="16"/>
      <c r="E235" s="16"/>
      <c r="F235" s="16"/>
      <c r="G235" s="16"/>
    </row>
    <row r="236" spans="1:7" ht="15">
      <c r="A236" s="16"/>
      <c r="B236" s="16"/>
      <c r="C236" s="16"/>
      <c r="D236" s="16"/>
      <c r="E236" s="16"/>
      <c r="F236" s="16"/>
      <c r="G236" s="16"/>
    </row>
    <row r="237" spans="1:7" ht="15">
      <c r="A237" s="16"/>
      <c r="B237" s="16"/>
      <c r="C237" s="16"/>
      <c r="D237" s="16"/>
      <c r="E237" s="16"/>
      <c r="F237" s="16"/>
      <c r="G237" s="16"/>
    </row>
    <row r="238" spans="1:7" ht="15">
      <c r="A238" s="16"/>
      <c r="B238" s="16"/>
      <c r="C238" s="16"/>
      <c r="D238" s="16"/>
      <c r="E238" s="16"/>
      <c r="F238" s="16"/>
      <c r="G238" s="16"/>
    </row>
    <row r="239" spans="1:7" ht="15">
      <c r="A239" s="16"/>
      <c r="B239" s="16"/>
      <c r="C239" s="16"/>
      <c r="D239" s="16"/>
      <c r="E239" s="16"/>
      <c r="F239" s="16"/>
      <c r="G239" s="16"/>
    </row>
    <row r="240" spans="1:7" ht="15">
      <c r="A240" s="16"/>
      <c r="B240" s="16"/>
      <c r="C240" s="16"/>
      <c r="D240" s="16"/>
      <c r="E240" s="16"/>
      <c r="F240" s="16"/>
      <c r="G240" s="16"/>
    </row>
    <row r="241" spans="1:7" ht="15">
      <c r="A241" s="16"/>
      <c r="B241" s="16"/>
      <c r="C241" s="16"/>
      <c r="D241" s="16"/>
      <c r="E241" s="16"/>
      <c r="F241" s="16"/>
      <c r="G241" s="16"/>
    </row>
    <row r="242" spans="1:7" ht="15">
      <c r="A242" s="16"/>
      <c r="B242" s="16"/>
      <c r="C242" s="16"/>
      <c r="D242" s="16"/>
      <c r="E242" s="16"/>
      <c r="F242" s="16"/>
      <c r="G242" s="16"/>
    </row>
    <row r="243" spans="1:7" ht="15">
      <c r="A243" s="16"/>
      <c r="B243" s="16"/>
      <c r="C243" s="16"/>
      <c r="D243" s="16"/>
      <c r="E243" s="16"/>
      <c r="F243" s="16"/>
      <c r="G243" s="16"/>
    </row>
    <row r="244" spans="1:7" ht="15">
      <c r="A244" s="16"/>
      <c r="B244" s="16"/>
      <c r="C244" s="16"/>
      <c r="D244" s="16"/>
      <c r="E244" s="16"/>
      <c r="F244" s="16"/>
      <c r="G244" s="16"/>
    </row>
    <row r="245" spans="1:7" ht="15">
      <c r="A245" s="16"/>
      <c r="B245" s="16"/>
      <c r="C245" s="16"/>
      <c r="D245" s="16"/>
      <c r="E245" s="16"/>
      <c r="F245" s="16"/>
      <c r="G245" s="16"/>
    </row>
    <row r="246" spans="1:7" ht="15">
      <c r="A246" s="16"/>
      <c r="B246" s="16"/>
      <c r="C246" s="16"/>
      <c r="D246" s="16"/>
      <c r="E246" s="16"/>
      <c r="F246" s="16"/>
      <c r="G246" s="16"/>
    </row>
    <row r="247" spans="1:7" ht="15">
      <c r="A247" s="16"/>
      <c r="B247" s="16"/>
      <c r="C247" s="16"/>
      <c r="D247" s="16"/>
      <c r="E247" s="16"/>
      <c r="F247" s="16"/>
      <c r="G247" s="16"/>
    </row>
    <row r="248" spans="1:7" ht="15">
      <c r="A248" s="16"/>
      <c r="B248" s="16"/>
      <c r="C248" s="16"/>
      <c r="D248" s="16"/>
      <c r="E248" s="16"/>
      <c r="F248" s="16"/>
      <c r="G248" s="16"/>
    </row>
    <row r="249" spans="1:7" ht="15">
      <c r="A249" s="16"/>
      <c r="B249" s="16"/>
      <c r="C249" s="16"/>
      <c r="D249" s="16"/>
      <c r="E249" s="16"/>
      <c r="F249" s="16"/>
      <c r="G249" s="16"/>
    </row>
    <row r="250" spans="1:7" ht="15">
      <c r="A250" s="16"/>
      <c r="B250" s="16"/>
      <c r="C250" s="16"/>
      <c r="D250" s="16"/>
      <c r="E250" s="16"/>
      <c r="F250" s="16"/>
      <c r="G250" s="16"/>
    </row>
    <row r="251" spans="1:7" ht="15">
      <c r="A251" s="16"/>
      <c r="B251" s="16"/>
      <c r="C251" s="16"/>
      <c r="D251" s="16"/>
      <c r="E251" s="16"/>
      <c r="F251" s="16"/>
      <c r="G251" s="16"/>
    </row>
    <row r="252" spans="1:7" ht="15">
      <c r="A252" s="16"/>
      <c r="B252" s="16"/>
      <c r="C252" s="16"/>
      <c r="D252" s="16"/>
      <c r="E252" s="16"/>
      <c r="F252" s="16"/>
      <c r="G252" s="16"/>
    </row>
    <row r="253" spans="1:7" ht="15">
      <c r="A253" s="16"/>
      <c r="B253" s="16"/>
      <c r="C253" s="16"/>
      <c r="D253" s="16"/>
      <c r="E253" s="16"/>
      <c r="F253" s="16"/>
      <c r="G253" s="16"/>
    </row>
    <row r="254" spans="1:7" ht="15">
      <c r="A254" s="16"/>
      <c r="B254" s="16"/>
      <c r="C254" s="16"/>
      <c r="D254" s="16"/>
      <c r="E254" s="16"/>
      <c r="F254" s="16"/>
      <c r="G254" s="16"/>
    </row>
    <row r="255" spans="1:7" ht="15">
      <c r="A255" s="16"/>
      <c r="B255" s="16"/>
      <c r="C255" s="16"/>
      <c r="D255" s="16"/>
      <c r="E255" s="16"/>
      <c r="F255" s="16"/>
      <c r="G255" s="16"/>
    </row>
    <row r="256" spans="1:7" ht="15">
      <c r="A256" s="16"/>
      <c r="B256" s="16"/>
      <c r="C256" s="16"/>
      <c r="D256" s="16"/>
      <c r="E256" s="16"/>
      <c r="F256" s="16"/>
      <c r="G256" s="16"/>
    </row>
    <row r="257" spans="1:7" ht="15">
      <c r="A257" s="16"/>
      <c r="B257" s="16"/>
      <c r="C257" s="16"/>
      <c r="D257" s="16"/>
      <c r="E257" s="16"/>
      <c r="F257" s="16"/>
      <c r="G257" s="16"/>
    </row>
    <row r="258" spans="1:7" ht="15">
      <c r="A258" s="16"/>
      <c r="B258" s="16"/>
      <c r="C258" s="16"/>
      <c r="D258" s="16"/>
      <c r="E258" s="16"/>
      <c r="F258" s="16"/>
      <c r="G258" s="16"/>
    </row>
    <row r="259" spans="1:7" ht="15">
      <c r="A259" s="16"/>
      <c r="B259" s="16"/>
      <c r="C259" s="16"/>
      <c r="D259" s="16"/>
      <c r="E259" s="16"/>
      <c r="F259" s="16"/>
      <c r="G259" s="16"/>
    </row>
    <row r="260" spans="1:7" ht="15">
      <c r="A260" s="16"/>
      <c r="B260" s="16"/>
      <c r="C260" s="16"/>
      <c r="D260" s="16"/>
      <c r="E260" s="16"/>
      <c r="F260" s="16"/>
      <c r="G260" s="16"/>
    </row>
    <row r="261" spans="1:7" ht="15">
      <c r="A261" s="16"/>
      <c r="B261" s="16"/>
      <c r="C261" s="16"/>
      <c r="D261" s="16"/>
      <c r="E261" s="16"/>
      <c r="F261" s="16"/>
      <c r="G261" s="16"/>
    </row>
    <row r="262" spans="1:7" ht="15">
      <c r="A262" s="16"/>
      <c r="B262" s="16"/>
      <c r="C262" s="16"/>
      <c r="D262" s="16"/>
      <c r="E262" s="16"/>
      <c r="F262" s="16"/>
      <c r="G262" s="16"/>
    </row>
    <row r="263" spans="1:7" ht="15">
      <c r="A263" s="16"/>
      <c r="B263" s="16"/>
      <c r="C263" s="16"/>
      <c r="D263" s="16"/>
      <c r="E263" s="16"/>
      <c r="F263" s="16"/>
      <c r="G263" s="16"/>
    </row>
    <row r="264" spans="1:7" ht="15">
      <c r="A264" s="16"/>
      <c r="B264" s="16"/>
      <c r="C264" s="16"/>
      <c r="D264" s="16"/>
      <c r="E264" s="16"/>
      <c r="F264" s="16"/>
      <c r="G264" s="16"/>
    </row>
    <row r="265" spans="1:7" ht="15">
      <c r="A265" s="16"/>
      <c r="B265" s="16"/>
      <c r="C265" s="16"/>
      <c r="D265" s="16"/>
      <c r="E265" s="16"/>
      <c r="F265" s="16"/>
      <c r="G265" s="16"/>
    </row>
    <row r="266" spans="1:7" ht="15">
      <c r="A266" s="16"/>
      <c r="B266" s="16"/>
      <c r="C266" s="16"/>
      <c r="D266" s="16"/>
      <c r="E266" s="16"/>
      <c r="F266" s="16"/>
      <c r="G266" s="16"/>
    </row>
    <row r="267" spans="1:7" ht="15">
      <c r="A267" s="16"/>
      <c r="B267" s="16"/>
      <c r="C267" s="16"/>
      <c r="D267" s="16"/>
      <c r="E267" s="16"/>
      <c r="F267" s="16"/>
      <c r="G267" s="16"/>
    </row>
    <row r="268" spans="1:7" ht="15">
      <c r="A268" s="16"/>
      <c r="B268" s="16"/>
      <c r="C268" s="16"/>
      <c r="D268" s="16"/>
      <c r="E268" s="16"/>
      <c r="F268" s="16"/>
      <c r="G268" s="16"/>
    </row>
    <row r="269" spans="1:7" ht="15">
      <c r="A269" s="16"/>
      <c r="B269" s="16"/>
      <c r="C269" s="16"/>
      <c r="D269" s="16"/>
      <c r="E269" s="16"/>
      <c r="F269" s="16"/>
      <c r="G269" s="16"/>
    </row>
    <row r="270" spans="1:7" ht="15">
      <c r="A270" s="16"/>
      <c r="B270" s="16"/>
      <c r="C270" s="16"/>
      <c r="D270" s="16"/>
      <c r="E270" s="16"/>
      <c r="F270" s="16"/>
      <c r="G270" s="16"/>
    </row>
    <row r="271" spans="1:7" ht="15">
      <c r="A271" s="16"/>
      <c r="B271" s="16"/>
      <c r="C271" s="16"/>
      <c r="D271" s="16"/>
      <c r="E271" s="16"/>
      <c r="F271" s="16"/>
      <c r="G271" s="16"/>
    </row>
    <row r="272" spans="1:7" ht="15">
      <c r="A272" s="16"/>
      <c r="B272" s="16"/>
      <c r="C272" s="16"/>
      <c r="D272" s="16"/>
      <c r="E272" s="16"/>
      <c r="F272" s="16"/>
      <c r="G272" s="16"/>
    </row>
    <row r="273" spans="1:7" ht="15">
      <c r="A273" s="16"/>
      <c r="B273" s="16"/>
      <c r="C273" s="16"/>
      <c r="D273" s="16"/>
      <c r="E273" s="16"/>
      <c r="F273" s="16"/>
      <c r="G273" s="16"/>
    </row>
    <row r="274" spans="1:7" ht="15">
      <c r="A274" s="16"/>
      <c r="B274" s="16"/>
      <c r="C274" s="16"/>
      <c r="D274" s="16"/>
      <c r="E274" s="16"/>
      <c r="F274" s="16"/>
      <c r="G274" s="16"/>
    </row>
    <row r="275" spans="1:7" ht="15">
      <c r="A275" s="16"/>
      <c r="B275" s="16"/>
      <c r="C275" s="16"/>
      <c r="D275" s="16"/>
      <c r="E275" s="16"/>
      <c r="F275" s="16"/>
      <c r="G275" s="16"/>
    </row>
    <row r="276" spans="1:7" ht="15">
      <c r="A276" s="16"/>
      <c r="B276" s="16"/>
      <c r="C276" s="16"/>
      <c r="D276" s="16"/>
      <c r="E276" s="16"/>
      <c r="F276" s="16"/>
      <c r="G276" s="16"/>
    </row>
    <row r="277" spans="1:7" ht="15">
      <c r="A277" s="16"/>
      <c r="B277" s="16"/>
      <c r="C277" s="16"/>
      <c r="D277" s="16"/>
      <c r="E277" s="16"/>
      <c r="F277" s="16"/>
      <c r="G277" s="16"/>
    </row>
    <row r="278" spans="1:7" ht="15">
      <c r="A278" s="16"/>
      <c r="B278" s="16"/>
      <c r="C278" s="16"/>
      <c r="D278" s="16"/>
      <c r="E278" s="16"/>
      <c r="F278" s="16"/>
      <c r="G278" s="16"/>
    </row>
    <row r="279" spans="1:7" ht="15">
      <c r="A279" s="16"/>
      <c r="B279" s="16"/>
      <c r="C279" s="16"/>
      <c r="D279" s="16"/>
      <c r="E279" s="16"/>
      <c r="F279" s="16"/>
      <c r="G279" s="16"/>
    </row>
    <row r="280" spans="1:7" ht="15">
      <c r="A280" s="16"/>
      <c r="B280" s="16"/>
      <c r="C280" s="16"/>
      <c r="D280" s="16"/>
      <c r="E280" s="16"/>
      <c r="F280" s="16"/>
      <c r="G280" s="16"/>
    </row>
    <row r="281" spans="1:7" ht="15">
      <c r="A281" s="16"/>
      <c r="B281" s="16"/>
      <c r="C281" s="16"/>
      <c r="D281" s="16"/>
      <c r="E281" s="16"/>
      <c r="F281" s="16"/>
      <c r="G281" s="16"/>
    </row>
    <row r="282" spans="1:7" ht="15">
      <c r="A282" s="16"/>
      <c r="B282" s="16"/>
      <c r="C282" s="16"/>
      <c r="D282" s="16"/>
      <c r="E282" s="16"/>
      <c r="F282" s="16"/>
      <c r="G282" s="16"/>
    </row>
    <row r="283" spans="1:7" ht="15">
      <c r="A283" s="16"/>
      <c r="B283" s="16"/>
      <c r="C283" s="16"/>
      <c r="D283" s="16"/>
      <c r="E283" s="16"/>
      <c r="F283" s="16"/>
      <c r="G283" s="16"/>
    </row>
    <row r="284" spans="1:7" ht="15">
      <c r="A284" s="16"/>
      <c r="B284" s="16"/>
      <c r="C284" s="16"/>
      <c r="D284" s="16"/>
      <c r="E284" s="16"/>
      <c r="F284" s="16"/>
      <c r="G284" s="16"/>
    </row>
    <row r="285" spans="1:7" ht="15">
      <c r="A285" s="16"/>
      <c r="B285" s="16"/>
      <c r="C285" s="16"/>
      <c r="D285" s="16"/>
      <c r="E285" s="16"/>
      <c r="F285" s="16"/>
      <c r="G285" s="16"/>
    </row>
    <row r="286" spans="1:7" ht="15">
      <c r="A286" s="16"/>
      <c r="B286" s="16"/>
      <c r="C286" s="16"/>
      <c r="D286" s="16"/>
      <c r="E286" s="16"/>
      <c r="F286" s="16"/>
      <c r="G286" s="16"/>
    </row>
    <row r="287" spans="1:7" ht="15">
      <c r="A287" s="16"/>
      <c r="B287" s="16"/>
      <c r="C287" s="16"/>
      <c r="D287" s="16"/>
      <c r="E287" s="16"/>
      <c r="F287" s="16"/>
      <c r="G287" s="16"/>
    </row>
    <row r="288" spans="1:7" ht="15">
      <c r="A288" s="16"/>
      <c r="B288" s="16"/>
      <c r="C288" s="16"/>
      <c r="D288" s="16"/>
      <c r="E288" s="16"/>
      <c r="F288" s="16"/>
      <c r="G288" s="16"/>
    </row>
    <row r="289" spans="1:7" ht="15">
      <c r="A289" s="16"/>
      <c r="B289" s="16"/>
      <c r="C289" s="16"/>
      <c r="D289" s="16"/>
      <c r="E289" s="16"/>
      <c r="F289" s="16"/>
      <c r="G289" s="16"/>
    </row>
    <row r="290" spans="1:7" ht="15">
      <c r="A290" s="16"/>
      <c r="B290" s="16"/>
      <c r="C290" s="16"/>
      <c r="D290" s="16"/>
      <c r="E290" s="16"/>
      <c r="F290" s="16"/>
      <c r="G290" s="16"/>
    </row>
    <row r="291" spans="1:7" ht="15">
      <c r="A291" s="16"/>
      <c r="B291" s="16"/>
      <c r="C291" s="16"/>
      <c r="D291" s="16"/>
      <c r="E291" s="16"/>
      <c r="F291" s="16"/>
      <c r="G291" s="16"/>
    </row>
    <row r="292" spans="1:7" ht="15">
      <c r="A292" s="16"/>
      <c r="B292" s="16"/>
      <c r="C292" s="16"/>
      <c r="D292" s="16"/>
      <c r="E292" s="16"/>
      <c r="F292" s="16"/>
      <c r="G292" s="16"/>
    </row>
    <row r="293" spans="1:7" ht="15">
      <c r="A293" s="16"/>
      <c r="B293" s="16"/>
      <c r="C293" s="16"/>
      <c r="D293" s="16"/>
      <c r="E293" s="16"/>
      <c r="F293" s="16"/>
      <c r="G293" s="16"/>
    </row>
    <row r="294" spans="1:7" ht="15">
      <c r="A294" s="16"/>
      <c r="B294" s="16"/>
      <c r="C294" s="16"/>
      <c r="D294" s="16"/>
      <c r="E294" s="16"/>
      <c r="F294" s="16"/>
      <c r="G294" s="16"/>
    </row>
    <row r="295" spans="1:7" ht="15">
      <c r="A295" s="16"/>
      <c r="B295" s="16"/>
      <c r="C295" s="16"/>
      <c r="D295" s="16"/>
      <c r="E295" s="16"/>
      <c r="F295" s="16"/>
      <c r="G295" s="16"/>
    </row>
    <row r="296" spans="1:7" ht="15">
      <c r="A296" s="16"/>
      <c r="B296" s="16"/>
      <c r="C296" s="16"/>
      <c r="D296" s="16"/>
      <c r="E296" s="16"/>
      <c r="F296" s="16"/>
      <c r="G296" s="16"/>
    </row>
    <row r="297" spans="1:7" ht="15">
      <c r="A297" s="16"/>
      <c r="B297" s="16"/>
      <c r="C297" s="16"/>
      <c r="D297" s="16"/>
      <c r="E297" s="16"/>
      <c r="F297" s="16"/>
      <c r="G297" s="16"/>
    </row>
    <row r="298" spans="1:7" ht="15">
      <c r="A298" s="16"/>
      <c r="B298" s="16"/>
      <c r="C298" s="16"/>
      <c r="D298" s="16"/>
      <c r="E298" s="16"/>
      <c r="F298" s="16"/>
      <c r="G298" s="16"/>
    </row>
    <row r="299" spans="1:7" ht="15">
      <c r="A299" s="16"/>
      <c r="B299" s="16"/>
      <c r="C299" s="16"/>
      <c r="D299" s="16"/>
      <c r="E299" s="16"/>
      <c r="F299" s="16"/>
      <c r="G299" s="16"/>
    </row>
    <row r="300" spans="1:7" ht="15">
      <c r="A300" s="16"/>
      <c r="B300" s="16"/>
      <c r="C300" s="16"/>
      <c r="D300" s="16"/>
      <c r="E300" s="16"/>
      <c r="F300" s="16"/>
      <c r="G300" s="16"/>
    </row>
    <row r="301" spans="1:7" ht="15">
      <c r="A301" s="16"/>
      <c r="B301" s="16"/>
      <c r="C301" s="16"/>
      <c r="D301" s="16"/>
      <c r="E301" s="16"/>
      <c r="F301" s="16"/>
      <c r="G301" s="16"/>
    </row>
    <row r="302" spans="1:7" ht="15">
      <c r="A302" s="16"/>
      <c r="B302" s="16"/>
      <c r="C302" s="16"/>
      <c r="D302" s="16"/>
      <c r="E302" s="16"/>
      <c r="F302" s="16"/>
      <c r="G302" s="16"/>
    </row>
    <row r="303" spans="1:7" ht="15">
      <c r="A303" s="16"/>
      <c r="B303" s="16"/>
      <c r="C303" s="16"/>
      <c r="D303" s="16"/>
      <c r="E303" s="16"/>
      <c r="F303" s="16"/>
      <c r="G303" s="16"/>
    </row>
    <row r="304" spans="1:7" ht="15">
      <c r="A304" s="16"/>
      <c r="B304" s="16"/>
      <c r="C304" s="16"/>
      <c r="D304" s="16"/>
      <c r="E304" s="16"/>
      <c r="F304" s="16"/>
      <c r="G304" s="16"/>
    </row>
    <row r="305" spans="1:7" ht="15">
      <c r="A305" s="16"/>
      <c r="B305" s="16"/>
      <c r="C305" s="16"/>
      <c r="D305" s="16"/>
      <c r="E305" s="16"/>
      <c r="F305" s="16"/>
      <c r="G305" s="16"/>
    </row>
    <row r="306" spans="1:7" ht="15">
      <c r="A306" s="16"/>
      <c r="B306" s="16"/>
      <c r="C306" s="16"/>
      <c r="D306" s="16"/>
      <c r="E306" s="16"/>
      <c r="F306" s="16"/>
      <c r="G306" s="16"/>
    </row>
    <row r="307" spans="1:7" ht="15">
      <c r="A307" s="16"/>
      <c r="B307" s="16"/>
      <c r="C307" s="16"/>
      <c r="D307" s="16"/>
      <c r="E307" s="16"/>
      <c r="F307" s="16"/>
      <c r="G307" s="16"/>
    </row>
    <row r="308" spans="1:7" ht="15">
      <c r="A308" s="16"/>
      <c r="B308" s="16"/>
      <c r="C308" s="16"/>
      <c r="D308" s="16"/>
      <c r="E308" s="16"/>
      <c r="F308" s="16"/>
      <c r="G308" s="16"/>
    </row>
    <row r="309" spans="1:7" ht="15">
      <c r="A309" s="16"/>
      <c r="B309" s="16"/>
      <c r="C309" s="16"/>
      <c r="D309" s="16"/>
      <c r="E309" s="16"/>
      <c r="F309" s="16"/>
      <c r="G309" s="16"/>
    </row>
    <row r="310" spans="1:7" ht="15">
      <c r="A310" s="16"/>
      <c r="B310" s="16"/>
      <c r="C310" s="16"/>
      <c r="D310" s="16"/>
      <c r="E310" s="16"/>
      <c r="F310" s="16"/>
      <c r="G310" s="16"/>
    </row>
    <row r="311" spans="1:7" ht="15">
      <c r="A311" s="16"/>
      <c r="B311" s="16"/>
      <c r="C311" s="16"/>
      <c r="D311" s="16"/>
      <c r="E311" s="16"/>
      <c r="F311" s="16"/>
      <c r="G311" s="16"/>
    </row>
    <row r="312" spans="1:7" ht="15">
      <c r="A312" s="16"/>
      <c r="B312" s="16"/>
      <c r="C312" s="16"/>
      <c r="D312" s="16"/>
      <c r="E312" s="16"/>
      <c r="F312" s="16"/>
      <c r="G312" s="16"/>
    </row>
    <row r="313" spans="1:7" ht="15">
      <c r="A313" s="16"/>
      <c r="B313" s="16"/>
      <c r="C313" s="16"/>
      <c r="D313" s="16"/>
      <c r="E313" s="16"/>
      <c r="F313" s="16"/>
      <c r="G313" s="16"/>
    </row>
    <row r="314" spans="1:7" ht="15">
      <c r="A314" s="16"/>
      <c r="B314" s="16"/>
      <c r="C314" s="16"/>
      <c r="D314" s="16"/>
      <c r="E314" s="16"/>
      <c r="F314" s="16"/>
      <c r="G314" s="16"/>
    </row>
    <row r="315" spans="1:7" ht="15">
      <c r="A315" s="16"/>
      <c r="B315" s="16"/>
      <c r="C315" s="16"/>
      <c r="D315" s="16"/>
      <c r="E315" s="16"/>
      <c r="F315" s="16"/>
      <c r="G315" s="16"/>
    </row>
    <row r="316" spans="1:7" ht="15">
      <c r="A316" s="16"/>
      <c r="B316" s="16"/>
      <c r="C316" s="16"/>
      <c r="D316" s="16"/>
      <c r="E316" s="16"/>
      <c r="F316" s="16"/>
      <c r="G316" s="16"/>
    </row>
    <row r="317" spans="1:7" ht="15">
      <c r="A317" s="16"/>
      <c r="B317" s="16"/>
      <c r="C317" s="16"/>
      <c r="D317" s="16"/>
      <c r="E317" s="16"/>
      <c r="F317" s="16"/>
      <c r="G317" s="16"/>
    </row>
    <row r="318" spans="1:7" ht="15">
      <c r="A318" s="16"/>
      <c r="B318" s="16"/>
      <c r="C318" s="16"/>
      <c r="D318" s="16"/>
      <c r="E318" s="16"/>
      <c r="F318" s="16"/>
      <c r="G318" s="16"/>
    </row>
    <row r="319" spans="1:7" ht="15">
      <c r="A319" s="16"/>
      <c r="B319" s="16"/>
      <c r="C319" s="16"/>
      <c r="D319" s="16"/>
      <c r="E319" s="16"/>
      <c r="F319" s="16"/>
      <c r="G319" s="16"/>
    </row>
    <row r="320" spans="1:7" ht="15">
      <c r="A320" s="16"/>
      <c r="B320" s="16"/>
      <c r="C320" s="16"/>
      <c r="D320" s="16"/>
      <c r="E320" s="16"/>
      <c r="F320" s="16"/>
      <c r="G320" s="16"/>
    </row>
    <row r="321" spans="1:7" ht="15">
      <c r="A321" s="16"/>
      <c r="B321" s="16"/>
      <c r="C321" s="16"/>
      <c r="D321" s="16"/>
      <c r="E321" s="16"/>
      <c r="F321" s="16"/>
      <c r="G321" s="16"/>
    </row>
    <row r="322" spans="1:7" ht="15">
      <c r="A322" s="16"/>
      <c r="B322" s="16"/>
      <c r="C322" s="16"/>
      <c r="D322" s="16"/>
      <c r="E322" s="16"/>
      <c r="F322" s="16"/>
      <c r="G322" s="16"/>
    </row>
    <row r="323" spans="1:7" ht="15">
      <c r="A323" s="16"/>
      <c r="B323" s="16"/>
      <c r="C323" s="16"/>
      <c r="D323" s="16"/>
      <c r="E323" s="16"/>
      <c r="F323" s="16"/>
      <c r="G323" s="16"/>
    </row>
    <row r="324" spans="1:7" ht="15">
      <c r="A324" s="16"/>
      <c r="B324" s="16"/>
      <c r="C324" s="16"/>
      <c r="D324" s="16"/>
      <c r="E324" s="16"/>
      <c r="F324" s="16"/>
      <c r="G324" s="16"/>
    </row>
    <row r="325" spans="1:7" ht="15">
      <c r="A325" s="16"/>
      <c r="B325" s="16"/>
      <c r="C325" s="16"/>
      <c r="D325" s="16"/>
      <c r="E325" s="16"/>
      <c r="F325" s="16"/>
      <c r="G325" s="16"/>
    </row>
    <row r="326" spans="1:7" ht="15">
      <c r="A326" s="16"/>
      <c r="B326" s="16"/>
      <c r="C326" s="16"/>
      <c r="D326" s="16"/>
      <c r="E326" s="16"/>
      <c r="F326" s="16"/>
      <c r="G326" s="16"/>
    </row>
    <row r="327" spans="1:7" ht="15">
      <c r="A327" s="16"/>
      <c r="B327" s="16"/>
      <c r="C327" s="16"/>
      <c r="D327" s="16"/>
      <c r="E327" s="16"/>
      <c r="F327" s="16"/>
      <c r="G327" s="16"/>
    </row>
    <row r="328" spans="1:7" ht="15">
      <c r="A328" s="16"/>
      <c r="B328" s="16"/>
      <c r="C328" s="16"/>
      <c r="D328" s="16"/>
      <c r="E328" s="16"/>
      <c r="F328" s="16"/>
      <c r="G328" s="16"/>
    </row>
    <row r="329" spans="1:7" ht="15">
      <c r="A329" s="16"/>
      <c r="B329" s="16"/>
      <c r="C329" s="16"/>
      <c r="D329" s="16"/>
      <c r="E329" s="16"/>
      <c r="F329" s="16"/>
      <c r="G329" s="16"/>
    </row>
    <row r="330" spans="1:7" ht="15">
      <c r="A330" s="16"/>
      <c r="B330" s="16"/>
      <c r="C330" s="16"/>
      <c r="D330" s="16"/>
      <c r="E330" s="16"/>
      <c r="F330" s="16"/>
      <c r="G330" s="16"/>
    </row>
    <row r="331" spans="1:7" ht="15">
      <c r="A331" s="16"/>
      <c r="B331" s="16"/>
      <c r="C331" s="16"/>
      <c r="D331" s="16"/>
      <c r="E331" s="16"/>
      <c r="F331" s="16"/>
      <c r="G331" s="16"/>
    </row>
    <row r="332" spans="1:7" ht="15">
      <c r="A332" s="16"/>
      <c r="B332" s="16"/>
      <c r="C332" s="16"/>
      <c r="D332" s="16"/>
      <c r="E332" s="16"/>
      <c r="F332" s="16"/>
      <c r="G332" s="16"/>
    </row>
    <row r="333" spans="1:7" ht="15">
      <c r="A333" s="16"/>
      <c r="B333" s="16"/>
      <c r="C333" s="16"/>
      <c r="D333" s="16"/>
      <c r="E333" s="16"/>
      <c r="F333" s="16"/>
      <c r="G333" s="16"/>
    </row>
    <row r="334" spans="1:7" ht="15">
      <c r="A334" s="16"/>
      <c r="B334" s="16"/>
      <c r="C334" s="16"/>
      <c r="D334" s="16"/>
      <c r="E334" s="16"/>
      <c r="F334" s="16"/>
      <c r="G334" s="16"/>
    </row>
    <row r="335" spans="1:7" ht="15">
      <c r="A335" s="16"/>
      <c r="B335" s="16"/>
      <c r="C335" s="16"/>
      <c r="D335" s="16"/>
      <c r="E335" s="16"/>
      <c r="F335" s="16"/>
      <c r="G335" s="16"/>
    </row>
    <row r="336" spans="1:7" ht="15">
      <c r="A336" s="16"/>
      <c r="B336" s="16"/>
      <c r="C336" s="16"/>
      <c r="D336" s="16"/>
      <c r="E336" s="16"/>
      <c r="F336" s="16"/>
      <c r="G336" s="16"/>
    </row>
    <row r="337" spans="1:7" ht="15">
      <c r="A337" s="16"/>
      <c r="B337" s="16"/>
      <c r="C337" s="16"/>
      <c r="D337" s="16"/>
      <c r="E337" s="16"/>
      <c r="F337" s="16"/>
      <c r="G337" s="16"/>
    </row>
    <row r="338" spans="1:7" ht="15">
      <c r="A338" s="16"/>
      <c r="B338" s="16"/>
      <c r="C338" s="16"/>
      <c r="D338" s="16"/>
      <c r="E338" s="16"/>
      <c r="F338" s="16"/>
      <c r="G338" s="16"/>
    </row>
    <row r="339" spans="1:7" ht="15">
      <c r="A339" s="16"/>
      <c r="B339" s="16"/>
      <c r="C339" s="16"/>
      <c r="D339" s="16"/>
      <c r="E339" s="16"/>
      <c r="F339" s="16"/>
      <c r="G339" s="16"/>
    </row>
    <row r="340" spans="1:7" ht="15">
      <c r="A340" s="16"/>
      <c r="B340" s="16"/>
      <c r="C340" s="16"/>
      <c r="D340" s="16"/>
      <c r="E340" s="16"/>
      <c r="F340" s="16"/>
      <c r="G340" s="16"/>
    </row>
    <row r="341" spans="1:7" ht="15">
      <c r="A341" s="16"/>
      <c r="B341" s="16"/>
      <c r="C341" s="16"/>
      <c r="D341" s="16"/>
      <c r="E341" s="16"/>
      <c r="F341" s="16"/>
      <c r="G341" s="16"/>
    </row>
    <row r="342" spans="1:7" ht="15">
      <c r="A342" s="16"/>
      <c r="B342" s="16"/>
      <c r="C342" s="16"/>
      <c r="D342" s="16"/>
      <c r="E342" s="16"/>
      <c r="F342" s="16"/>
      <c r="G342" s="16"/>
    </row>
    <row r="343" spans="1:7" ht="15">
      <c r="A343" s="16"/>
      <c r="B343" s="16"/>
      <c r="C343" s="16"/>
      <c r="D343" s="16"/>
      <c r="E343" s="16"/>
      <c r="F343" s="16"/>
      <c r="G343" s="16"/>
    </row>
    <row r="344" spans="1:7" ht="15">
      <c r="A344" s="16"/>
      <c r="B344" s="16"/>
      <c r="C344" s="16"/>
      <c r="D344" s="16"/>
      <c r="E344" s="16"/>
      <c r="F344" s="16"/>
      <c r="G344" s="16"/>
    </row>
    <row r="345" spans="1:7" ht="15">
      <c r="A345" s="16"/>
      <c r="B345" s="16"/>
      <c r="C345" s="16"/>
      <c r="D345" s="16"/>
      <c r="E345" s="16"/>
      <c r="F345" s="16"/>
      <c r="G345" s="16"/>
    </row>
    <row r="346" spans="1:7" ht="15">
      <c r="A346" s="16"/>
      <c r="B346" s="16"/>
      <c r="C346" s="16"/>
      <c r="D346" s="16"/>
      <c r="E346" s="16"/>
      <c r="F346" s="16"/>
      <c r="G346" s="16"/>
    </row>
    <row r="347" spans="1:7" ht="15">
      <c r="A347" s="16"/>
      <c r="B347" s="16"/>
      <c r="C347" s="16"/>
      <c r="D347" s="16"/>
      <c r="E347" s="16"/>
      <c r="F347" s="16"/>
      <c r="G347" s="16"/>
    </row>
    <row r="348" spans="1:7" ht="15">
      <c r="A348" s="16"/>
      <c r="B348" s="16"/>
      <c r="C348" s="16"/>
      <c r="D348" s="16"/>
      <c r="E348" s="16"/>
      <c r="F348" s="16"/>
      <c r="G348" s="16"/>
    </row>
    <row r="349" spans="1:7" ht="15">
      <c r="A349" s="16"/>
      <c r="B349" s="16"/>
      <c r="C349" s="16"/>
      <c r="D349" s="16"/>
      <c r="E349" s="16"/>
      <c r="F349" s="16"/>
      <c r="G349" s="16"/>
    </row>
    <row r="350" spans="1:7" ht="15">
      <c r="A350" s="16"/>
      <c r="B350" s="16"/>
      <c r="C350" s="16"/>
      <c r="D350" s="16"/>
      <c r="E350" s="16"/>
      <c r="F350" s="16"/>
      <c r="G350" s="16"/>
    </row>
    <row r="351" spans="1:7" ht="15">
      <c r="A351" s="16"/>
      <c r="B351" s="16"/>
      <c r="C351" s="16"/>
      <c r="D351" s="16"/>
      <c r="E351" s="16"/>
      <c r="F351" s="16"/>
      <c r="G351" s="16"/>
    </row>
    <row r="352" spans="1:7" ht="15">
      <c r="A352" s="16"/>
      <c r="B352" s="16"/>
      <c r="C352" s="16"/>
      <c r="D352" s="16"/>
      <c r="E352" s="16"/>
      <c r="F352" s="16"/>
      <c r="G352" s="16"/>
    </row>
    <row r="353" spans="1:7" ht="15">
      <c r="A353" s="16"/>
      <c r="B353" s="16"/>
      <c r="C353" s="16"/>
      <c r="D353" s="16"/>
      <c r="E353" s="16"/>
      <c r="F353" s="16"/>
      <c r="G353" s="16"/>
    </row>
    <row r="354" spans="1:7" ht="15">
      <c r="A354" s="16"/>
      <c r="B354" s="16"/>
      <c r="C354" s="16"/>
      <c r="D354" s="16"/>
      <c r="E354" s="16"/>
      <c r="F354" s="16"/>
      <c r="G354" s="16"/>
    </row>
    <row r="355" spans="1:7" ht="15">
      <c r="A355" s="16"/>
      <c r="B355" s="16"/>
      <c r="C355" s="16"/>
      <c r="D355" s="16"/>
      <c r="E355" s="16"/>
      <c r="F355" s="16"/>
      <c r="G355" s="16"/>
    </row>
    <row r="356" spans="1:7" ht="15">
      <c r="A356" s="16"/>
      <c r="B356" s="16"/>
      <c r="C356" s="16"/>
      <c r="D356" s="16"/>
      <c r="E356" s="16"/>
      <c r="F356" s="16"/>
      <c r="G356" s="16"/>
    </row>
    <row r="357" spans="1:7" ht="15">
      <c r="A357" s="16"/>
      <c r="B357" s="16"/>
      <c r="C357" s="16"/>
      <c r="D357" s="16"/>
      <c r="E357" s="16"/>
      <c r="F357" s="16"/>
      <c r="G357" s="16"/>
    </row>
    <row r="358" spans="1:7" ht="15">
      <c r="A358" s="16"/>
      <c r="B358" s="16"/>
      <c r="C358" s="16"/>
      <c r="D358" s="16"/>
      <c r="E358" s="16"/>
      <c r="F358" s="16"/>
      <c r="G358" s="16"/>
    </row>
    <row r="359" spans="1:7" ht="15">
      <c r="A359" s="16"/>
      <c r="B359" s="16"/>
      <c r="C359" s="16"/>
      <c r="D359" s="16"/>
      <c r="E359" s="16"/>
      <c r="F359" s="16"/>
      <c r="G359" s="16"/>
    </row>
    <row r="360" spans="1:7" ht="15">
      <c r="A360" s="16"/>
      <c r="B360" s="16"/>
      <c r="C360" s="16"/>
      <c r="D360" s="16"/>
      <c r="E360" s="16"/>
      <c r="F360" s="16"/>
      <c r="G360" s="16"/>
    </row>
    <row r="361" spans="1:7" ht="15">
      <c r="A361" s="16"/>
      <c r="B361" s="16"/>
      <c r="C361" s="16"/>
      <c r="D361" s="16"/>
      <c r="E361" s="16"/>
      <c r="F361" s="16"/>
      <c r="G361" s="16"/>
    </row>
    <row r="362" spans="1:7" ht="15">
      <c r="A362" s="16"/>
      <c r="B362" s="16"/>
      <c r="C362" s="16"/>
      <c r="D362" s="16"/>
      <c r="E362" s="16"/>
      <c r="F362" s="16"/>
      <c r="G362" s="16"/>
    </row>
    <row r="363" spans="1:7" ht="15">
      <c r="A363" s="16"/>
      <c r="B363" s="16"/>
      <c r="C363" s="16"/>
      <c r="D363" s="16"/>
      <c r="E363" s="16"/>
      <c r="F363" s="16"/>
      <c r="G363" s="16"/>
    </row>
    <row r="364" spans="1:7" ht="15">
      <c r="A364" s="16"/>
      <c r="B364" s="16"/>
      <c r="C364" s="16"/>
      <c r="D364" s="16"/>
      <c r="E364" s="16"/>
      <c r="F364" s="16"/>
      <c r="G364" s="16"/>
    </row>
    <row r="365" spans="1:7" ht="15">
      <c r="A365" s="16"/>
      <c r="B365" s="16"/>
      <c r="C365" s="16"/>
      <c r="D365" s="16"/>
      <c r="E365" s="16"/>
      <c r="F365" s="16"/>
      <c r="G365" s="16"/>
    </row>
    <row r="366" spans="1:7" ht="15">
      <c r="A366" s="16"/>
      <c r="B366" s="16"/>
      <c r="C366" s="16"/>
      <c r="D366" s="16"/>
      <c r="E366" s="16"/>
      <c r="F366" s="16"/>
      <c r="G366" s="16"/>
    </row>
    <row r="367" spans="1:7" ht="15">
      <c r="A367" s="16"/>
      <c r="B367" s="16"/>
      <c r="C367" s="16"/>
      <c r="D367" s="16"/>
      <c r="E367" s="16"/>
      <c r="F367" s="16"/>
      <c r="G367" s="16"/>
    </row>
    <row r="368" spans="1:7" ht="15">
      <c r="A368" s="16"/>
      <c r="B368" s="16"/>
      <c r="C368" s="16"/>
      <c r="D368" s="16"/>
      <c r="E368" s="16"/>
      <c r="F368" s="16"/>
      <c r="G368" s="16"/>
    </row>
    <row r="369" spans="1:7" ht="15">
      <c r="A369" s="16"/>
      <c r="B369" s="16"/>
      <c r="C369" s="16"/>
      <c r="D369" s="16"/>
      <c r="E369" s="16"/>
      <c r="F369" s="16"/>
      <c r="G369" s="16"/>
    </row>
    <row r="370" spans="1:7" ht="15">
      <c r="A370" s="16"/>
      <c r="B370" s="16"/>
      <c r="C370" s="16"/>
      <c r="D370" s="16"/>
      <c r="E370" s="16"/>
      <c r="F370" s="16"/>
      <c r="G370" s="16"/>
    </row>
    <row r="371" spans="1:7" ht="15">
      <c r="A371" s="16"/>
      <c r="B371" s="16"/>
      <c r="C371" s="16"/>
      <c r="D371" s="16"/>
      <c r="E371" s="16"/>
      <c r="F371" s="16"/>
      <c r="G371" s="16"/>
    </row>
    <row r="372" spans="1:7" ht="15">
      <c r="A372" s="16"/>
      <c r="B372" s="16"/>
      <c r="C372" s="16"/>
      <c r="D372" s="16"/>
      <c r="E372" s="16"/>
      <c r="F372" s="16"/>
      <c r="G372" s="16"/>
    </row>
    <row r="373" spans="1:7" ht="15">
      <c r="A373" s="16"/>
      <c r="B373" s="16"/>
      <c r="C373" s="16"/>
      <c r="D373" s="16"/>
      <c r="E373" s="16"/>
      <c r="F373" s="16"/>
      <c r="G373" s="16"/>
    </row>
    <row r="374" spans="1:7" ht="15">
      <c r="A374" s="16"/>
      <c r="B374" s="16"/>
      <c r="C374" s="16"/>
      <c r="D374" s="16"/>
      <c r="E374" s="16"/>
      <c r="F374" s="16"/>
      <c r="G374" s="16"/>
    </row>
    <row r="375" spans="1:7" ht="15">
      <c r="A375" s="16"/>
      <c r="B375" s="16"/>
      <c r="C375" s="16"/>
      <c r="D375" s="16"/>
      <c r="E375" s="16"/>
      <c r="F375" s="16"/>
      <c r="G375" s="16"/>
    </row>
    <row r="376" spans="1:7" ht="15">
      <c r="A376" s="16"/>
      <c r="B376" s="16"/>
      <c r="C376" s="16"/>
      <c r="D376" s="16"/>
      <c r="E376" s="16"/>
      <c r="F376" s="16"/>
      <c r="G376" s="16"/>
    </row>
    <row r="377" spans="1:7" ht="15">
      <c r="A377" s="16"/>
      <c r="B377" s="16"/>
      <c r="C377" s="16"/>
      <c r="D377" s="16"/>
      <c r="E377" s="16"/>
      <c r="F377" s="16"/>
      <c r="G377" s="16"/>
    </row>
    <row r="378" spans="1:7" ht="15">
      <c r="A378" s="16"/>
      <c r="B378" s="16"/>
      <c r="C378" s="16"/>
      <c r="D378" s="16"/>
      <c r="E378" s="16"/>
      <c r="F378" s="16"/>
      <c r="G378" s="16"/>
    </row>
    <row r="379" spans="1:7" ht="15">
      <c r="A379" s="16"/>
      <c r="B379" s="16"/>
      <c r="C379" s="16"/>
      <c r="D379" s="16"/>
      <c r="E379" s="16"/>
      <c r="F379" s="16"/>
      <c r="G379" s="16"/>
    </row>
    <row r="380" spans="1:7" ht="15">
      <c r="A380" s="16"/>
      <c r="B380" s="16"/>
      <c r="C380" s="16"/>
      <c r="D380" s="16"/>
      <c r="E380" s="16"/>
      <c r="F380" s="16"/>
      <c r="G380" s="16"/>
    </row>
    <row r="381" spans="1:7" ht="15">
      <c r="A381" s="16"/>
      <c r="B381" s="16"/>
      <c r="C381" s="16"/>
      <c r="D381" s="16"/>
      <c r="E381" s="16"/>
      <c r="F381" s="16"/>
      <c r="G381" s="16"/>
    </row>
    <row r="382" spans="1:7" ht="15">
      <c r="A382" s="16"/>
      <c r="B382" s="16"/>
      <c r="C382" s="16"/>
      <c r="D382" s="16"/>
      <c r="E382" s="16"/>
      <c r="F382" s="16"/>
      <c r="G382" s="16"/>
    </row>
    <row r="383" spans="1:7" ht="15">
      <c r="A383" s="16"/>
      <c r="B383" s="16"/>
      <c r="C383" s="16"/>
      <c r="D383" s="16"/>
      <c r="E383" s="16"/>
      <c r="F383" s="16"/>
      <c r="G383" s="16"/>
    </row>
    <row r="384" spans="1:7" ht="15">
      <c r="A384" s="16"/>
      <c r="B384" s="16"/>
      <c r="C384" s="16"/>
      <c r="D384" s="16"/>
      <c r="E384" s="16"/>
      <c r="F384" s="16"/>
      <c r="G384" s="16"/>
    </row>
    <row r="385" spans="1:7" ht="15">
      <c r="A385" s="16"/>
      <c r="B385" s="16"/>
      <c r="C385" s="16"/>
      <c r="D385" s="16"/>
      <c r="E385" s="16"/>
      <c r="F385" s="16"/>
      <c r="G385" s="16"/>
    </row>
    <row r="386" spans="1:7" ht="15">
      <c r="A386" s="16"/>
      <c r="B386" s="16"/>
      <c r="C386" s="16"/>
      <c r="D386" s="16"/>
      <c r="E386" s="16"/>
      <c r="F386" s="16"/>
      <c r="G386" s="16"/>
    </row>
    <row r="387" spans="1:7" ht="15">
      <c r="A387" s="16"/>
      <c r="B387" s="16"/>
      <c r="C387" s="16"/>
      <c r="D387" s="16"/>
      <c r="E387" s="16"/>
      <c r="F387" s="16"/>
      <c r="G387" s="16"/>
    </row>
    <row r="388" spans="1:7" ht="15">
      <c r="A388" s="16"/>
      <c r="B388" s="16"/>
      <c r="C388" s="16"/>
      <c r="D388" s="16"/>
      <c r="E388" s="16"/>
      <c r="F388" s="16"/>
      <c r="G388" s="16"/>
    </row>
    <row r="389" spans="1:7" ht="15">
      <c r="A389" s="16"/>
      <c r="B389" s="16"/>
      <c r="C389" s="16"/>
      <c r="D389" s="16"/>
      <c r="E389" s="16"/>
      <c r="F389" s="16"/>
      <c r="G389" s="16"/>
    </row>
    <row r="390" spans="1:7" ht="15">
      <c r="A390" s="16"/>
      <c r="B390" s="16"/>
      <c r="C390" s="16"/>
      <c r="D390" s="16"/>
      <c r="E390" s="16"/>
      <c r="F390" s="16"/>
      <c r="G390" s="16"/>
    </row>
    <row r="391" spans="1:7" ht="15">
      <c r="A391" s="16"/>
      <c r="B391" s="16"/>
      <c r="C391" s="16"/>
      <c r="D391" s="16"/>
      <c r="E391" s="16"/>
      <c r="F391" s="16"/>
      <c r="G391" s="16"/>
    </row>
    <row r="392" spans="1:7" ht="15">
      <c r="A392" s="16"/>
      <c r="B392" s="16"/>
      <c r="C392" s="16"/>
      <c r="D392" s="16"/>
      <c r="E392" s="16"/>
      <c r="F392" s="16"/>
      <c r="G392" s="16"/>
    </row>
    <row r="393" spans="1:7" ht="15">
      <c r="A393" s="16"/>
      <c r="B393" s="16"/>
      <c r="C393" s="16"/>
      <c r="D393" s="16"/>
      <c r="E393" s="16"/>
      <c r="F393" s="16"/>
      <c r="G393" s="16"/>
    </row>
    <row r="394" spans="1:7" ht="15">
      <c r="A394" s="16"/>
      <c r="B394" s="16"/>
      <c r="C394" s="16"/>
      <c r="D394" s="16"/>
      <c r="E394" s="16"/>
      <c r="F394" s="16"/>
      <c r="G394" s="16"/>
    </row>
    <row r="395" spans="1:7" ht="15">
      <c r="A395" s="16"/>
      <c r="B395" s="16"/>
      <c r="C395" s="16"/>
      <c r="D395" s="16"/>
      <c r="E395" s="16"/>
      <c r="F395" s="16"/>
      <c r="G395" s="16"/>
    </row>
    <row r="396" spans="1:7" ht="15">
      <c r="A396" s="16"/>
      <c r="B396" s="16"/>
      <c r="C396" s="16"/>
      <c r="D396" s="16"/>
      <c r="E396" s="16"/>
      <c r="F396" s="16"/>
      <c r="G396" s="16"/>
    </row>
    <row r="397" spans="1:7" ht="15">
      <c r="A397" s="16"/>
      <c r="B397" s="16"/>
      <c r="C397" s="16"/>
      <c r="D397" s="16"/>
      <c r="E397" s="16"/>
      <c r="F397" s="16"/>
      <c r="G397" s="16"/>
    </row>
    <row r="398" spans="1:7" ht="15">
      <c r="A398" s="16"/>
      <c r="B398" s="16"/>
      <c r="C398" s="16"/>
      <c r="D398" s="16"/>
      <c r="E398" s="16"/>
      <c r="F398" s="16"/>
      <c r="G398" s="16"/>
    </row>
    <row r="399" spans="1:7" ht="15">
      <c r="A399" s="16"/>
      <c r="B399" s="16"/>
      <c r="C399" s="16"/>
      <c r="D399" s="16"/>
      <c r="E399" s="16"/>
      <c r="F399" s="16"/>
      <c r="G399" s="16"/>
    </row>
    <row r="400" spans="1:7" ht="15">
      <c r="A400" s="16"/>
      <c r="B400" s="16"/>
      <c r="C400" s="16"/>
      <c r="D400" s="16"/>
      <c r="E400" s="16"/>
      <c r="F400" s="16"/>
      <c r="G400" s="16"/>
    </row>
    <row r="401" spans="1:7" ht="15">
      <c r="A401" s="16"/>
      <c r="B401" s="16"/>
      <c r="C401" s="16"/>
      <c r="D401" s="16"/>
      <c r="E401" s="16"/>
      <c r="F401" s="16"/>
      <c r="G401" s="16"/>
    </row>
    <row r="402" spans="1:7" ht="15">
      <c r="A402" s="16"/>
      <c r="B402" s="16"/>
      <c r="C402" s="16"/>
      <c r="D402" s="16"/>
      <c r="E402" s="16"/>
      <c r="F402" s="16"/>
      <c r="G402" s="16"/>
    </row>
    <row r="403" spans="1:7" ht="15">
      <c r="A403" s="16"/>
      <c r="B403" s="16"/>
      <c r="C403" s="16"/>
      <c r="D403" s="16"/>
      <c r="E403" s="16"/>
      <c r="F403" s="16"/>
      <c r="G403" s="16"/>
    </row>
  </sheetData>
  <mergeCells count="23">
    <mergeCell ref="S5:S6"/>
    <mergeCell ref="R5:R7"/>
    <mergeCell ref="Q9:V9"/>
    <mergeCell ref="Q8:V8"/>
    <mergeCell ref="AC5:AC7"/>
    <mergeCell ref="AB5:AB7"/>
    <mergeCell ref="X5:AA7"/>
    <mergeCell ref="B2:K2"/>
    <mergeCell ref="M2:V2"/>
    <mergeCell ref="B4:G4"/>
    <mergeCell ref="M4:Q4"/>
    <mergeCell ref="X4:AB4"/>
    <mergeCell ref="B5:F7"/>
    <mergeCell ref="G5:G7"/>
    <mergeCell ref="H5:H7"/>
    <mergeCell ref="M5:P7"/>
    <mergeCell ref="Q5:Q7"/>
    <mergeCell ref="AD5:AD7"/>
    <mergeCell ref="AB31:AG31"/>
    <mergeCell ref="AB36:AG36"/>
    <mergeCell ref="AB42:AG42"/>
    <mergeCell ref="AB11:AG11"/>
    <mergeCell ref="AB9:AG9"/>
  </mergeCells>
  <printOptions/>
  <pageMargins left="0.7" right="0.7" top="0.75" bottom="0.75" header="0.3" footer="0.3"/>
  <pageSetup horizontalDpi="300" verticalDpi="30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R258"/>
  <sheetViews>
    <sheetView workbookViewId="0" topLeftCell="A1"/>
  </sheetViews>
  <sheetFormatPr defaultColWidth="10.8515625" defaultRowHeight="15"/>
  <cols>
    <col min="1" max="1" width="3.140625" style="0" customWidth="1"/>
    <col min="2" max="2" width="73.00390625" style="0" customWidth="1"/>
    <col min="3" max="3" width="20.8515625" style="0" customWidth="1"/>
    <col min="4" max="4" width="25.140625" style="0" customWidth="1"/>
    <col min="5" max="5" width="22.8515625" style="0" customWidth="1"/>
    <col min="6" max="6" width="34.140625" style="0" customWidth="1"/>
    <col min="7" max="7" width="34.00390625" style="0" customWidth="1"/>
    <col min="8" max="9" width="18.421875" style="0" customWidth="1"/>
    <col min="10" max="10" width="20.00390625" style="0" customWidth="1"/>
    <col min="11" max="11" width="29.28125" style="0" customWidth="1"/>
    <col min="12" max="12" width="31.8515625" style="0" customWidth="1"/>
    <col min="13" max="13" width="40.140625" style="0" customWidth="1"/>
    <col min="14" max="14" width="22.00390625" style="0" customWidth="1"/>
    <col min="15" max="15" width="43.7109375" style="0" customWidth="1"/>
    <col min="16" max="16" width="24.421875" style="0" customWidth="1"/>
    <col min="17" max="17" width="29.140625" style="0" customWidth="1"/>
    <col min="18" max="18" width="30.28125" style="0" customWidth="1"/>
  </cols>
  <sheetData>
    <row r="2" s="662" customFormat="1" ht="15.75">
      <c r="A2" s="661" t="s">
        <v>1308</v>
      </c>
    </row>
    <row r="3" s="663" customFormat="1" ht="15.75"/>
    <row r="4" s="665" customFormat="1" ht="21">
      <c r="A4" s="664" t="s">
        <v>1309</v>
      </c>
    </row>
    <row r="5" s="663" customFormat="1" ht="16.5" thickBot="1"/>
    <row r="6" spans="2:6" s="663" customFormat="1" ht="16.5" thickBot="1">
      <c r="B6" s="1825" t="s">
        <v>1310</v>
      </c>
      <c r="C6" s="1826"/>
      <c r="D6" s="1826"/>
      <c r="E6" s="1826"/>
      <c r="F6" s="1827"/>
    </row>
    <row r="7" spans="2:9" s="666" customFormat="1" ht="15.75">
      <c r="B7" s="684" t="s">
        <v>1329</v>
      </c>
      <c r="C7" s="849" t="s">
        <v>1311</v>
      </c>
      <c r="D7" s="849" t="s">
        <v>1312</v>
      </c>
      <c r="E7" s="849" t="s">
        <v>1313</v>
      </c>
      <c r="F7" s="850" t="s">
        <v>1440</v>
      </c>
      <c r="G7" s="663"/>
      <c r="H7" s="663"/>
      <c r="I7" s="663"/>
    </row>
    <row r="8" spans="2:6" s="324" customFormat="1" ht="16.5" customHeight="1">
      <c r="B8" s="692" t="s">
        <v>1315</v>
      </c>
      <c r="C8" s="669">
        <v>-10</v>
      </c>
      <c r="D8" s="670">
        <v>10</v>
      </c>
      <c r="E8" s="669">
        <v>10</v>
      </c>
      <c r="F8" s="1757" t="s">
        <v>1434</v>
      </c>
    </row>
    <row r="9" spans="2:6" s="324" customFormat="1" ht="16.5" customHeight="1">
      <c r="B9" s="692" t="s">
        <v>1318</v>
      </c>
      <c r="C9" s="669">
        <v>-10</v>
      </c>
      <c r="D9" s="670">
        <v>10</v>
      </c>
      <c r="E9" s="669">
        <v>10</v>
      </c>
      <c r="F9" s="1784"/>
    </row>
    <row r="10" spans="2:6" s="324" customFormat="1" ht="16.5" customHeight="1">
      <c r="B10" s="692" t="s">
        <v>1320</v>
      </c>
      <c r="C10" s="669">
        <v>-10</v>
      </c>
      <c r="D10" s="670">
        <v>10</v>
      </c>
      <c r="E10" s="669">
        <v>10</v>
      </c>
      <c r="F10" s="1784"/>
    </row>
    <row r="11" spans="2:6" s="324" customFormat="1" ht="16.5" customHeight="1">
      <c r="B11" s="692" t="s">
        <v>1322</v>
      </c>
      <c r="C11" s="669">
        <v>-10</v>
      </c>
      <c r="D11" s="670">
        <v>10</v>
      </c>
      <c r="E11" s="669">
        <v>10</v>
      </c>
      <c r="F11" s="1784"/>
    </row>
    <row r="12" spans="2:6" s="324" customFormat="1" ht="16.5" customHeight="1">
      <c r="B12" s="692" t="s">
        <v>1323</v>
      </c>
      <c r="C12" s="669" t="s">
        <v>1324</v>
      </c>
      <c r="D12" s="670" t="s">
        <v>1324</v>
      </c>
      <c r="E12" s="669" t="s">
        <v>1324</v>
      </c>
      <c r="F12" s="1784"/>
    </row>
    <row r="13" spans="2:6" s="324" customFormat="1" ht="16.5" customHeight="1">
      <c r="B13" s="692" t="s">
        <v>1325</v>
      </c>
      <c r="C13" s="669">
        <v>-10</v>
      </c>
      <c r="D13" s="670">
        <v>10</v>
      </c>
      <c r="E13" s="669">
        <v>10</v>
      </c>
      <c r="F13" s="1784"/>
    </row>
    <row r="14" spans="2:6" s="324" customFormat="1" ht="16.5" customHeight="1" thickBot="1">
      <c r="B14" s="851" t="s">
        <v>1326</v>
      </c>
      <c r="C14" s="678" t="s">
        <v>1324</v>
      </c>
      <c r="D14" s="852" t="s">
        <v>1324</v>
      </c>
      <c r="E14" s="678" t="s">
        <v>1324</v>
      </c>
      <c r="F14" s="1776"/>
    </row>
    <row r="15" s="324" customFormat="1" ht="16.5" customHeight="1" thickBot="1">
      <c r="F15" s="679"/>
    </row>
    <row r="16" spans="2:7" s="666" customFormat="1" ht="16.5" customHeight="1">
      <c r="B16" s="1830" t="s">
        <v>1327</v>
      </c>
      <c r="C16" s="1831"/>
      <c r="D16" s="1831"/>
      <c r="E16" s="1831"/>
      <c r="F16" s="1831"/>
      <c r="G16" s="1832"/>
    </row>
    <row r="17" spans="2:9" s="666" customFormat="1" ht="31.5">
      <c r="B17" s="684" t="s">
        <v>1329</v>
      </c>
      <c r="C17" s="905" t="s">
        <v>1441</v>
      </c>
      <c r="D17" s="667" t="s">
        <v>1311</v>
      </c>
      <c r="E17" s="667" t="s">
        <v>1312</v>
      </c>
      <c r="F17" s="667" t="s">
        <v>1313</v>
      </c>
      <c r="G17" s="668" t="s">
        <v>1440</v>
      </c>
      <c r="H17" s="685"/>
      <c r="I17" s="685"/>
    </row>
    <row r="18" spans="2:9" s="324" customFormat="1" ht="45">
      <c r="B18" s="686" t="s">
        <v>1330</v>
      </c>
      <c r="C18" s="896"/>
      <c r="D18" s="687">
        <v>-50</v>
      </c>
      <c r="E18" s="687">
        <v>50</v>
      </c>
      <c r="F18" s="688">
        <f>(ABS(D18)+E18)/2</f>
        <v>50</v>
      </c>
      <c r="G18" s="840" t="s">
        <v>1331</v>
      </c>
      <c r="H18" s="689"/>
      <c r="I18" s="689"/>
    </row>
    <row r="19" spans="2:9" s="324" customFormat="1" ht="15" customHeight="1">
      <c r="B19" s="686" t="s">
        <v>1332</v>
      </c>
      <c r="C19" s="895"/>
      <c r="D19" s="895"/>
      <c r="E19" s="895"/>
      <c r="F19" s="690">
        <f>+SQRT(POWER(F20,2)+POWER(F21,2)+POWER(F22,2)+POWER(F23,2))</f>
        <v>29.71212322690895</v>
      </c>
      <c r="G19" s="1757" t="s">
        <v>1435</v>
      </c>
      <c r="H19" s="691"/>
      <c r="I19" s="691"/>
    </row>
    <row r="20" spans="2:9" s="324" customFormat="1" ht="20.25" customHeight="1">
      <c r="B20" s="692" t="s">
        <v>761</v>
      </c>
      <c r="C20" s="897"/>
      <c r="D20" s="693">
        <f>-0.127278729413491*100</f>
        <v>-12.7278729413491</v>
      </c>
      <c r="E20" s="693">
        <f>0.143931335509665*100</f>
        <v>14.3931335509665</v>
      </c>
      <c r="F20" s="669">
        <f aca="true" t="shared" si="0" ref="F20:F37">(ABS(D20)+E20)/2</f>
        <v>13.5605032461578</v>
      </c>
      <c r="G20" s="1784"/>
      <c r="H20" s="689"/>
      <c r="I20" s="689"/>
    </row>
    <row r="21" spans="2:9" s="324" customFormat="1" ht="21" customHeight="1">
      <c r="B21" s="692" t="s">
        <v>1333</v>
      </c>
      <c r="C21" s="897"/>
      <c r="D21" s="693">
        <f>-0.124493388432207*100</f>
        <v>-12.4493388432207</v>
      </c>
      <c r="E21" s="693">
        <f>0.13497063446964*100</f>
        <v>13.497063446964</v>
      </c>
      <c r="F21" s="669">
        <f t="shared" si="0"/>
        <v>12.97320114509235</v>
      </c>
      <c r="G21" s="1784"/>
      <c r="H21" s="694"/>
      <c r="I21" s="694"/>
    </row>
    <row r="22" spans="2:9" s="324" customFormat="1" ht="17.25" customHeight="1">
      <c r="B22" s="695" t="s">
        <v>770</v>
      </c>
      <c r="C22" s="897"/>
      <c r="D22" s="693">
        <f>-0.254188434516303*100</f>
        <v>-25.418843451630302</v>
      </c>
      <c r="E22" s="693">
        <f>0.137813006665466*100</f>
        <v>13.781300666546601</v>
      </c>
      <c r="F22" s="669">
        <f t="shared" si="0"/>
        <v>19.60007205908845</v>
      </c>
      <c r="G22" s="1784"/>
      <c r="H22" s="689"/>
      <c r="I22" s="689"/>
    </row>
    <row r="23" spans="2:9" s="324" customFormat="1" ht="14.25" customHeight="1">
      <c r="B23" s="696" t="s">
        <v>1439</v>
      </c>
      <c r="C23" s="897"/>
      <c r="D23" s="693">
        <f>-0.126326963906582*100</f>
        <v>-12.632696390658198</v>
      </c>
      <c r="E23" s="693">
        <f>0.115711252653928*100</f>
        <v>11.5711252653928</v>
      </c>
      <c r="F23" s="669">
        <f t="shared" si="0"/>
        <v>12.101910828025499</v>
      </c>
      <c r="G23" s="1784"/>
      <c r="H23" s="689"/>
      <c r="I23" s="689"/>
    </row>
    <row r="24" spans="2:9" s="324" customFormat="1" ht="19.5" customHeight="1">
      <c r="B24" s="686" t="s">
        <v>1334</v>
      </c>
      <c r="C24" s="898"/>
      <c r="D24" s="895"/>
      <c r="E24" s="895"/>
      <c r="F24" s="690">
        <f>SQRT(POWER((C25*F25),2)+POWER((C26*F26),2)+POWER((C27*F27),2)+POWER((C28*F28),2)+POWER((C29*F29),2)+POWER((C30*F30),2))/(SUM(C25:C30))</f>
        <v>11.284470769564463</v>
      </c>
      <c r="G24" s="1784"/>
      <c r="H24" s="691"/>
      <c r="I24" s="691"/>
    </row>
    <row r="25" spans="2:9" s="324" customFormat="1" ht="15.95" customHeight="1">
      <c r="B25" s="697" t="s">
        <v>365</v>
      </c>
      <c r="C25" s="698">
        <f>+'GEI 3A1 (N2)'!G12*'F. de Conversión'!$C$4</f>
        <v>2938.3349444973323</v>
      </c>
      <c r="D25" s="699">
        <f>SQRT(POWER(D32,2)+POWER(D44,2))</f>
        <v>9.949902478744537</v>
      </c>
      <c r="E25" s="699">
        <f>SQRT(POWER(E32,2)+POWER(E44,2))</f>
        <v>13.366188708979951</v>
      </c>
      <c r="F25" s="669">
        <f t="shared" si="0"/>
        <v>11.658045593862244</v>
      </c>
      <c r="G25" s="1784"/>
      <c r="H25" s="689"/>
      <c r="I25" s="689"/>
    </row>
    <row r="26" spans="2:9" s="324" customFormat="1" ht="15.95" customHeight="1">
      <c r="B26" s="697" t="s">
        <v>366</v>
      </c>
      <c r="C26" s="698">
        <f>+'GEI 3A1 (N2)'!G13*'F. de Conversión'!$C$4</f>
        <v>2061.579036676355</v>
      </c>
      <c r="D26" s="699">
        <f>SQRT(POWER(D33,2))</f>
        <v>18.871127769815903</v>
      </c>
      <c r="E26" s="699">
        <f>SQRT(POWER(E33,2))</f>
        <v>12.428618674897999</v>
      </c>
      <c r="F26" s="669">
        <f t="shared" si="0"/>
        <v>15.649873222356952</v>
      </c>
      <c r="G26" s="1784"/>
      <c r="H26" s="689"/>
      <c r="I26" s="689"/>
    </row>
    <row r="27" spans="2:9" s="324" customFormat="1" ht="15.95" customHeight="1">
      <c r="B27" s="697" t="s">
        <v>457</v>
      </c>
      <c r="C27" s="698">
        <f>+'GEI 3A1 (N2)'!G14*'F. de Conversión'!$C$4</f>
        <v>545.813492165411</v>
      </c>
      <c r="D27" s="699">
        <f aca="true" t="shared" si="1" ref="D27:E30">SQRT(POWER(D34,2)+POWER(D39,2))</f>
        <v>39.969601835124536</v>
      </c>
      <c r="E27" s="699">
        <f t="shared" si="1"/>
        <v>40.00761897019661</v>
      </c>
      <c r="F27" s="669">
        <f t="shared" si="0"/>
        <v>39.98861040266057</v>
      </c>
      <c r="G27" s="1784"/>
      <c r="H27" s="689"/>
      <c r="I27" s="689"/>
    </row>
    <row r="28" spans="2:9" s="324" customFormat="1" ht="15.95" customHeight="1">
      <c r="B28" s="697" t="s">
        <v>458</v>
      </c>
      <c r="C28" s="698">
        <f>+'GEI 3A1 (N2)'!G15*'F. de Conversión'!$C$4</f>
        <v>1633.9296643840469</v>
      </c>
      <c r="D28" s="699">
        <f t="shared" si="1"/>
        <v>41.68305250311963</v>
      </c>
      <c r="E28" s="699">
        <f t="shared" si="1"/>
        <v>40.87814814735508</v>
      </c>
      <c r="F28" s="669">
        <f t="shared" si="0"/>
        <v>41.28060032523736</v>
      </c>
      <c r="G28" s="1784"/>
      <c r="H28" s="689"/>
      <c r="I28" s="689"/>
    </row>
    <row r="29" spans="2:9" s="324" customFormat="1" ht="15.95" customHeight="1">
      <c r="B29" s="697" t="s">
        <v>367</v>
      </c>
      <c r="C29" s="698">
        <f>+'GEI 3A1 (N2)'!G16*'F. de Conversión'!$C$4</f>
        <v>1095.0612583968198</v>
      </c>
      <c r="D29" s="699">
        <f t="shared" si="1"/>
        <v>47.27511536074059</v>
      </c>
      <c r="E29" s="699">
        <f t="shared" si="1"/>
        <v>60.20497159874036</v>
      </c>
      <c r="F29" s="669">
        <f t="shared" si="0"/>
        <v>53.74004347974048</v>
      </c>
      <c r="G29" s="1784"/>
      <c r="H29" s="689"/>
      <c r="I29" s="689"/>
    </row>
    <row r="30" spans="2:9" s="324" customFormat="1" ht="15.95" customHeight="1">
      <c r="B30" s="697" t="s">
        <v>735</v>
      </c>
      <c r="C30" s="698">
        <f>+'GEI 3A1 (N2)'!G17*'F. de Conversión'!$C$4</f>
        <v>978.1471187955465</v>
      </c>
      <c r="D30" s="699">
        <f t="shared" si="1"/>
        <v>11.97831537118862</v>
      </c>
      <c r="E30" s="699">
        <f t="shared" si="1"/>
        <v>16.855900805350448</v>
      </c>
      <c r="F30" s="669">
        <f t="shared" si="0"/>
        <v>14.417108088269533</v>
      </c>
      <c r="G30" s="1758"/>
      <c r="H30" s="689"/>
      <c r="I30" s="689"/>
    </row>
    <row r="31" spans="2:17" s="324" customFormat="1" ht="15.95" customHeight="1">
      <c r="B31" s="700" t="s">
        <v>761</v>
      </c>
      <c r="C31" s="901"/>
      <c r="D31" s="901"/>
      <c r="E31" s="901"/>
      <c r="F31" s="902"/>
      <c r="G31" s="1839" t="s">
        <v>1436</v>
      </c>
      <c r="H31" s="689"/>
      <c r="I31" s="689"/>
      <c r="P31" s="680"/>
      <c r="Q31" s="680"/>
    </row>
    <row r="32" spans="2:17" s="324" customFormat="1" ht="15.95" customHeight="1">
      <c r="B32" s="899" t="s">
        <v>365</v>
      </c>
      <c r="C32" s="701"/>
      <c r="D32" s="702">
        <f>-0.0401853967845244*100</f>
        <v>-4.0185396784524405</v>
      </c>
      <c r="E32" s="702">
        <f>0.098669069958318*100</f>
        <v>9.866906995831801</v>
      </c>
      <c r="F32" s="702">
        <f>(ABS(D32)+E32)/2</f>
        <v>6.942723337142121</v>
      </c>
      <c r="G32" s="1840"/>
      <c r="H32" s="689"/>
      <c r="I32" s="689"/>
      <c r="P32" s="680"/>
      <c r="Q32" s="680"/>
    </row>
    <row r="33" spans="2:17" s="324" customFormat="1" ht="15.95" customHeight="1">
      <c r="B33" s="899" t="s">
        <v>366</v>
      </c>
      <c r="C33" s="701"/>
      <c r="D33" s="702">
        <f>-0.188711277698159*100</f>
        <v>-18.871127769815903</v>
      </c>
      <c r="E33" s="702">
        <f>0.12428618674898*100</f>
        <v>12.428618674897999</v>
      </c>
      <c r="F33" s="702">
        <f>(ABS(D33)+E33)/2</f>
        <v>15.649873222356952</v>
      </c>
      <c r="G33" s="1840"/>
      <c r="H33" s="689"/>
      <c r="I33" s="689"/>
      <c r="P33" s="680"/>
      <c r="Q33" s="680"/>
    </row>
    <row r="34" spans="2:17" s="324" customFormat="1" ht="15.95" customHeight="1">
      <c r="B34" s="899" t="s">
        <v>457</v>
      </c>
      <c r="C34" s="703"/>
      <c r="D34" s="704">
        <f>-0.183289007092199*100</f>
        <v>-18.3289007092199</v>
      </c>
      <c r="E34" s="704">
        <f>0.187112145390071*100</f>
        <v>18.711214539007102</v>
      </c>
      <c r="F34" s="704">
        <f>(ABS(D34)+E34)/2</f>
        <v>18.5200576241135</v>
      </c>
      <c r="G34" s="1840"/>
      <c r="H34" s="689"/>
      <c r="I34" s="689"/>
      <c r="P34" s="680"/>
      <c r="Q34" s="680"/>
    </row>
    <row r="35" spans="2:17" s="324" customFormat="1" ht="15.95" customHeight="1">
      <c r="B35" s="899" t="s">
        <v>458</v>
      </c>
      <c r="C35" s="703"/>
      <c r="D35" s="704">
        <f>-0.330683420951404*100</f>
        <v>-33.0683420951404</v>
      </c>
      <c r="E35" s="704">
        <f>0.267914032371014*100</f>
        <v>26.791403237101402</v>
      </c>
      <c r="F35" s="704">
        <f t="shared" si="0"/>
        <v>29.9298726661209</v>
      </c>
      <c r="G35" s="1840"/>
      <c r="H35" s="689"/>
      <c r="I35" s="689"/>
      <c r="P35" s="680"/>
      <c r="Q35" s="680"/>
    </row>
    <row r="36" spans="2:17" s="324" customFormat="1" ht="15.95" customHeight="1">
      <c r="B36" s="899" t="s">
        <v>367</v>
      </c>
      <c r="C36" s="703"/>
      <c r="D36" s="704">
        <f>-0.325653190251216*100</f>
        <v>-32.565319025121596</v>
      </c>
      <c r="E36" s="704">
        <f>-0.0620099223766361*100</f>
        <v>-6.20099223766361</v>
      </c>
      <c r="F36" s="704">
        <f t="shared" si="0"/>
        <v>13.182163393728993</v>
      </c>
      <c r="G36" s="1840"/>
      <c r="H36" s="689"/>
      <c r="I36" s="689"/>
      <c r="P36" s="680"/>
      <c r="Q36" s="680"/>
    </row>
    <row r="37" spans="2:17" s="324" customFormat="1" ht="15.95" customHeight="1">
      <c r="B37" s="899" t="s">
        <v>735</v>
      </c>
      <c r="C37" s="703"/>
      <c r="D37" s="704">
        <f>-0.0855263157894737*100</f>
        <v>-8.55263157894737</v>
      </c>
      <c r="E37" s="704">
        <f>0.148269980506823*100</f>
        <v>14.826998050682299</v>
      </c>
      <c r="F37" s="704">
        <f t="shared" si="0"/>
        <v>11.689814814814834</v>
      </c>
      <c r="G37" s="1840"/>
      <c r="H37" s="689"/>
      <c r="I37" s="689"/>
      <c r="P37" s="680"/>
      <c r="Q37" s="680"/>
    </row>
    <row r="38" spans="2:17" s="324" customFormat="1" ht="15.95" customHeight="1">
      <c r="B38" s="700" t="s">
        <v>765</v>
      </c>
      <c r="C38" s="901"/>
      <c r="D38" s="903"/>
      <c r="E38" s="903"/>
      <c r="F38" s="903"/>
      <c r="G38" s="1840"/>
      <c r="H38" s="689"/>
      <c r="I38" s="689"/>
      <c r="P38" s="680"/>
      <c r="Q38" s="680"/>
    </row>
    <row r="39" spans="2:17" s="324" customFormat="1" ht="15.95" customHeight="1">
      <c r="B39" s="899" t="s">
        <v>457</v>
      </c>
      <c r="C39" s="705"/>
      <c r="D39" s="706">
        <f>-0.355192971446501*100</f>
        <v>-35.5192971446501</v>
      </c>
      <c r="E39" s="706">
        <f>0.353624097897709*100</f>
        <v>35.3624097897709</v>
      </c>
      <c r="F39" s="706">
        <f aca="true" t="shared" si="2" ref="F39:F42">(ABS(D39)+E39)/2</f>
        <v>35.4408534672105</v>
      </c>
      <c r="G39" s="1840"/>
      <c r="H39" s="689"/>
      <c r="I39" s="689"/>
      <c r="P39" s="680"/>
      <c r="Q39" s="680"/>
    </row>
    <row r="40" spans="2:17" s="324" customFormat="1" ht="15.95" customHeight="1">
      <c r="B40" s="899" t="s">
        <v>458</v>
      </c>
      <c r="C40" s="705"/>
      <c r="D40" s="706">
        <f>-0.253763988197024*100</f>
        <v>-25.376398819702402</v>
      </c>
      <c r="E40" s="706">
        <f>0.308746450755979*100</f>
        <v>30.8746450755979</v>
      </c>
      <c r="F40" s="706">
        <f t="shared" si="2"/>
        <v>28.12552194765015</v>
      </c>
      <c r="G40" s="1840"/>
      <c r="H40" s="689"/>
      <c r="I40" s="689"/>
      <c r="P40" s="680"/>
      <c r="Q40" s="680"/>
    </row>
    <row r="41" spans="2:17" s="324" customFormat="1" ht="15.95" customHeight="1">
      <c r="B41" s="899" t="s">
        <v>367</v>
      </c>
      <c r="C41" s="705"/>
      <c r="D41" s="706">
        <f>-0.34270052949527*100</f>
        <v>-34.270052949527</v>
      </c>
      <c r="E41" s="706">
        <f>0.598847751976541*100</f>
        <v>59.88477519765411</v>
      </c>
      <c r="F41" s="706">
        <f t="shared" si="2"/>
        <v>47.07741407359055</v>
      </c>
      <c r="G41" s="1840"/>
      <c r="H41" s="689"/>
      <c r="I41" s="689"/>
      <c r="P41" s="680"/>
      <c r="Q41" s="680"/>
    </row>
    <row r="42" spans="2:17" s="324" customFormat="1" ht="15.95" customHeight="1">
      <c r="B42" s="899" t="s">
        <v>735</v>
      </c>
      <c r="C42" s="705"/>
      <c r="D42" s="706">
        <f>-0.0838644932056742*100</f>
        <v>-8.38644932056742</v>
      </c>
      <c r="E42" s="706">
        <f>0.0801757574113754*100</f>
        <v>8.017575741137541</v>
      </c>
      <c r="F42" s="706">
        <f t="shared" si="2"/>
        <v>8.202012530852482</v>
      </c>
      <c r="G42" s="1840"/>
      <c r="H42" s="689"/>
      <c r="I42" s="689"/>
      <c r="P42" s="680"/>
      <c r="Q42" s="680"/>
    </row>
    <row r="43" spans="2:17" s="324" customFormat="1" ht="17.25" customHeight="1">
      <c r="B43" s="700" t="s">
        <v>1333</v>
      </c>
      <c r="C43" s="901"/>
      <c r="D43" s="903"/>
      <c r="E43" s="903"/>
      <c r="F43" s="903"/>
      <c r="G43" s="1840"/>
      <c r="H43" s="689"/>
      <c r="I43" s="689"/>
      <c r="P43" s="680"/>
      <c r="Q43" s="680"/>
    </row>
    <row r="44" spans="2:17" s="324" customFormat="1" ht="15.95" customHeight="1" thickBot="1">
      <c r="B44" s="900" t="s">
        <v>365</v>
      </c>
      <c r="C44" s="707"/>
      <c r="D44" s="708">
        <f>-0.0910230180719306*100</f>
        <v>-9.10230180719306</v>
      </c>
      <c r="E44" s="708">
        <f>0.0901660395823553*100</f>
        <v>9.01660395823553</v>
      </c>
      <c r="F44" s="708">
        <f aca="true" t="shared" si="3" ref="F44">(ABS(D44)+E44)/2</f>
        <v>9.059452882714295</v>
      </c>
      <c r="G44" s="1841"/>
      <c r="H44" s="689"/>
      <c r="I44" s="689"/>
      <c r="P44" s="680"/>
      <c r="Q44" s="680"/>
    </row>
    <row r="45" spans="16:17" s="324" customFormat="1" ht="15.95" customHeight="1" thickBot="1">
      <c r="P45" s="680"/>
      <c r="Q45" s="680"/>
    </row>
    <row r="46" spans="2:17" s="324" customFormat="1" ht="15.95" customHeight="1">
      <c r="B46" s="1828" t="s">
        <v>1329</v>
      </c>
      <c r="C46" s="1747" t="s">
        <v>1314</v>
      </c>
      <c r="D46" s="1748"/>
      <c r="H46" s="689"/>
      <c r="I46" s="689"/>
      <c r="P46" s="680"/>
      <c r="Q46" s="680"/>
    </row>
    <row r="47" spans="2:17" s="324" customFormat="1" ht="15.95" customHeight="1">
      <c r="B47" s="1829"/>
      <c r="C47" s="671" t="s">
        <v>1316</v>
      </c>
      <c r="D47" s="672" t="s">
        <v>1317</v>
      </c>
      <c r="H47" s="689"/>
      <c r="I47" s="689"/>
      <c r="P47" s="680"/>
      <c r="Q47" s="680"/>
    </row>
    <row r="48" spans="2:17" s="324" customFormat="1" ht="15.95" customHeight="1">
      <c r="B48" s="673" t="s">
        <v>1319</v>
      </c>
      <c r="C48" s="670">
        <f>+E8</f>
        <v>10</v>
      </c>
      <c r="D48" s="674">
        <f>F19</f>
        <v>29.71212322690895</v>
      </c>
      <c r="H48" s="689"/>
      <c r="I48" s="689"/>
      <c r="P48" s="680"/>
      <c r="Q48" s="680"/>
    </row>
    <row r="49" spans="2:17" s="324" customFormat="1" ht="15.95" customHeight="1">
      <c r="B49" s="675" t="s">
        <v>1321</v>
      </c>
      <c r="C49" s="670">
        <f>+E8</f>
        <v>10</v>
      </c>
      <c r="D49" s="674">
        <f>F24</f>
        <v>11.284470769564463</v>
      </c>
      <c r="H49" s="689"/>
      <c r="I49" s="689"/>
      <c r="P49" s="680"/>
      <c r="Q49" s="680"/>
    </row>
    <row r="50" spans="2:17" s="324" customFormat="1" ht="15.95" customHeight="1">
      <c r="B50" s="675" t="s">
        <v>40</v>
      </c>
      <c r="C50" s="670">
        <f aca="true" t="shared" si="4" ref="C50:C53">+E9</f>
        <v>10</v>
      </c>
      <c r="D50" s="676">
        <f aca="true" t="shared" si="5" ref="D50:D56">$F$18</f>
        <v>50</v>
      </c>
      <c r="H50" s="689"/>
      <c r="I50" s="689"/>
      <c r="P50" s="680"/>
      <c r="Q50" s="680"/>
    </row>
    <row r="51" spans="2:17" s="324" customFormat="1" ht="15.95" customHeight="1">
      <c r="B51" s="675" t="s">
        <v>39</v>
      </c>
      <c r="C51" s="670">
        <f t="shared" si="4"/>
        <v>10</v>
      </c>
      <c r="D51" s="676">
        <f t="shared" si="5"/>
        <v>50</v>
      </c>
      <c r="H51" s="689"/>
      <c r="I51" s="689"/>
      <c r="P51" s="680"/>
      <c r="Q51" s="680"/>
    </row>
    <row r="52" spans="2:17" s="324" customFormat="1" ht="15.95" customHeight="1">
      <c r="B52" s="675" t="s">
        <v>384</v>
      </c>
      <c r="C52" s="670">
        <f t="shared" si="4"/>
        <v>10</v>
      </c>
      <c r="D52" s="677">
        <f t="shared" si="5"/>
        <v>50</v>
      </c>
      <c r="H52" s="689"/>
      <c r="I52" s="689"/>
      <c r="P52" s="680"/>
      <c r="Q52" s="680"/>
    </row>
    <row r="53" spans="2:17" s="324" customFormat="1" ht="15.95" customHeight="1">
      <c r="B53" s="675" t="s">
        <v>66</v>
      </c>
      <c r="C53" s="670" t="str">
        <f t="shared" si="4"/>
        <v>ND</v>
      </c>
      <c r="D53" s="676">
        <f t="shared" si="5"/>
        <v>50</v>
      </c>
      <c r="H53" s="689"/>
      <c r="I53" s="689"/>
      <c r="P53" s="680"/>
      <c r="Q53" s="680"/>
    </row>
    <row r="54" spans="2:17" s="324" customFormat="1" ht="15.95" customHeight="1">
      <c r="B54" s="675" t="s">
        <v>385</v>
      </c>
      <c r="C54" s="670" t="str">
        <f>+E12</f>
        <v>ND</v>
      </c>
      <c r="D54" s="676">
        <f t="shared" si="5"/>
        <v>50</v>
      </c>
      <c r="H54" s="689"/>
      <c r="I54" s="689"/>
      <c r="P54" s="680"/>
      <c r="Q54" s="680"/>
    </row>
    <row r="55" spans="2:17" s="324" customFormat="1" ht="15.95" customHeight="1">
      <c r="B55" s="675" t="s">
        <v>386</v>
      </c>
      <c r="C55" s="670">
        <f>+E13</f>
        <v>10</v>
      </c>
      <c r="D55" s="676">
        <f t="shared" si="5"/>
        <v>50</v>
      </c>
      <c r="H55" s="689"/>
      <c r="I55" s="689"/>
      <c r="P55" s="680"/>
      <c r="Q55" s="680"/>
    </row>
    <row r="56" spans="2:17" s="324" customFormat="1" ht="15.95" customHeight="1" thickBot="1">
      <c r="B56" s="681" t="s">
        <v>1328</v>
      </c>
      <c r="C56" s="852" t="str">
        <f>+E14</f>
        <v>ND</v>
      </c>
      <c r="D56" s="682">
        <f t="shared" si="5"/>
        <v>50</v>
      </c>
      <c r="H56" s="689"/>
      <c r="I56" s="689"/>
      <c r="P56" s="680"/>
      <c r="Q56" s="680"/>
    </row>
    <row r="57" spans="16:17" s="324" customFormat="1" ht="15.95" customHeight="1">
      <c r="P57" s="680"/>
      <c r="Q57" s="680"/>
    </row>
    <row r="58" s="665" customFormat="1" ht="21">
      <c r="A58" s="664" t="s">
        <v>1336</v>
      </c>
    </row>
    <row r="59" s="663" customFormat="1" ht="16.5" thickBot="1"/>
    <row r="60" spans="2:6" s="663" customFormat="1" ht="15.75">
      <c r="B60" s="1749" t="s">
        <v>1310</v>
      </c>
      <c r="C60" s="1750"/>
      <c r="D60" s="1750"/>
      <c r="E60" s="1750"/>
      <c r="F60" s="1751"/>
    </row>
    <row r="61" spans="2:6" s="663" customFormat="1" ht="15.75">
      <c r="B61" s="684" t="s">
        <v>1329</v>
      </c>
      <c r="C61" s="684" t="s">
        <v>1311</v>
      </c>
      <c r="D61" s="684" t="s">
        <v>1312</v>
      </c>
      <c r="E61" s="683" t="s">
        <v>1313</v>
      </c>
      <c r="F61" s="774" t="s">
        <v>1440</v>
      </c>
    </row>
    <row r="62" spans="2:7" ht="14.45" customHeight="1">
      <c r="B62" s="714" t="s">
        <v>1315</v>
      </c>
      <c r="C62" s="715">
        <v>-10</v>
      </c>
      <c r="D62" s="716">
        <v>10</v>
      </c>
      <c r="E62" s="715">
        <f>(ABS(C62)+D62)/2</f>
        <v>10</v>
      </c>
      <c r="F62" s="1757" t="s">
        <v>1434</v>
      </c>
      <c r="G62" s="663"/>
    </row>
    <row r="63" spans="2:7" ht="15.75">
      <c r="B63" s="719" t="s">
        <v>1318</v>
      </c>
      <c r="C63" s="715">
        <v>-10</v>
      </c>
      <c r="D63" s="716">
        <v>10</v>
      </c>
      <c r="E63" s="715">
        <f aca="true" t="shared" si="6" ref="E63:E68">(ABS(C63)+D63)/2</f>
        <v>10</v>
      </c>
      <c r="F63" s="1784"/>
      <c r="G63" s="663"/>
    </row>
    <row r="64" spans="2:7" ht="15.75">
      <c r="B64" s="719" t="s">
        <v>1320</v>
      </c>
      <c r="C64" s="715">
        <v>-10</v>
      </c>
      <c r="D64" s="716">
        <v>10</v>
      </c>
      <c r="E64" s="715">
        <f t="shared" si="6"/>
        <v>10</v>
      </c>
      <c r="F64" s="1784"/>
      <c r="G64" s="663"/>
    </row>
    <row r="65" spans="2:7" ht="15.75">
      <c r="B65" s="719" t="s">
        <v>1322</v>
      </c>
      <c r="C65" s="715">
        <v>-10</v>
      </c>
      <c r="D65" s="716">
        <v>10</v>
      </c>
      <c r="E65" s="715">
        <f t="shared" si="6"/>
        <v>10</v>
      </c>
      <c r="F65" s="1784"/>
      <c r="G65" s="663"/>
    </row>
    <row r="66" spans="2:7" ht="15.75">
      <c r="B66" s="719" t="s">
        <v>1323</v>
      </c>
      <c r="C66" s="669" t="s">
        <v>1324</v>
      </c>
      <c r="D66" s="669" t="s">
        <v>1324</v>
      </c>
      <c r="E66" s="669" t="s">
        <v>1324</v>
      </c>
      <c r="F66" s="1784"/>
      <c r="G66" s="663"/>
    </row>
    <row r="67" spans="2:6" ht="15">
      <c r="B67" s="719" t="s">
        <v>1325</v>
      </c>
      <c r="C67" s="715">
        <v>-10</v>
      </c>
      <c r="D67" s="716">
        <v>10</v>
      </c>
      <c r="E67" s="715">
        <f t="shared" si="6"/>
        <v>10</v>
      </c>
      <c r="F67" s="1784"/>
    </row>
    <row r="68" spans="2:6" ht="15">
      <c r="B68" s="719" t="s">
        <v>1338</v>
      </c>
      <c r="C68" s="715">
        <v>-5</v>
      </c>
      <c r="D68" s="715">
        <v>5</v>
      </c>
      <c r="E68" s="715">
        <f t="shared" si="6"/>
        <v>5</v>
      </c>
      <c r="F68" s="1784"/>
    </row>
    <row r="69" spans="2:6" ht="15.75" thickBot="1">
      <c r="B69" s="904" t="s">
        <v>1340</v>
      </c>
      <c r="C69" s="678" t="s">
        <v>1324</v>
      </c>
      <c r="D69" s="678" t="s">
        <v>1324</v>
      </c>
      <c r="E69" s="678" t="s">
        <v>1324</v>
      </c>
      <c r="F69" s="1776"/>
    </row>
    <row r="70" spans="2:6" ht="18.75" customHeight="1" thickBot="1">
      <c r="B70" s="721"/>
      <c r="C70" s="722"/>
      <c r="D70" s="722"/>
      <c r="E70" s="723"/>
      <c r="F70" s="724"/>
    </row>
    <row r="71" spans="2:7" ht="15.75">
      <c r="B71" s="1787" t="s">
        <v>1327</v>
      </c>
      <c r="C71" s="1788"/>
      <c r="D71" s="1788"/>
      <c r="E71" s="1788"/>
      <c r="F71" s="1789"/>
      <c r="G71" s="725"/>
    </row>
    <row r="72" spans="2:9" ht="15.75">
      <c r="B72" s="729" t="s">
        <v>1329</v>
      </c>
      <c r="C72" s="684" t="s">
        <v>1311</v>
      </c>
      <c r="D72" s="684" t="s">
        <v>1341</v>
      </c>
      <c r="E72" s="684" t="s">
        <v>1313</v>
      </c>
      <c r="F72" s="774" t="s">
        <v>1440</v>
      </c>
      <c r="G72" s="731"/>
      <c r="H72" s="731"/>
      <c r="I72" s="731"/>
    </row>
    <row r="73" spans="2:14" s="2" customFormat="1" ht="30.75" customHeight="1" thickBot="1">
      <c r="B73" s="732" t="s">
        <v>1342</v>
      </c>
      <c r="C73" s="733">
        <v>-30</v>
      </c>
      <c r="D73" s="733">
        <v>30</v>
      </c>
      <c r="E73" s="733">
        <f>(ABS(C73)+D73)/2</f>
        <v>30</v>
      </c>
      <c r="F73" s="734" t="s">
        <v>1343</v>
      </c>
      <c r="G73" s="735"/>
      <c r="H73" s="735"/>
      <c r="I73" s="735"/>
      <c r="J73" s="1837"/>
      <c r="K73" s="1838"/>
      <c r="N73" s="736"/>
    </row>
    <row r="74" spans="2:14" ht="15.75" thickBot="1">
      <c r="B74" s="737"/>
      <c r="C74" s="738"/>
      <c r="D74" s="738"/>
      <c r="E74" s="738"/>
      <c r="F74" s="739"/>
      <c r="G74" s="739"/>
      <c r="H74" s="739"/>
      <c r="I74" s="739"/>
      <c r="J74" s="1837"/>
      <c r="K74" s="1838"/>
      <c r="N74" s="736"/>
    </row>
    <row r="75" spans="2:14" ht="15.75">
      <c r="B75" s="1787" t="s">
        <v>1344</v>
      </c>
      <c r="C75" s="1788"/>
      <c r="D75" s="1788"/>
      <c r="E75" s="1788"/>
      <c r="F75" s="1789"/>
      <c r="G75" s="725"/>
      <c r="H75" s="725"/>
      <c r="I75" s="725"/>
      <c r="J75" s="1837"/>
      <c r="K75" s="1838"/>
      <c r="N75" s="736"/>
    </row>
    <row r="76" spans="2:14" ht="15.75">
      <c r="B76" s="729" t="s">
        <v>1329</v>
      </c>
      <c r="C76" s="684" t="s">
        <v>1311</v>
      </c>
      <c r="D76" s="684" t="s">
        <v>1341</v>
      </c>
      <c r="E76" s="684" t="s">
        <v>1313</v>
      </c>
      <c r="F76" s="774" t="s">
        <v>1440</v>
      </c>
      <c r="G76" s="731"/>
      <c r="H76" s="731"/>
      <c r="I76" s="731"/>
      <c r="J76" s="1837"/>
      <c r="K76" s="1838"/>
      <c r="N76" s="736"/>
    </row>
    <row r="77" spans="2:11" s="2" customFormat="1" ht="29.25" customHeight="1">
      <c r="B77" s="740" t="s">
        <v>1345</v>
      </c>
      <c r="C77" s="741">
        <v>-50</v>
      </c>
      <c r="D77" s="741">
        <v>100</v>
      </c>
      <c r="E77" s="742">
        <f>(ABS(C77)+D77)/2</f>
        <v>75</v>
      </c>
      <c r="F77" s="743" t="s">
        <v>1346</v>
      </c>
      <c r="G77" s="735"/>
      <c r="H77" s="735"/>
      <c r="I77" s="735"/>
      <c r="J77" s="1838"/>
      <c r="K77" s="1838"/>
    </row>
    <row r="78" spans="2:11" s="2" customFormat="1" ht="15.75" thickBot="1">
      <c r="B78" s="735"/>
      <c r="C78" s="735"/>
      <c r="D78" s="735"/>
      <c r="E78" s="735"/>
      <c r="F78" s="735"/>
      <c r="G78" s="735"/>
      <c r="H78" s="735"/>
      <c r="I78" s="735"/>
      <c r="J78" s="327"/>
      <c r="K78" s="327"/>
    </row>
    <row r="79" spans="2:11" s="2" customFormat="1" ht="15.75">
      <c r="B79" s="1828" t="s">
        <v>1329</v>
      </c>
      <c r="C79" s="1747" t="s">
        <v>1314</v>
      </c>
      <c r="D79" s="1847"/>
      <c r="E79" s="1748"/>
      <c r="F79" s="735"/>
      <c r="G79" s="735"/>
      <c r="H79" s="735"/>
      <c r="I79" s="735"/>
      <c r="J79" s="327"/>
      <c r="K79" s="327"/>
    </row>
    <row r="80" spans="2:11" s="2" customFormat="1" ht="30" customHeight="1">
      <c r="B80" s="1829"/>
      <c r="C80" s="671" t="s">
        <v>1316</v>
      </c>
      <c r="D80" s="671" t="s">
        <v>1317</v>
      </c>
      <c r="E80" s="672" t="s">
        <v>1337</v>
      </c>
      <c r="F80" s="735"/>
      <c r="G80" s="735"/>
      <c r="H80" s="735"/>
      <c r="I80" s="735"/>
      <c r="J80" s="327"/>
      <c r="K80" s="327"/>
    </row>
    <row r="81" spans="2:11" s="2" customFormat="1" ht="15">
      <c r="B81" s="717" t="s">
        <v>1319</v>
      </c>
      <c r="C81" s="715">
        <f>E62</f>
        <v>10</v>
      </c>
      <c r="D81" s="715">
        <f aca="true" t="shared" si="7" ref="D81:D90">$E$73</f>
        <v>30</v>
      </c>
      <c r="E81" s="718">
        <f>$E$77</f>
        <v>75</v>
      </c>
      <c r="F81" s="735"/>
      <c r="G81" s="735"/>
      <c r="H81" s="735"/>
      <c r="I81" s="735"/>
      <c r="J81" s="327"/>
      <c r="K81" s="327"/>
    </row>
    <row r="82" spans="2:11" s="2" customFormat="1" ht="15">
      <c r="B82" s="720" t="s">
        <v>1321</v>
      </c>
      <c r="C82" s="715">
        <f>E62</f>
        <v>10</v>
      </c>
      <c r="D82" s="715">
        <f t="shared" si="7"/>
        <v>30</v>
      </c>
      <c r="E82" s="718">
        <f aca="true" t="shared" si="8" ref="E82:E90">$E$77</f>
        <v>75</v>
      </c>
      <c r="F82" s="735"/>
      <c r="G82" s="735"/>
      <c r="H82" s="735"/>
      <c r="I82" s="735"/>
      <c r="J82" s="327"/>
      <c r="K82" s="327"/>
    </row>
    <row r="83" spans="2:11" s="2" customFormat="1" ht="15">
      <c r="B83" s="720" t="s">
        <v>40</v>
      </c>
      <c r="C83" s="715">
        <f>E63</f>
        <v>10</v>
      </c>
      <c r="D83" s="715">
        <f t="shared" si="7"/>
        <v>30</v>
      </c>
      <c r="E83" s="718">
        <f t="shared" si="8"/>
        <v>75</v>
      </c>
      <c r="F83" s="735"/>
      <c r="G83" s="735"/>
      <c r="H83" s="735"/>
      <c r="I83" s="735"/>
      <c r="J83" s="327"/>
      <c r="K83" s="327"/>
    </row>
    <row r="84" spans="2:11" s="2" customFormat="1" ht="15">
      <c r="B84" s="720" t="s">
        <v>39</v>
      </c>
      <c r="C84" s="715">
        <f>E64</f>
        <v>10</v>
      </c>
      <c r="D84" s="715">
        <f t="shared" si="7"/>
        <v>30</v>
      </c>
      <c r="E84" s="718">
        <f t="shared" si="8"/>
        <v>75</v>
      </c>
      <c r="F84" s="735"/>
      <c r="G84" s="735"/>
      <c r="H84" s="735"/>
      <c r="I84" s="735"/>
      <c r="J84" s="327"/>
      <c r="K84" s="327"/>
    </row>
    <row r="85" spans="2:11" s="2" customFormat="1" ht="15">
      <c r="B85" s="720" t="s">
        <v>384</v>
      </c>
      <c r="C85" s="715">
        <f>E65</f>
        <v>10</v>
      </c>
      <c r="D85" s="715">
        <f t="shared" si="7"/>
        <v>30</v>
      </c>
      <c r="E85" s="718">
        <f t="shared" si="8"/>
        <v>75</v>
      </c>
      <c r="F85" s="735"/>
      <c r="G85" s="735"/>
      <c r="H85" s="735"/>
      <c r="I85" s="735"/>
      <c r="J85" s="327"/>
      <c r="K85" s="327"/>
    </row>
    <row r="86" spans="2:11" s="2" customFormat="1" ht="15">
      <c r="B86" s="720" t="s">
        <v>66</v>
      </c>
      <c r="C86" s="715" t="str">
        <f>E66</f>
        <v>ND</v>
      </c>
      <c r="D86" s="715">
        <f t="shared" si="7"/>
        <v>30</v>
      </c>
      <c r="E86" s="718">
        <f t="shared" si="8"/>
        <v>75</v>
      </c>
      <c r="F86" s="735"/>
      <c r="G86" s="735"/>
      <c r="H86" s="735"/>
      <c r="I86" s="735"/>
      <c r="J86" s="327"/>
      <c r="K86" s="327"/>
    </row>
    <row r="87" spans="2:11" s="2" customFormat="1" ht="15">
      <c r="B87" s="720" t="s">
        <v>1339</v>
      </c>
      <c r="C87" s="715" t="str">
        <f>E66</f>
        <v>ND</v>
      </c>
      <c r="D87" s="715">
        <f t="shared" si="7"/>
        <v>30</v>
      </c>
      <c r="E87" s="718">
        <f t="shared" si="8"/>
        <v>75</v>
      </c>
      <c r="F87" s="735"/>
      <c r="G87" s="735"/>
      <c r="H87" s="735"/>
      <c r="I87" s="735"/>
      <c r="J87" s="327"/>
      <c r="K87" s="327"/>
    </row>
    <row r="88" spans="2:11" s="2" customFormat="1" ht="15">
      <c r="B88" s="720" t="s">
        <v>386</v>
      </c>
      <c r="C88" s="715">
        <f>E67</f>
        <v>10</v>
      </c>
      <c r="D88" s="715">
        <f t="shared" si="7"/>
        <v>30</v>
      </c>
      <c r="E88" s="718">
        <f t="shared" si="8"/>
        <v>75</v>
      </c>
      <c r="F88" s="735"/>
      <c r="G88" s="735"/>
      <c r="H88" s="735"/>
      <c r="I88" s="735"/>
      <c r="J88" s="327"/>
      <c r="K88" s="327"/>
    </row>
    <row r="89" spans="2:11" s="2" customFormat="1" ht="15">
      <c r="B89" s="720" t="s">
        <v>387</v>
      </c>
      <c r="C89" s="715">
        <f>E68</f>
        <v>5</v>
      </c>
      <c r="D89" s="715">
        <f t="shared" si="7"/>
        <v>30</v>
      </c>
      <c r="E89" s="718">
        <f t="shared" si="8"/>
        <v>75</v>
      </c>
      <c r="F89" s="735"/>
      <c r="G89" s="735"/>
      <c r="H89" s="735"/>
      <c r="I89" s="735"/>
      <c r="J89" s="327"/>
      <c r="K89" s="327"/>
    </row>
    <row r="90" spans="2:11" s="2" customFormat="1" ht="15.75" thickBot="1">
      <c r="B90" s="726" t="s">
        <v>388</v>
      </c>
      <c r="C90" s="727" t="str">
        <f>E69</f>
        <v>ND</v>
      </c>
      <c r="D90" s="727">
        <f t="shared" si="7"/>
        <v>30</v>
      </c>
      <c r="E90" s="728">
        <f t="shared" si="8"/>
        <v>75</v>
      </c>
      <c r="F90" s="735"/>
      <c r="G90" s="735"/>
      <c r="H90" s="735"/>
      <c r="I90" s="735"/>
      <c r="J90" s="327"/>
      <c r="K90" s="327"/>
    </row>
    <row r="92" s="665" customFormat="1" ht="21">
      <c r="A92" s="664" t="s">
        <v>1347</v>
      </c>
    </row>
    <row r="93" ht="15.75" thickBot="1"/>
    <row r="94" spans="2:7" ht="15.75" customHeight="1">
      <c r="B94" s="1842" t="s">
        <v>1310</v>
      </c>
      <c r="C94" s="1843"/>
      <c r="D94" s="1843"/>
      <c r="E94" s="1843"/>
      <c r="F94" s="1844"/>
      <c r="G94" s="744"/>
    </row>
    <row r="95" spans="2:6" ht="15.75">
      <c r="B95" s="684" t="s">
        <v>1329</v>
      </c>
      <c r="C95" s="684" t="s">
        <v>1311</v>
      </c>
      <c r="D95" s="684" t="s">
        <v>1312</v>
      </c>
      <c r="E95" s="745" t="s">
        <v>1313</v>
      </c>
      <c r="F95" s="774" t="s">
        <v>1440</v>
      </c>
    </row>
    <row r="96" spans="2:6" ht="55.5" customHeight="1">
      <c r="B96" s="746" t="s">
        <v>1348</v>
      </c>
      <c r="C96" s="715">
        <v>-10</v>
      </c>
      <c r="D96" s="715">
        <v>10</v>
      </c>
      <c r="E96" s="715">
        <f>(ABS(C96)+D96)/2</f>
        <v>10</v>
      </c>
      <c r="F96" s="747" t="s">
        <v>1434</v>
      </c>
    </row>
    <row r="97" spans="2:6" ht="27" customHeight="1" thickBot="1">
      <c r="B97" s="748" t="s">
        <v>1349</v>
      </c>
      <c r="C97" s="727">
        <v>-12.5</v>
      </c>
      <c r="D97" s="727">
        <v>12.5</v>
      </c>
      <c r="E97" s="727">
        <f>(ABS(C97)+D97)/2</f>
        <v>12.5</v>
      </c>
      <c r="F97" s="749" t="s">
        <v>1350</v>
      </c>
    </row>
    <row r="98" spans="4:7" ht="17.25" customHeight="1">
      <c r="D98" s="266"/>
      <c r="E98" s="266"/>
      <c r="F98" s="266"/>
      <c r="G98" s="266"/>
    </row>
    <row r="99" spans="2:10" ht="15.75">
      <c r="B99" s="1833" t="s">
        <v>1327</v>
      </c>
      <c r="C99" s="1833"/>
      <c r="D99" s="1833"/>
      <c r="E99" s="1833"/>
      <c r="F99" s="1833"/>
      <c r="G99" s="1833"/>
      <c r="H99" s="725"/>
      <c r="I99" s="725"/>
      <c r="J99" s="753"/>
    </row>
    <row r="100" spans="2:10" ht="15.75">
      <c r="B100" s="684" t="s">
        <v>1329</v>
      </c>
      <c r="C100" s="684" t="s">
        <v>1352</v>
      </c>
      <c r="D100" s="684" t="s">
        <v>1353</v>
      </c>
      <c r="E100" s="684" t="s">
        <v>1354</v>
      </c>
      <c r="F100" s="684" t="s">
        <v>1313</v>
      </c>
      <c r="G100" s="774" t="s">
        <v>1440</v>
      </c>
      <c r="H100" s="731"/>
      <c r="I100" s="731"/>
      <c r="J100" s="754"/>
    </row>
    <row r="101" spans="2:10" ht="20.25" customHeight="1">
      <c r="B101" s="755" t="s">
        <v>1355</v>
      </c>
      <c r="C101" s="1801" t="s">
        <v>1356</v>
      </c>
      <c r="D101" s="1801"/>
      <c r="E101" s="1801"/>
      <c r="F101" s="716">
        <v>20</v>
      </c>
      <c r="G101" s="756" t="s">
        <v>1357</v>
      </c>
      <c r="H101" s="735"/>
      <c r="I101" s="735"/>
      <c r="J101" s="754"/>
    </row>
    <row r="102" spans="2:10" ht="20.25" customHeight="1">
      <c r="B102" s="1834" t="s">
        <v>1358</v>
      </c>
      <c r="C102" s="1801">
        <v>2.3</v>
      </c>
      <c r="D102" s="716">
        <f>C102-0.9</f>
        <v>1.4</v>
      </c>
      <c r="E102" s="716">
        <f>C102+0.9</f>
        <v>3.1999999999999997</v>
      </c>
      <c r="F102" s="1783">
        <f>((ABS(D103)+E103)/2)*100</f>
        <v>39.130434782608695</v>
      </c>
      <c r="G102" s="1835" t="s">
        <v>1359</v>
      </c>
      <c r="H102" s="735"/>
      <c r="I102" s="735"/>
      <c r="J102" s="754"/>
    </row>
    <row r="103" spans="2:10" ht="24" customHeight="1">
      <c r="B103" s="1834"/>
      <c r="C103" s="1801"/>
      <c r="D103" s="757">
        <f>+(D102-C102)/C102</f>
        <v>-0.391304347826087</v>
      </c>
      <c r="E103" s="757">
        <f>+(E102-C102)/C102</f>
        <v>0.391304347826087</v>
      </c>
      <c r="F103" s="1783"/>
      <c r="G103" s="1836"/>
      <c r="H103" s="735"/>
      <c r="I103" s="735"/>
      <c r="J103" s="754"/>
    </row>
    <row r="104" spans="2:10" ht="15.75">
      <c r="B104" s="758"/>
      <c r="C104" s="759"/>
      <c r="D104" s="759"/>
      <c r="E104" s="759"/>
      <c r="F104" s="759"/>
      <c r="G104" s="735"/>
      <c r="H104" s="735"/>
      <c r="I104" s="735"/>
      <c r="J104" s="754"/>
    </row>
    <row r="105" spans="2:10" ht="15.75">
      <c r="B105" s="1833" t="s">
        <v>1344</v>
      </c>
      <c r="C105" s="1833"/>
      <c r="D105" s="1833"/>
      <c r="E105" s="1833"/>
      <c r="F105" s="1833"/>
      <c r="G105" s="1833"/>
      <c r="H105" s="725"/>
      <c r="I105" s="725"/>
      <c r="J105" s="754"/>
    </row>
    <row r="106" spans="2:9" ht="16.5" customHeight="1">
      <c r="B106" s="684" t="s">
        <v>1329</v>
      </c>
      <c r="C106" s="684" t="s">
        <v>1352</v>
      </c>
      <c r="D106" s="684" t="s">
        <v>1353</v>
      </c>
      <c r="E106" s="684" t="s">
        <v>1354</v>
      </c>
      <c r="F106" s="684" t="s">
        <v>1313</v>
      </c>
      <c r="G106" s="774" t="s">
        <v>1440</v>
      </c>
      <c r="H106" s="735"/>
      <c r="I106" s="735"/>
    </row>
    <row r="107" spans="2:9" ht="19.5" customHeight="1">
      <c r="B107" s="755" t="s">
        <v>1360</v>
      </c>
      <c r="C107" s="1801" t="s">
        <v>1356</v>
      </c>
      <c r="D107" s="1801"/>
      <c r="E107" s="1801"/>
      <c r="F107" s="716">
        <v>20</v>
      </c>
      <c r="G107" s="756" t="s">
        <v>1357</v>
      </c>
      <c r="H107" s="735"/>
      <c r="I107" s="735"/>
    </row>
    <row r="108" spans="2:9" ht="21.75" customHeight="1">
      <c r="B108" s="1834" t="s">
        <v>1361</v>
      </c>
      <c r="C108" s="1801">
        <v>0.21</v>
      </c>
      <c r="D108" s="716">
        <f>C108-0.1</f>
        <v>0.10999999999999999</v>
      </c>
      <c r="E108" s="716">
        <f>C108+0.1</f>
        <v>0.31</v>
      </c>
      <c r="F108" s="1783">
        <f>(ABS(D109)+E109)/2*100</f>
        <v>47.61904761904762</v>
      </c>
      <c r="G108" s="1835" t="s">
        <v>1359</v>
      </c>
      <c r="H108" s="735"/>
      <c r="I108" s="735"/>
    </row>
    <row r="109" spans="2:9" ht="22.5" customHeight="1">
      <c r="B109" s="1834"/>
      <c r="C109" s="1801"/>
      <c r="D109" s="757">
        <f>+(D108-C108)/C108</f>
        <v>-0.4761904761904762</v>
      </c>
      <c r="E109" s="757">
        <f>+(E108-C108)/C108</f>
        <v>0.4761904761904762</v>
      </c>
      <c r="F109" s="1783"/>
      <c r="G109" s="1836"/>
      <c r="H109" s="735"/>
      <c r="I109" s="735"/>
    </row>
    <row r="110" ht="16.5" customHeight="1" thickBot="1"/>
    <row r="111" spans="2:5" ht="16.5" customHeight="1">
      <c r="B111" s="1845" t="s">
        <v>1329</v>
      </c>
      <c r="C111" s="1820" t="s">
        <v>1314</v>
      </c>
      <c r="D111" s="1848"/>
      <c r="E111" s="1821"/>
    </row>
    <row r="112" spans="2:5" ht="31.5">
      <c r="B112" s="1846"/>
      <c r="C112" s="671" t="s">
        <v>1316</v>
      </c>
      <c r="D112" s="671" t="s">
        <v>1317</v>
      </c>
      <c r="E112" s="672" t="s">
        <v>1337</v>
      </c>
    </row>
    <row r="113" spans="2:5" ht="16.5" customHeight="1">
      <c r="B113" s="673" t="s">
        <v>416</v>
      </c>
      <c r="C113" s="669">
        <f>E96</f>
        <v>10</v>
      </c>
      <c r="D113" s="669">
        <f>F101</f>
        <v>20</v>
      </c>
      <c r="E113" s="677">
        <f>F107</f>
        <v>20</v>
      </c>
    </row>
    <row r="114" spans="2:5" ht="16.5" customHeight="1" thickBot="1">
      <c r="B114" s="750" t="s">
        <v>1351</v>
      </c>
      <c r="C114" s="678">
        <f>E97</f>
        <v>12.5</v>
      </c>
      <c r="D114" s="751">
        <f>F102</f>
        <v>39.130434782608695</v>
      </c>
      <c r="E114" s="752">
        <f>F108</f>
        <v>47.61904761904762</v>
      </c>
    </row>
    <row r="115" ht="16.5" customHeight="1"/>
    <row r="116" s="665" customFormat="1" ht="21">
      <c r="A116" s="664" t="s">
        <v>1362</v>
      </c>
    </row>
    <row r="117" s="761" customFormat="1" ht="21.75" thickBot="1">
      <c r="A117" s="760"/>
    </row>
    <row r="118" spans="1:6" s="761" customFormat="1" ht="21">
      <c r="A118" s="760"/>
      <c r="B118" s="1817" t="s">
        <v>1310</v>
      </c>
      <c r="C118" s="1818"/>
      <c r="D118" s="1819"/>
      <c r="E118" s="753"/>
      <c r="F118" s="753"/>
    </row>
    <row r="119" spans="1:5" s="761" customFormat="1" ht="21">
      <c r="A119" s="760"/>
      <c r="B119" s="684" t="s">
        <v>1329</v>
      </c>
      <c r="C119" s="684" t="s">
        <v>1363</v>
      </c>
      <c r="D119" s="730" t="s">
        <v>784</v>
      </c>
      <c r="E119" s="1822" t="s">
        <v>1364</v>
      </c>
    </row>
    <row r="120" spans="1:5" s="761" customFormat="1" ht="45" customHeight="1" thickBot="1">
      <c r="A120" s="760"/>
      <c r="B120" s="762" t="s">
        <v>662</v>
      </c>
      <c r="C120" s="763">
        <v>0</v>
      </c>
      <c r="D120" s="764" t="s">
        <v>1366</v>
      </c>
      <c r="E120" s="1822"/>
    </row>
    <row r="121" spans="1:6" ht="15.75" thickBot="1">
      <c r="A121" s="768"/>
      <c r="F121" s="324"/>
    </row>
    <row r="122" spans="1:7" ht="15.75">
      <c r="A122" s="768"/>
      <c r="B122" s="1787" t="s">
        <v>1367</v>
      </c>
      <c r="C122" s="1788"/>
      <c r="D122" s="1788"/>
      <c r="E122" s="1788"/>
      <c r="F122" s="1789"/>
      <c r="G122" s="753"/>
    </row>
    <row r="123" spans="1:7" ht="15.75">
      <c r="A123" s="768"/>
      <c r="B123" s="729" t="s">
        <v>1329</v>
      </c>
      <c r="C123" s="684" t="s">
        <v>1311</v>
      </c>
      <c r="D123" s="684" t="s">
        <v>1341</v>
      </c>
      <c r="E123" s="684" t="s">
        <v>1363</v>
      </c>
      <c r="F123" s="774" t="s">
        <v>1440</v>
      </c>
      <c r="G123" s="744"/>
    </row>
    <row r="124" spans="1:7" ht="30.75" thickBot="1">
      <c r="A124" s="768"/>
      <c r="B124" s="762" t="s">
        <v>1368</v>
      </c>
      <c r="C124" s="1823" t="s">
        <v>1369</v>
      </c>
      <c r="D124" s="1824"/>
      <c r="E124" s="727">
        <v>50</v>
      </c>
      <c r="F124" s="764" t="s">
        <v>1366</v>
      </c>
      <c r="G124" s="769"/>
    </row>
    <row r="125" ht="15.75" thickBot="1">
      <c r="A125" s="768"/>
    </row>
    <row r="126" spans="1:4" ht="15.75">
      <c r="A126" s="768"/>
      <c r="B126" s="1745" t="s">
        <v>1329</v>
      </c>
      <c r="C126" s="1820" t="s">
        <v>1314</v>
      </c>
      <c r="D126" s="1821"/>
    </row>
    <row r="127" spans="1:4" ht="31.5">
      <c r="A127" s="768"/>
      <c r="B127" s="1746"/>
      <c r="C127" s="671" t="s">
        <v>1316</v>
      </c>
      <c r="D127" s="672" t="s">
        <v>1442</v>
      </c>
    </row>
    <row r="128" spans="1:4" ht="15.75" thickBot="1">
      <c r="A128" s="768"/>
      <c r="B128" s="765" t="s">
        <v>160</v>
      </c>
      <c r="C128" s="766">
        <f>C120</f>
        <v>0</v>
      </c>
      <c r="D128" s="767">
        <f>E124</f>
        <v>50</v>
      </c>
    </row>
    <row r="129" ht="15">
      <c r="A129" s="768"/>
    </row>
    <row r="130" s="665" customFormat="1" ht="21">
      <c r="A130" s="664" t="s">
        <v>1370</v>
      </c>
    </row>
    <row r="131" ht="15.75" thickBot="1"/>
    <row r="132" spans="2:7" ht="15.75">
      <c r="B132" s="1749" t="s">
        <v>1310</v>
      </c>
      <c r="C132" s="1750"/>
      <c r="D132" s="1750"/>
      <c r="E132" s="1750"/>
      <c r="F132" s="1751"/>
      <c r="G132" s="744"/>
    </row>
    <row r="133" spans="2:6" ht="15.75">
      <c r="B133" s="1752" t="s">
        <v>1329</v>
      </c>
      <c r="C133" s="745" t="s">
        <v>1371</v>
      </c>
      <c r="D133" s="745"/>
      <c r="E133" s="1813" t="s">
        <v>1313</v>
      </c>
      <c r="F133" s="1815" t="s">
        <v>1440</v>
      </c>
    </row>
    <row r="134" spans="2:6" ht="15.75">
      <c r="B134" s="1752"/>
      <c r="C134" s="684" t="s">
        <v>1372</v>
      </c>
      <c r="D134" s="684" t="s">
        <v>1373</v>
      </c>
      <c r="E134" s="1814"/>
      <c r="F134" s="1816"/>
    </row>
    <row r="135" spans="2:6" ht="14.45" customHeight="1">
      <c r="B135" s="714" t="s">
        <v>1375</v>
      </c>
      <c r="C135" s="715">
        <v>-10</v>
      </c>
      <c r="D135" s="716">
        <v>10</v>
      </c>
      <c r="E135" s="771">
        <f>(ABS(C135)+D135)/2</f>
        <v>10</v>
      </c>
      <c r="F135" s="1757" t="s">
        <v>1434</v>
      </c>
    </row>
    <row r="136" spans="2:6" ht="14.45" customHeight="1">
      <c r="B136" s="714" t="s">
        <v>1376</v>
      </c>
      <c r="C136" s="715"/>
      <c r="D136" s="715"/>
      <c r="E136" s="771">
        <f>AVERAGE(E137:E144)</f>
        <v>9.166666666666666</v>
      </c>
      <c r="F136" s="1784"/>
    </row>
    <row r="137" spans="2:6" ht="14.45" customHeight="1">
      <c r="B137" s="781" t="s">
        <v>1315</v>
      </c>
      <c r="C137" s="715">
        <v>-10</v>
      </c>
      <c r="D137" s="716">
        <v>10</v>
      </c>
      <c r="E137" s="715">
        <f>(ABS(C137)+D137)/2</f>
        <v>10</v>
      </c>
      <c r="F137" s="1784"/>
    </row>
    <row r="138" spans="2:6" s="327" customFormat="1" ht="18" customHeight="1">
      <c r="B138" s="783" t="s">
        <v>1318</v>
      </c>
      <c r="C138" s="715">
        <v>-10</v>
      </c>
      <c r="D138" s="716">
        <v>10</v>
      </c>
      <c r="E138" s="715">
        <f>(ABS(C138)+D138)/2</f>
        <v>10</v>
      </c>
      <c r="F138" s="1784"/>
    </row>
    <row r="139" spans="2:6" ht="14.45" customHeight="1">
      <c r="B139" s="783" t="s">
        <v>1320</v>
      </c>
      <c r="C139" s="715">
        <v>-10</v>
      </c>
      <c r="D139" s="716">
        <v>10</v>
      </c>
      <c r="E139" s="715">
        <f>(ABS(C139)+D139)/2</f>
        <v>10</v>
      </c>
      <c r="F139" s="1784"/>
    </row>
    <row r="140" spans="2:6" ht="18.75" customHeight="1">
      <c r="B140" s="783" t="s">
        <v>1322</v>
      </c>
      <c r="C140" s="715">
        <v>-10</v>
      </c>
      <c r="D140" s="716">
        <v>10</v>
      </c>
      <c r="E140" s="715">
        <f>(ABS(C140)+D140)/2</f>
        <v>10</v>
      </c>
      <c r="F140" s="1784"/>
    </row>
    <row r="141" spans="2:6" ht="15.75" customHeight="1">
      <c r="B141" s="783" t="s">
        <v>1323</v>
      </c>
      <c r="C141" s="715" t="s">
        <v>1324</v>
      </c>
      <c r="D141" s="715" t="s">
        <v>1324</v>
      </c>
      <c r="E141" s="715" t="s">
        <v>1324</v>
      </c>
      <c r="F141" s="1784"/>
    </row>
    <row r="142" spans="2:6" ht="16.5" customHeight="1">
      <c r="B142" s="783" t="s">
        <v>1325</v>
      </c>
      <c r="C142" s="715">
        <v>-10</v>
      </c>
      <c r="D142" s="716">
        <v>10</v>
      </c>
      <c r="E142" s="715">
        <f>(ABS(C142)+D142)/2</f>
        <v>10</v>
      </c>
      <c r="F142" s="1784"/>
    </row>
    <row r="143" spans="2:6" ht="14.25" customHeight="1">
      <c r="B143" s="783" t="s">
        <v>1326</v>
      </c>
      <c r="C143" s="715" t="s">
        <v>1324</v>
      </c>
      <c r="D143" s="715" t="s">
        <v>1324</v>
      </c>
      <c r="E143" s="715" t="s">
        <v>1324</v>
      </c>
      <c r="F143" s="1784"/>
    </row>
    <row r="144" spans="2:6" ht="17.25" customHeight="1">
      <c r="B144" s="783" t="s">
        <v>1338</v>
      </c>
      <c r="C144" s="715">
        <v>-5</v>
      </c>
      <c r="D144" s="715">
        <v>5</v>
      </c>
      <c r="E144" s="715">
        <f>(ABS(C144)+D144)/2</f>
        <v>5</v>
      </c>
      <c r="F144" s="1784"/>
    </row>
    <row r="145" spans="2:6" ht="15.75" customHeight="1">
      <c r="B145" s="719" t="s">
        <v>1377</v>
      </c>
      <c r="C145" s="715"/>
      <c r="D145" s="715"/>
      <c r="E145" s="771">
        <f>AVERAGE(E146:E151)</f>
        <v>10</v>
      </c>
      <c r="F145" s="1784"/>
    </row>
    <row r="146" spans="2:6" ht="15.75" customHeight="1">
      <c r="B146" s="785" t="s">
        <v>1378</v>
      </c>
      <c r="C146" s="716">
        <v>-10</v>
      </c>
      <c r="D146" s="716">
        <v>10</v>
      </c>
      <c r="E146" s="715">
        <f aca="true" t="shared" si="9" ref="E146:E151">(ABS(C146)+D146)/2</f>
        <v>10</v>
      </c>
      <c r="F146" s="1784"/>
    </row>
    <row r="147" spans="2:6" ht="15.75" customHeight="1">
      <c r="B147" s="785" t="s">
        <v>1379</v>
      </c>
      <c r="C147" s="716">
        <v>-10</v>
      </c>
      <c r="D147" s="716">
        <v>10</v>
      </c>
      <c r="E147" s="715">
        <f t="shared" si="9"/>
        <v>10</v>
      </c>
      <c r="F147" s="1784"/>
    </row>
    <row r="148" spans="2:6" ht="16.5" customHeight="1">
      <c r="B148" s="786" t="s">
        <v>1380</v>
      </c>
      <c r="C148" s="716">
        <v>-10</v>
      </c>
      <c r="D148" s="716">
        <v>10</v>
      </c>
      <c r="E148" s="715">
        <f t="shared" si="9"/>
        <v>10</v>
      </c>
      <c r="F148" s="1784"/>
    </row>
    <row r="149" spans="2:6" ht="15.75" customHeight="1">
      <c r="B149" s="786" t="s">
        <v>1381</v>
      </c>
      <c r="C149" s="716">
        <v>-10</v>
      </c>
      <c r="D149" s="716">
        <v>10</v>
      </c>
      <c r="E149" s="715">
        <f t="shared" si="9"/>
        <v>10</v>
      </c>
      <c r="F149" s="1784"/>
    </row>
    <row r="150" spans="2:6" ht="14.25" customHeight="1">
      <c r="B150" s="786" t="s">
        <v>1382</v>
      </c>
      <c r="C150" s="716">
        <v>-10</v>
      </c>
      <c r="D150" s="716">
        <v>10</v>
      </c>
      <c r="E150" s="715">
        <f t="shared" si="9"/>
        <v>10</v>
      </c>
      <c r="F150" s="1784"/>
    </row>
    <row r="151" spans="2:6" ht="18.75" customHeight="1" thickBot="1">
      <c r="B151" s="787" t="s">
        <v>1383</v>
      </c>
      <c r="C151" s="763">
        <v>-10</v>
      </c>
      <c r="D151" s="763">
        <v>10</v>
      </c>
      <c r="E151" s="727">
        <f t="shared" si="9"/>
        <v>10</v>
      </c>
      <c r="F151" s="1776"/>
    </row>
    <row r="152" ht="19.5" customHeight="1" thickBot="1"/>
    <row r="153" spans="2:18" ht="15.75">
      <c r="B153" s="1787" t="s">
        <v>1367</v>
      </c>
      <c r="C153" s="1788"/>
      <c r="D153" s="1788"/>
      <c r="E153" s="1788"/>
      <c r="F153" s="1788"/>
      <c r="G153" s="1788"/>
      <c r="H153" s="1789"/>
      <c r="J153" s="753"/>
      <c r="K153" s="753"/>
      <c r="L153" s="753"/>
      <c r="O153" s="772"/>
      <c r="P153" s="2"/>
      <c r="Q153" s="709"/>
      <c r="R153" s="773"/>
    </row>
    <row r="154" spans="1:18" ht="15.75">
      <c r="A154" s="768"/>
      <c r="B154" s="684" t="s">
        <v>1329</v>
      </c>
      <c r="C154" s="683" t="s">
        <v>1335</v>
      </c>
      <c r="D154" s="684" t="s">
        <v>1352</v>
      </c>
      <c r="E154" s="684" t="s">
        <v>1353</v>
      </c>
      <c r="F154" s="684" t="s">
        <v>1354</v>
      </c>
      <c r="G154" s="684" t="s">
        <v>1313</v>
      </c>
      <c r="H154" s="774" t="s">
        <v>1440</v>
      </c>
      <c r="O154" s="772"/>
      <c r="P154" s="2"/>
      <c r="Q154" s="709"/>
      <c r="R154" s="773"/>
    </row>
    <row r="155" spans="1:18" ht="15" customHeight="1">
      <c r="A155" s="768"/>
      <c r="B155" s="1786" t="s">
        <v>1384</v>
      </c>
      <c r="C155" s="1811">
        <f>'[3]3C4 EMISIONES'!H10*310</f>
        <v>2905.3213726007148</v>
      </c>
      <c r="D155" s="1804">
        <v>0.01</v>
      </c>
      <c r="E155" s="716">
        <v>0.003</v>
      </c>
      <c r="F155" s="716">
        <v>0.03</v>
      </c>
      <c r="G155" s="1806">
        <f>(ABS(E156)+F156)/2*100</f>
        <v>134.99999999999997</v>
      </c>
      <c r="H155" s="1757" t="s">
        <v>1385</v>
      </c>
      <c r="O155" s="772"/>
      <c r="P155" s="2"/>
      <c r="Q155" s="709"/>
      <c r="R155" s="773"/>
    </row>
    <row r="156" spans="1:18" ht="15">
      <c r="A156" s="768"/>
      <c r="B156" s="1786"/>
      <c r="C156" s="1812"/>
      <c r="D156" s="1805"/>
      <c r="E156" s="757">
        <f>+(E155-D155)/D155</f>
        <v>-0.7</v>
      </c>
      <c r="F156" s="757">
        <f>+(F155-D155)/D155</f>
        <v>1.9999999999999996</v>
      </c>
      <c r="G156" s="1807"/>
      <c r="H156" s="1784"/>
      <c r="O156" s="772"/>
      <c r="P156" s="2"/>
      <c r="Q156" s="709"/>
      <c r="R156" s="773"/>
    </row>
    <row r="157" spans="1:18" ht="15">
      <c r="A157" s="768"/>
      <c r="B157" s="1778" t="s">
        <v>1386</v>
      </c>
      <c r="C157" s="1811">
        <f>'[3]3C4 EMISIONES'!H14*310</f>
        <v>233.08257768548563</v>
      </c>
      <c r="D157" s="1804">
        <v>0.003</v>
      </c>
      <c r="E157" s="716">
        <v>0</v>
      </c>
      <c r="F157" s="716">
        <v>0.006</v>
      </c>
      <c r="G157" s="1806">
        <f>(ABS(E158)+F158)/2*100</f>
        <v>100</v>
      </c>
      <c r="H157" s="1784"/>
      <c r="O157" s="772"/>
      <c r="P157" s="2"/>
      <c r="Q157" s="2"/>
      <c r="R157" s="2"/>
    </row>
    <row r="158" spans="1:18" ht="15">
      <c r="A158" s="768"/>
      <c r="B158" s="1778"/>
      <c r="C158" s="1812"/>
      <c r="D158" s="1805"/>
      <c r="E158" s="757">
        <f>+(E157-D157)/D157</f>
        <v>-1</v>
      </c>
      <c r="F158" s="757">
        <f>+(F157-D157)/D157</f>
        <v>1</v>
      </c>
      <c r="G158" s="1807"/>
      <c r="H158" s="1784"/>
      <c r="O158" s="772"/>
      <c r="P158" s="2"/>
      <c r="Q158" s="2"/>
      <c r="R158" s="2"/>
    </row>
    <row r="159" spans="2:8" ht="15" customHeight="1">
      <c r="B159" s="1778" t="s">
        <v>170</v>
      </c>
      <c r="C159" s="1802">
        <f>'[3]3C4 EMISIONES'!J36*310</f>
        <v>2382.19088792096</v>
      </c>
      <c r="D159" s="1804">
        <v>0.02</v>
      </c>
      <c r="E159" s="716">
        <v>0.007</v>
      </c>
      <c r="F159" s="716">
        <v>0.06</v>
      </c>
      <c r="G159" s="1806">
        <f>(ABS(E160)+F160)/2*100</f>
        <v>132.49999999999997</v>
      </c>
      <c r="H159" s="1784"/>
    </row>
    <row r="160" spans="2:8" ht="15">
      <c r="B160" s="1778"/>
      <c r="C160" s="1803"/>
      <c r="D160" s="1805"/>
      <c r="E160" s="757">
        <f>+(E159-D159)/D159</f>
        <v>-0.65</v>
      </c>
      <c r="F160" s="757">
        <f>+(F159-D159)/D159</f>
        <v>1.9999999999999996</v>
      </c>
      <c r="G160" s="1807"/>
      <c r="H160" s="1784"/>
    </row>
    <row r="161" spans="2:8" ht="15" customHeight="1">
      <c r="B161" s="1778" t="s">
        <v>1387</v>
      </c>
      <c r="C161" s="1802">
        <f>'[3]3C4 EMISIONES'!J37*310</f>
        <v>2189.264631615669</v>
      </c>
      <c r="D161" s="1804">
        <v>0.01</v>
      </c>
      <c r="E161" s="716">
        <v>0.003</v>
      </c>
      <c r="F161" s="716">
        <v>0.03</v>
      </c>
      <c r="G161" s="1806">
        <f>(ABS(E162)+F162)/2*100</f>
        <v>134.99999999999997</v>
      </c>
      <c r="H161" s="1784"/>
    </row>
    <row r="162" spans="2:8" ht="15.75" thickBot="1">
      <c r="B162" s="1790"/>
      <c r="C162" s="1808"/>
      <c r="D162" s="1809"/>
      <c r="E162" s="775">
        <f>+(E161-D161)/D161</f>
        <v>-0.7</v>
      </c>
      <c r="F162" s="775">
        <f>+(F161-D161)/D161</f>
        <v>1.9999999999999996</v>
      </c>
      <c r="G162" s="1810"/>
      <c r="H162" s="1776"/>
    </row>
    <row r="163" spans="2:6" ht="15.75" thickBot="1">
      <c r="B163" s="776"/>
      <c r="C163" s="777"/>
      <c r="D163" s="777"/>
      <c r="E163" s="777"/>
      <c r="F163" s="777"/>
    </row>
    <row r="164" spans="2:6" ht="15.75">
      <c r="B164" s="1745" t="s">
        <v>1329</v>
      </c>
      <c r="C164" s="1747" t="s">
        <v>1314</v>
      </c>
      <c r="D164" s="1748"/>
      <c r="E164" s="777"/>
      <c r="F164" s="777"/>
    </row>
    <row r="165" spans="2:6" ht="15.75">
      <c r="B165" s="1746"/>
      <c r="C165" s="712" t="s">
        <v>1316</v>
      </c>
      <c r="D165" s="713" t="s">
        <v>1365</v>
      </c>
      <c r="E165" s="777"/>
      <c r="F165" s="777"/>
    </row>
    <row r="166" spans="2:6" ht="15.75" thickBot="1">
      <c r="B166" s="770" t="s">
        <v>1374</v>
      </c>
      <c r="C166" s="766">
        <f>SQRT(POWER(E135,2)+POWER(E136,2)+POWER(E145,2))</f>
        <v>16.85312368013057</v>
      </c>
      <c r="D166" s="767">
        <f>SQRT(POWER((C155*G155),2)+POWER((C157*G157),2)+POWER((C159*G159),2)+POWER((C161*G161),2))/(SUM(C155:C162))</f>
        <v>75.7806458151165</v>
      </c>
      <c r="E166" s="777"/>
      <c r="F166" s="777"/>
    </row>
    <row r="167" spans="2:6" ht="15">
      <c r="B167" s="776"/>
      <c r="C167" s="777"/>
      <c r="D167" s="777"/>
      <c r="E167" s="777"/>
      <c r="F167" s="777"/>
    </row>
    <row r="168" s="665" customFormat="1" ht="21">
      <c r="A168" s="664" t="s">
        <v>1388</v>
      </c>
    </row>
    <row r="169" s="663" customFormat="1" ht="16.5" thickBot="1">
      <c r="A169" s="753"/>
    </row>
    <row r="170" spans="2:9" ht="14.45" customHeight="1">
      <c r="B170" s="1749" t="s">
        <v>1310</v>
      </c>
      <c r="C170" s="1750"/>
      <c r="D170" s="1750"/>
      <c r="E170" s="1750"/>
      <c r="F170" s="1750"/>
      <c r="G170" s="1751"/>
      <c r="H170" s="744"/>
      <c r="I170" s="744"/>
    </row>
    <row r="171" spans="2:7" ht="14.45" customHeight="1">
      <c r="B171" s="729" t="s">
        <v>1329</v>
      </c>
      <c r="C171" s="683" t="s">
        <v>1335</v>
      </c>
      <c r="D171" s="684" t="s">
        <v>1311</v>
      </c>
      <c r="E171" s="684" t="s">
        <v>1312</v>
      </c>
      <c r="F171" s="684" t="s">
        <v>1313</v>
      </c>
      <c r="G171" s="774" t="s">
        <v>1440</v>
      </c>
    </row>
    <row r="172" spans="2:7" ht="57" customHeight="1">
      <c r="B172" s="714" t="s">
        <v>1375</v>
      </c>
      <c r="C172" s="716"/>
      <c r="D172" s="715">
        <v>-10</v>
      </c>
      <c r="E172" s="716">
        <v>10</v>
      </c>
      <c r="F172" s="771">
        <f>(ABS(D172)+E172)/2</f>
        <v>10</v>
      </c>
      <c r="G172" s="778" t="s">
        <v>1434</v>
      </c>
    </row>
    <row r="173" spans="2:17" ht="14.45" customHeight="1">
      <c r="B173" s="714" t="s">
        <v>1376</v>
      </c>
      <c r="C173" s="716"/>
      <c r="D173" s="715"/>
      <c r="E173" s="715"/>
      <c r="F173" s="771">
        <f>AVERAGE(F174:F181)</f>
        <v>9.166666666666666</v>
      </c>
      <c r="G173" s="743"/>
      <c r="O173" s="327"/>
      <c r="P173" s="709"/>
      <c r="Q173" s="709"/>
    </row>
    <row r="174" spans="2:17" ht="19.5" customHeight="1">
      <c r="B174" s="781" t="s">
        <v>1390</v>
      </c>
      <c r="C174" s="715"/>
      <c r="D174" s="715">
        <v>-10</v>
      </c>
      <c r="E174" s="716">
        <v>10</v>
      </c>
      <c r="F174" s="715">
        <f>(ABS(D174)+E174)/2</f>
        <v>10</v>
      </c>
      <c r="G174" s="1797" t="s">
        <v>1434</v>
      </c>
      <c r="O174" s="327"/>
      <c r="P174" s="709"/>
      <c r="Q174" s="782"/>
    </row>
    <row r="175" spans="2:17" ht="15">
      <c r="B175" s="783" t="s">
        <v>1391</v>
      </c>
      <c r="C175" s="715"/>
      <c r="D175" s="715">
        <v>-10</v>
      </c>
      <c r="E175" s="716">
        <v>10</v>
      </c>
      <c r="F175" s="715">
        <f aca="true" t="shared" si="10" ref="F175:F188">(ABS(D175)+E175)/2</f>
        <v>10</v>
      </c>
      <c r="G175" s="1798"/>
      <c r="O175" s="327"/>
      <c r="P175" s="709"/>
      <c r="Q175" s="782"/>
    </row>
    <row r="176" spans="2:17" ht="15">
      <c r="B176" s="783" t="s">
        <v>1392</v>
      </c>
      <c r="C176" s="715"/>
      <c r="D176" s="715">
        <v>-10</v>
      </c>
      <c r="E176" s="716">
        <v>10</v>
      </c>
      <c r="F176" s="715">
        <f t="shared" si="10"/>
        <v>10</v>
      </c>
      <c r="G176" s="1798"/>
      <c r="O176" s="327"/>
      <c r="P176" s="709"/>
      <c r="Q176" s="782"/>
    </row>
    <row r="177" spans="2:17" ht="15">
      <c r="B177" s="783" t="s">
        <v>1393</v>
      </c>
      <c r="C177" s="715"/>
      <c r="D177" s="715">
        <v>-10</v>
      </c>
      <c r="E177" s="716">
        <v>10</v>
      </c>
      <c r="F177" s="715">
        <f t="shared" si="10"/>
        <v>10</v>
      </c>
      <c r="G177" s="1798"/>
      <c r="O177" s="327"/>
      <c r="P177" s="709"/>
      <c r="Q177" s="782"/>
    </row>
    <row r="178" spans="2:17" ht="15">
      <c r="B178" s="783" t="s">
        <v>1394</v>
      </c>
      <c r="C178" s="715"/>
      <c r="D178" s="715" t="s">
        <v>1324</v>
      </c>
      <c r="E178" s="715" t="s">
        <v>1324</v>
      </c>
      <c r="F178" s="715" t="s">
        <v>1324</v>
      </c>
      <c r="G178" s="1798"/>
      <c r="O178" s="327"/>
      <c r="P178" s="709"/>
      <c r="Q178" s="782"/>
    </row>
    <row r="179" spans="2:17" ht="15">
      <c r="B179" s="783" t="s">
        <v>1395</v>
      </c>
      <c r="C179" s="715"/>
      <c r="D179" s="715">
        <v>-10</v>
      </c>
      <c r="E179" s="716">
        <v>10</v>
      </c>
      <c r="F179" s="715">
        <f t="shared" si="10"/>
        <v>10</v>
      </c>
      <c r="G179" s="1798"/>
      <c r="O179" s="327"/>
      <c r="P179" s="709"/>
      <c r="Q179" s="782"/>
    </row>
    <row r="180" spans="2:17" ht="15">
      <c r="B180" s="783" t="s">
        <v>1396</v>
      </c>
      <c r="C180" s="715"/>
      <c r="D180" s="715" t="s">
        <v>1324</v>
      </c>
      <c r="E180" s="715" t="s">
        <v>1324</v>
      </c>
      <c r="F180" s="715" t="s">
        <v>1324</v>
      </c>
      <c r="G180" s="1798"/>
      <c r="O180" s="327"/>
      <c r="P180" s="709"/>
      <c r="Q180" s="782"/>
    </row>
    <row r="181" spans="2:17" ht="15">
      <c r="B181" s="783" t="s">
        <v>1397</v>
      </c>
      <c r="C181" s="715"/>
      <c r="D181" s="715">
        <v>-5</v>
      </c>
      <c r="E181" s="715">
        <v>5</v>
      </c>
      <c r="F181" s="715">
        <f t="shared" si="10"/>
        <v>5</v>
      </c>
      <c r="G181" s="1799"/>
      <c r="O181" s="327"/>
      <c r="P181" s="709"/>
      <c r="Q181" s="782"/>
    </row>
    <row r="182" spans="2:17" ht="15">
      <c r="B182" s="719" t="s">
        <v>1377</v>
      </c>
      <c r="C182" s="715"/>
      <c r="D182" s="715"/>
      <c r="E182" s="715"/>
      <c r="F182" s="771">
        <f>AVERAGE(F183:F188)</f>
        <v>10</v>
      </c>
      <c r="G182" s="784"/>
      <c r="O182" s="327"/>
      <c r="P182" s="709"/>
      <c r="Q182" s="782"/>
    </row>
    <row r="183" spans="2:17" ht="18" customHeight="1">
      <c r="B183" s="785" t="s">
        <v>1398</v>
      </c>
      <c r="C183" s="716"/>
      <c r="D183" s="716">
        <v>-10</v>
      </c>
      <c r="E183" s="716">
        <v>10</v>
      </c>
      <c r="F183" s="715">
        <f t="shared" si="10"/>
        <v>10</v>
      </c>
      <c r="G183" s="1797" t="s">
        <v>1434</v>
      </c>
      <c r="O183" s="327"/>
      <c r="P183" s="709"/>
      <c r="Q183" s="782"/>
    </row>
    <row r="184" spans="2:17" ht="15">
      <c r="B184" s="785" t="s">
        <v>1399</v>
      </c>
      <c r="C184" s="716"/>
      <c r="D184" s="716">
        <v>-10</v>
      </c>
      <c r="E184" s="716">
        <v>10</v>
      </c>
      <c r="F184" s="715">
        <f t="shared" si="10"/>
        <v>10</v>
      </c>
      <c r="G184" s="1798"/>
      <c r="O184" s="327"/>
      <c r="P184" s="709"/>
      <c r="Q184" s="782"/>
    </row>
    <row r="185" spans="2:17" ht="15">
      <c r="B185" s="786" t="s">
        <v>1400</v>
      </c>
      <c r="C185" s="716"/>
      <c r="D185" s="716">
        <v>-10</v>
      </c>
      <c r="E185" s="716">
        <v>10</v>
      </c>
      <c r="F185" s="715">
        <f t="shared" si="10"/>
        <v>10</v>
      </c>
      <c r="G185" s="1798"/>
      <c r="O185" s="327"/>
      <c r="P185" s="709"/>
      <c r="Q185" s="782"/>
    </row>
    <row r="186" spans="2:17" ht="15">
      <c r="B186" s="786" t="s">
        <v>1401</v>
      </c>
      <c r="C186" s="716"/>
      <c r="D186" s="716">
        <v>-10</v>
      </c>
      <c r="E186" s="716">
        <v>10</v>
      </c>
      <c r="F186" s="715">
        <f t="shared" si="10"/>
        <v>10</v>
      </c>
      <c r="G186" s="1798"/>
      <c r="O186" s="327"/>
      <c r="P186" s="709"/>
      <c r="Q186" s="782"/>
    </row>
    <row r="187" spans="2:17" ht="15">
      <c r="B187" s="786" t="s">
        <v>1402</v>
      </c>
      <c r="C187" s="716"/>
      <c r="D187" s="716">
        <v>-10</v>
      </c>
      <c r="E187" s="716">
        <v>10</v>
      </c>
      <c r="F187" s="715">
        <f t="shared" si="10"/>
        <v>10</v>
      </c>
      <c r="G187" s="1798"/>
      <c r="O187" s="327"/>
      <c r="P187" s="709"/>
      <c r="Q187" s="782"/>
    </row>
    <row r="188" spans="2:17" ht="16.5" customHeight="1" thickBot="1">
      <c r="B188" s="787" t="s">
        <v>1403</v>
      </c>
      <c r="C188" s="763"/>
      <c r="D188" s="763">
        <v>-10</v>
      </c>
      <c r="E188" s="763">
        <v>10</v>
      </c>
      <c r="F188" s="727">
        <f t="shared" si="10"/>
        <v>10</v>
      </c>
      <c r="G188" s="1800"/>
      <c r="O188" s="327"/>
      <c r="P188" s="709"/>
      <c r="Q188" s="782"/>
    </row>
    <row r="189" ht="15.75" thickBot="1"/>
    <row r="190" spans="2:10" ht="15.75">
      <c r="B190" s="1787" t="s">
        <v>1367</v>
      </c>
      <c r="C190" s="1788"/>
      <c r="D190" s="1788"/>
      <c r="E190" s="1788"/>
      <c r="F190" s="1788"/>
      <c r="G190" s="1788"/>
      <c r="H190" s="1789"/>
      <c r="J190" s="753"/>
    </row>
    <row r="191" spans="2:15" ht="16.5" thickBot="1">
      <c r="B191" s="788" t="s">
        <v>1329</v>
      </c>
      <c r="C191" s="683" t="s">
        <v>1335</v>
      </c>
      <c r="D191" s="683" t="s">
        <v>1352</v>
      </c>
      <c r="E191" s="683" t="s">
        <v>1372</v>
      </c>
      <c r="F191" s="683" t="s">
        <v>1354</v>
      </c>
      <c r="G191" s="683" t="s">
        <v>1313</v>
      </c>
      <c r="H191" s="774" t="s">
        <v>1440</v>
      </c>
      <c r="J191" s="754"/>
      <c r="K191" s="754"/>
      <c r="O191" s="789"/>
    </row>
    <row r="192" spans="2:13" ht="15">
      <c r="B192" s="1777" t="s">
        <v>1404</v>
      </c>
      <c r="C192" s="1779">
        <f>'[3]3C5 EMISIONES'!I11*310</f>
        <v>902.6522872800421</v>
      </c>
      <c r="D192" s="1781">
        <v>0.01</v>
      </c>
      <c r="E192" s="790">
        <v>0.002</v>
      </c>
      <c r="F192" s="790">
        <v>0.05</v>
      </c>
      <c r="G192" s="1782">
        <f>(ABS(E193)+F193)/2*100</f>
        <v>240</v>
      </c>
      <c r="H192" s="1795" t="s">
        <v>1405</v>
      </c>
      <c r="J192" s="791"/>
      <c r="K192" s="791"/>
      <c r="L192" s="736"/>
      <c r="M192" s="736"/>
    </row>
    <row r="193" spans="2:13" ht="15">
      <c r="B193" s="1778"/>
      <c r="C193" s="1780"/>
      <c r="D193" s="1780"/>
      <c r="E193" s="757">
        <f>+(E192-D192)/D192</f>
        <v>-0.8</v>
      </c>
      <c r="F193" s="757">
        <f>+(F192-D192)/D192</f>
        <v>4</v>
      </c>
      <c r="G193" s="1783"/>
      <c r="H193" s="1785"/>
      <c r="J193" s="791"/>
      <c r="K193" s="791"/>
      <c r="L193" s="736"/>
      <c r="M193" s="736"/>
    </row>
    <row r="194" spans="2:13" ht="15">
      <c r="B194" s="1786" t="s">
        <v>1406</v>
      </c>
      <c r="C194" s="1780"/>
      <c r="D194" s="1780">
        <v>0.11</v>
      </c>
      <c r="E194" s="716">
        <v>0.02</v>
      </c>
      <c r="F194" s="716">
        <v>0.33</v>
      </c>
      <c r="G194" s="1783">
        <f>(ABS(E195)+F195)/2*100</f>
        <v>140.9090909090909</v>
      </c>
      <c r="H194" s="1785" t="s">
        <v>1407</v>
      </c>
      <c r="J194" s="791"/>
      <c r="K194" s="791"/>
      <c r="L194" s="789"/>
      <c r="M194" s="789"/>
    </row>
    <row r="195" spans="2:13" ht="15">
      <c r="B195" s="1778"/>
      <c r="C195" s="1780"/>
      <c r="D195" s="1780"/>
      <c r="E195" s="757">
        <f>+(E194-D194)/D194</f>
        <v>-0.8181818181818181</v>
      </c>
      <c r="F195" s="757">
        <f>+(F194-D194)/D194</f>
        <v>2.0000000000000004</v>
      </c>
      <c r="G195" s="1783"/>
      <c r="H195" s="1785"/>
      <c r="J195" s="791"/>
      <c r="K195" s="791"/>
      <c r="L195" s="789"/>
      <c r="M195" s="789"/>
    </row>
    <row r="196" spans="2:13" ht="24" customHeight="1">
      <c r="B196" s="1786" t="s">
        <v>1408</v>
      </c>
      <c r="C196" s="1780"/>
      <c r="D196" s="1780">
        <v>0.21</v>
      </c>
      <c r="E196" s="716">
        <v>0</v>
      </c>
      <c r="F196" s="716">
        <v>0.31</v>
      </c>
      <c r="G196" s="1801">
        <f>(ABS(E197)+F197)/2*100</f>
        <v>73.80952380952381</v>
      </c>
      <c r="H196" s="1785"/>
      <c r="J196" s="791"/>
      <c r="K196" s="791"/>
      <c r="L196" s="789"/>
      <c r="M196" s="789"/>
    </row>
    <row r="197" spans="2:13" ht="31.5" customHeight="1">
      <c r="B197" s="1778"/>
      <c r="C197" s="1780"/>
      <c r="D197" s="1780"/>
      <c r="E197" s="757">
        <f>+(E196-D196)/D196</f>
        <v>-1</v>
      </c>
      <c r="F197" s="757">
        <f>+(F196-D196)/D196</f>
        <v>0.4761904761904762</v>
      </c>
      <c r="G197" s="1801"/>
      <c r="H197" s="1785"/>
      <c r="J197" s="791"/>
      <c r="K197" s="791"/>
      <c r="L197" s="789"/>
      <c r="M197" s="789"/>
    </row>
    <row r="198" spans="2:13" ht="20.25" customHeight="1" thickBot="1">
      <c r="B198" s="909"/>
      <c r="C198" s="907"/>
      <c r="D198" s="910"/>
      <c r="E198" s="911"/>
      <c r="F198" s="911"/>
      <c r="G198" s="792">
        <f>SQRT(SUMSQ(G192:G197))</f>
        <v>287.929188700651</v>
      </c>
      <c r="H198" s="793"/>
      <c r="J198" s="791"/>
      <c r="K198" s="791"/>
      <c r="L198" s="789"/>
      <c r="M198" s="789"/>
    </row>
    <row r="199" spans="2:11" ht="15">
      <c r="B199" s="1777" t="s">
        <v>1409</v>
      </c>
      <c r="C199" s="1779">
        <f>'[3]3C5 EMISIONES'!J27*310</f>
        <v>1765.010800956406</v>
      </c>
      <c r="D199" s="1781">
        <v>0.011</v>
      </c>
      <c r="E199" s="790">
        <v>0</v>
      </c>
      <c r="F199" s="790">
        <v>0.02</v>
      </c>
      <c r="G199" s="1782">
        <f>(ABS(E200)+F200)/2*100</f>
        <v>90.90909090909092</v>
      </c>
      <c r="H199" s="1795" t="s">
        <v>1410</v>
      </c>
      <c r="J199" s="791"/>
      <c r="K199" s="791"/>
    </row>
    <row r="200" spans="2:11" ht="30" customHeight="1">
      <c r="B200" s="1778"/>
      <c r="C200" s="1780"/>
      <c r="D200" s="1780"/>
      <c r="E200" s="757">
        <f>+(E199-D199)/D199</f>
        <v>-1</v>
      </c>
      <c r="F200" s="757">
        <f>+(F199-D199)/D199</f>
        <v>0.8181818181818183</v>
      </c>
      <c r="G200" s="1783"/>
      <c r="H200" s="1785"/>
      <c r="J200" s="791"/>
      <c r="K200" s="791"/>
    </row>
    <row r="201" spans="2:11" ht="16.5" customHeight="1">
      <c r="B201" s="1786" t="s">
        <v>1411</v>
      </c>
      <c r="C201" s="1780"/>
      <c r="D201" s="1780">
        <v>0.24</v>
      </c>
      <c r="E201" s="716">
        <v>0.01</v>
      </c>
      <c r="F201" s="716">
        <v>0.73</v>
      </c>
      <c r="G201" s="1783">
        <f>(ABS(E202)+F202)/2*100</f>
        <v>150</v>
      </c>
      <c r="H201" s="1785"/>
      <c r="J201" s="791"/>
      <c r="K201" s="791"/>
    </row>
    <row r="202" spans="2:11" ht="67.5" customHeight="1">
      <c r="B202" s="1778"/>
      <c r="C202" s="1780"/>
      <c r="D202" s="1780"/>
      <c r="E202" s="757">
        <f>+(E201-D201)/D201</f>
        <v>-0.9583333333333333</v>
      </c>
      <c r="F202" s="757">
        <f>+(F201-D201)/D201</f>
        <v>2.0416666666666665</v>
      </c>
      <c r="G202" s="1783"/>
      <c r="H202" s="1785"/>
      <c r="J202" s="791"/>
      <c r="K202" s="791"/>
    </row>
    <row r="203" spans="2:8" ht="15.75" thickBot="1">
      <c r="B203" s="906"/>
      <c r="C203" s="907"/>
      <c r="D203" s="908"/>
      <c r="E203" s="908"/>
      <c r="F203" s="908"/>
      <c r="G203" s="792">
        <f>SQRT(POWER(G199,2)+POWER(G201,2))</f>
        <v>175.39801255977034</v>
      </c>
      <c r="H203" s="794"/>
    </row>
    <row r="204" spans="8:10" ht="15.75" thickBot="1">
      <c r="H204" s="233"/>
      <c r="I204" s="233"/>
      <c r="J204" s="233"/>
    </row>
    <row r="205" spans="2:10" ht="15.75">
      <c r="B205" s="1745" t="s">
        <v>1329</v>
      </c>
      <c r="C205" s="1747" t="s">
        <v>1314</v>
      </c>
      <c r="D205" s="1748"/>
      <c r="H205" s="233"/>
      <c r="I205" s="233"/>
      <c r="J205" s="233"/>
    </row>
    <row r="206" spans="2:10" ht="15.75">
      <c r="B206" s="1746"/>
      <c r="C206" s="712" t="s">
        <v>1316</v>
      </c>
      <c r="D206" s="713" t="s">
        <v>1365</v>
      </c>
      <c r="H206" s="233"/>
      <c r="I206" s="233"/>
      <c r="J206" s="233"/>
    </row>
    <row r="207" spans="2:10" ht="15.75" thickBot="1">
      <c r="B207" s="779" t="s">
        <v>1389</v>
      </c>
      <c r="C207" s="766">
        <f>SQRT(POWER(F172,2)+POWER(F173,2)+POWER(F182,2))</f>
        <v>16.85312368013057</v>
      </c>
      <c r="D207" s="780">
        <f>SQRT(POWER((G198*C192),2)+POWER((G203*C199),2))/(C192+C199)</f>
        <v>151.5228984274102</v>
      </c>
      <c r="H207" s="233"/>
      <c r="I207" s="233"/>
      <c r="J207" s="233"/>
    </row>
    <row r="208" spans="8:10" ht="15">
      <c r="H208" s="233"/>
      <c r="I208" s="233"/>
      <c r="J208" s="233"/>
    </row>
    <row r="209" spans="1:10" s="665" customFormat="1" ht="21">
      <c r="A209" s="664" t="s">
        <v>1412</v>
      </c>
      <c r="H209" s="1796"/>
      <c r="I209" s="1796"/>
      <c r="J209" s="1796"/>
    </row>
    <row r="210" ht="15.75" thickBot="1"/>
    <row r="211" spans="2:14" ht="15.75">
      <c r="B211" s="1749" t="s">
        <v>1310</v>
      </c>
      <c r="C211" s="1750"/>
      <c r="D211" s="1750"/>
      <c r="E211" s="1750"/>
      <c r="F211" s="1750"/>
      <c r="G211" s="1751"/>
      <c r="H211" s="744"/>
      <c r="I211" s="744"/>
      <c r="N211" s="736"/>
    </row>
    <row r="212" spans="2:14" ht="15.75">
      <c r="B212" s="788" t="s">
        <v>1329</v>
      </c>
      <c r="C212" s="683" t="s">
        <v>1335</v>
      </c>
      <c r="D212" s="684" t="s">
        <v>1311</v>
      </c>
      <c r="E212" s="684" t="s">
        <v>1312</v>
      </c>
      <c r="F212" s="683" t="s">
        <v>1313</v>
      </c>
      <c r="G212" s="774" t="s">
        <v>1440</v>
      </c>
      <c r="N212" s="736"/>
    </row>
    <row r="213" spans="2:17" ht="30.75" customHeight="1">
      <c r="B213" s="740" t="s">
        <v>1390</v>
      </c>
      <c r="C213" s="715">
        <f>('[3]3C6 EMISIONES'!H11+'[3]3C6 EMISIONES'!H12+'[3]3C6 EMISIONES'!H23+'[3]3C6 EMISIONES'!H24+'[3]3C6 EMISIONES'!H35+'[3]3C6 EMISIONES'!H36+'[3]3C6 EMISIONES'!H47+'[3]3C6 EMISIONES'!H48+'[3]3C6 EMISIONES'!H59+'[3]3C6 EMISIONES'!H60)*310</f>
        <v>61.875021893150645</v>
      </c>
      <c r="D213" s="715">
        <v>-10</v>
      </c>
      <c r="E213" s="716">
        <v>10</v>
      </c>
      <c r="F213" s="715">
        <f>(ABS(D213)+E213)/2</f>
        <v>10</v>
      </c>
      <c r="G213" s="1757" t="s">
        <v>1434</v>
      </c>
      <c r="O213" s="266"/>
      <c r="P213" s="796"/>
      <c r="Q213" s="797"/>
    </row>
    <row r="214" spans="2:17" ht="18.75" customHeight="1">
      <c r="B214" s="798" t="s">
        <v>1391</v>
      </c>
      <c r="C214" s="715">
        <f>('[3]3C6 EMISIONES'!H13+'[3]3C6 EMISIONES'!H25+'[3]3C6 EMISIONES'!H37+'[3]3C6 EMISIONES'!H49+'[3]3C6 EMISIONES'!H61)*310</f>
        <v>0</v>
      </c>
      <c r="D214" s="715">
        <v>-10</v>
      </c>
      <c r="E214" s="716">
        <v>10</v>
      </c>
      <c r="F214" s="715">
        <f aca="true" t="shared" si="11" ref="F214:F219">(ABS(D214)+E214)/2</f>
        <v>10</v>
      </c>
      <c r="G214" s="1784"/>
      <c r="O214" s="266"/>
      <c r="P214" s="796"/>
      <c r="Q214" s="797"/>
    </row>
    <row r="215" spans="2:17" ht="18.75" customHeight="1">
      <c r="B215" s="798" t="s">
        <v>1414</v>
      </c>
      <c r="C215" s="715">
        <f>('[3]3C6 EMISIONES'!H14+'[3]3C6 EMISIONES'!H26+'[3]3C6 EMISIONES'!H38+'[3]3C6 EMISIONES'!H50+'[3]3C6 EMISIONES'!H62)*310</f>
        <v>0</v>
      </c>
      <c r="D215" s="715">
        <v>-10</v>
      </c>
      <c r="E215" s="716">
        <v>10</v>
      </c>
      <c r="F215" s="715">
        <f t="shared" si="11"/>
        <v>10</v>
      </c>
      <c r="G215" s="1784"/>
      <c r="J215" s="799"/>
      <c r="O215" s="266"/>
      <c r="P215" s="796"/>
      <c r="Q215" s="797"/>
    </row>
    <row r="216" spans="2:17" ht="18.75" customHeight="1">
      <c r="B216" s="798" t="s">
        <v>1393</v>
      </c>
      <c r="C216" s="715">
        <f>('[3]3C6 EMISIONES'!H18+'[3]3C6 EMISIONES'!H19+'[3]3C6 EMISIONES'!H30+'[3]3C6 EMISIONES'!H31+'[3]3C6 EMISIONES'!H42+'[3]3C6 EMISIONES'!H43+'[3]3C6 EMISIONES'!H54+'[3]3C6 EMISIONES'!H55+'[3]3C6 EMISIONES'!H66+'[3]3C6 EMISIONES'!H67)*310</f>
        <v>18.93458129540355</v>
      </c>
      <c r="D216" s="715">
        <v>-10</v>
      </c>
      <c r="E216" s="716">
        <v>10</v>
      </c>
      <c r="F216" s="715">
        <f t="shared" si="11"/>
        <v>10</v>
      </c>
      <c r="G216" s="1784"/>
      <c r="O216" s="266"/>
      <c r="P216" s="796"/>
      <c r="Q216" s="797"/>
    </row>
    <row r="217" spans="2:17" ht="16.5" customHeight="1">
      <c r="B217" s="798" t="s">
        <v>1394</v>
      </c>
      <c r="C217" s="715">
        <f>('[3]3C6 EMISIONES'!H15+'[3]3C6 EMISIONES'!H16+'[3]3C6 EMISIONES'!H27+'[3]3C6 EMISIONES'!H28+'[3]3C6 EMISIONES'!H39+'[3]3C6 EMISIONES'!H40+'[3]3C6 EMISIONES'!H51+'[3]3C6 EMISIONES'!H52+'[3]3C6 EMISIONES'!H63+'[3]3C6 EMISIONES'!H64)*310</f>
        <v>0</v>
      </c>
      <c r="D217" s="715" t="s">
        <v>1324</v>
      </c>
      <c r="E217" s="715" t="s">
        <v>1324</v>
      </c>
      <c r="F217" s="715" t="s">
        <v>1324</v>
      </c>
      <c r="G217" s="1784"/>
      <c r="O217" s="266"/>
      <c r="P217" s="796"/>
      <c r="Q217" s="797"/>
    </row>
    <row r="218" spans="2:17" ht="18" customHeight="1">
      <c r="B218" s="798" t="s">
        <v>1415</v>
      </c>
      <c r="C218" s="715">
        <f>('[3]3C6 EMISIONES'!H17+'[3]3C6 EMISIONES'!H29+'[3]3C6 EMISIONES'!H41+'[3]3C6 EMISIONES'!H53+'[3]3C6 EMISIONES'!H65)*310</f>
        <v>10.96938629239068</v>
      </c>
      <c r="D218" s="715">
        <v>-10</v>
      </c>
      <c r="E218" s="716">
        <v>10</v>
      </c>
      <c r="F218" s="715">
        <f t="shared" si="11"/>
        <v>10</v>
      </c>
      <c r="G218" s="1784"/>
      <c r="O218" s="266"/>
      <c r="P218" s="796"/>
      <c r="Q218" s="797"/>
    </row>
    <row r="219" spans="2:17" ht="16.5" customHeight="1">
      <c r="B219" s="740" t="s">
        <v>1416</v>
      </c>
      <c r="C219" s="715">
        <f>('[3]3C6 EMISIONES'!H20+'[3]3C6 EMISIONES'!H32+'[3]3C6 EMISIONES'!H44+'[3]3C6 EMISIONES'!H56+'[3]3C6 EMISIONES'!H68)*310</f>
        <v>117.5232887857842</v>
      </c>
      <c r="D219" s="715">
        <v>-5</v>
      </c>
      <c r="E219" s="715">
        <v>5</v>
      </c>
      <c r="F219" s="715">
        <f t="shared" si="11"/>
        <v>5</v>
      </c>
      <c r="G219" s="1784"/>
      <c r="O219" s="266"/>
      <c r="P219" s="796"/>
      <c r="Q219" s="797"/>
    </row>
    <row r="220" spans="2:17" ht="15" customHeight="1" thickBot="1">
      <c r="B220" s="800" t="s">
        <v>1396</v>
      </c>
      <c r="C220" s="727">
        <f>('[3]3C6 EMISIONES'!H21+'[3]3C6 EMISIONES'!H33+'[3]3C6 EMISIONES'!H45+'[3]3C6 EMISIONES'!H57+'[3]3C6 EMISIONES'!H69)*310</f>
        <v>0</v>
      </c>
      <c r="D220" s="727" t="s">
        <v>1324</v>
      </c>
      <c r="E220" s="727" t="s">
        <v>1324</v>
      </c>
      <c r="F220" s="727" t="s">
        <v>1324</v>
      </c>
      <c r="G220" s="1776"/>
      <c r="O220" s="266"/>
      <c r="P220" s="796"/>
      <c r="Q220" s="797"/>
    </row>
    <row r="221" spans="2:17" ht="15.75" thickBot="1">
      <c r="B221" s="801"/>
      <c r="K221" s="802"/>
      <c r="Q221" s="803"/>
    </row>
    <row r="222" spans="2:10" ht="15.75">
      <c r="B222" s="1787" t="s">
        <v>1367</v>
      </c>
      <c r="C222" s="1788"/>
      <c r="D222" s="1788"/>
      <c r="E222" s="1788"/>
      <c r="F222" s="1788"/>
      <c r="G222" s="1789"/>
      <c r="J222" s="753"/>
    </row>
    <row r="223" spans="2:17" ht="16.5" customHeight="1">
      <c r="B223" s="729" t="s">
        <v>1329</v>
      </c>
      <c r="C223" s="684" t="s">
        <v>1352</v>
      </c>
      <c r="D223" s="684" t="s">
        <v>1353</v>
      </c>
      <c r="E223" s="684" t="s">
        <v>1354</v>
      </c>
      <c r="F223" s="684" t="s">
        <v>1313</v>
      </c>
      <c r="G223" s="774" t="s">
        <v>1440</v>
      </c>
      <c r="J223" s="744"/>
      <c r="P223" s="709"/>
      <c r="Q223" s="709"/>
    </row>
    <row r="224" spans="2:17" ht="15">
      <c r="B224" s="1786" t="s">
        <v>1417</v>
      </c>
      <c r="C224" s="1780">
        <v>0.01</v>
      </c>
      <c r="D224" s="804">
        <v>0.002</v>
      </c>
      <c r="E224" s="716">
        <v>0.05</v>
      </c>
      <c r="F224" s="1792">
        <f>((ABS(D225)+E225)/2)*100</f>
        <v>240</v>
      </c>
      <c r="G224" s="1785" t="s">
        <v>1405</v>
      </c>
      <c r="J224" s="802"/>
      <c r="O224" s="805"/>
      <c r="P224" s="709"/>
      <c r="Q224" s="709"/>
    </row>
    <row r="225" spans="2:17" ht="15.75" thickBot="1">
      <c r="B225" s="1790"/>
      <c r="C225" s="1791"/>
      <c r="D225" s="806">
        <f>+(D224-C224)/C224</f>
        <v>-0.8</v>
      </c>
      <c r="E225" s="806">
        <f>+(E224-C224)/C224</f>
        <v>4</v>
      </c>
      <c r="F225" s="1793"/>
      <c r="G225" s="1794"/>
      <c r="J225" s="802"/>
      <c r="O225" s="710"/>
      <c r="P225" s="709"/>
      <c r="Q225" s="709"/>
    </row>
    <row r="226" ht="15.75" thickBot="1">
      <c r="K226" s="807"/>
    </row>
    <row r="227" spans="2:11" ht="15.75">
      <c r="B227" s="1745" t="s">
        <v>1329</v>
      </c>
      <c r="C227" s="1747" t="s">
        <v>1314</v>
      </c>
      <c r="D227" s="1748"/>
      <c r="K227" s="807"/>
    </row>
    <row r="228" spans="2:11" ht="15.75">
      <c r="B228" s="1746"/>
      <c r="C228" s="712" t="s">
        <v>1316</v>
      </c>
      <c r="D228" s="713" t="s">
        <v>1365</v>
      </c>
      <c r="K228" s="807"/>
    </row>
    <row r="229" spans="2:11" ht="15.75" thickBot="1">
      <c r="B229" s="795" t="s">
        <v>1413</v>
      </c>
      <c r="C229" s="766">
        <f>SQRT(POWER((C213*F213),2)+POWER((C214*F214),2)+POWER((C215*F215),2)+POWER((C216*F216),2)+POWER((C218*F218),2)+POWER((C219*F219),2))/(SUM(C213:C219))</f>
        <v>4.208866585177471</v>
      </c>
      <c r="D229" s="780">
        <f>F224</f>
        <v>240</v>
      </c>
      <c r="K229" s="807"/>
    </row>
    <row r="230" ht="15">
      <c r="K230" s="807"/>
    </row>
    <row r="231" spans="1:6" s="665" customFormat="1" ht="21">
      <c r="A231" s="664" t="s">
        <v>1418</v>
      </c>
      <c r="F231" s="808"/>
    </row>
    <row r="232" ht="15.75" thickBot="1">
      <c r="F232" s="809"/>
    </row>
    <row r="233" spans="2:7" ht="15.75">
      <c r="B233" s="1749" t="s">
        <v>1310</v>
      </c>
      <c r="C233" s="1750"/>
      <c r="D233" s="1750"/>
      <c r="E233" s="1750"/>
      <c r="F233" s="1751"/>
      <c r="G233" s="744"/>
    </row>
    <row r="234" spans="2:6" ht="15.75">
      <c r="B234" s="729" t="s">
        <v>1329</v>
      </c>
      <c r="C234" s="684" t="s">
        <v>1311</v>
      </c>
      <c r="D234" s="684" t="s">
        <v>1312</v>
      </c>
      <c r="E234" s="684" t="s">
        <v>1313</v>
      </c>
      <c r="F234" s="774" t="s">
        <v>1440</v>
      </c>
    </row>
    <row r="235" spans="2:6" ht="62.25" customHeight="1" thickBot="1">
      <c r="B235" s="839" t="s">
        <v>1419</v>
      </c>
      <c r="C235" s="727">
        <v>-10</v>
      </c>
      <c r="D235" s="763">
        <v>10</v>
      </c>
      <c r="E235" s="766">
        <f>(ABS(C235)+D235)/2</f>
        <v>10</v>
      </c>
      <c r="F235" s="810" t="s">
        <v>1434</v>
      </c>
    </row>
    <row r="236" ht="12.75" customHeight="1" thickBot="1">
      <c r="N236" s="759"/>
    </row>
    <row r="237" spans="2:11" ht="15" customHeight="1">
      <c r="B237" s="1749" t="s">
        <v>1367</v>
      </c>
      <c r="C237" s="1750"/>
      <c r="D237" s="1750"/>
      <c r="E237" s="1750"/>
      <c r="F237" s="1750"/>
      <c r="G237" s="1750"/>
      <c r="H237" s="1750"/>
      <c r="I237" s="1750"/>
      <c r="J237" s="1750"/>
      <c r="K237" s="1751"/>
    </row>
    <row r="238" spans="2:11" ht="15.75">
      <c r="B238" s="1752" t="s">
        <v>1329</v>
      </c>
      <c r="C238" s="1753"/>
      <c r="D238" s="1753"/>
      <c r="E238" s="684" t="s">
        <v>1335</v>
      </c>
      <c r="F238" s="684" t="s">
        <v>1352</v>
      </c>
      <c r="G238" s="684" t="s">
        <v>1372</v>
      </c>
      <c r="H238" s="684" t="s">
        <v>1421</v>
      </c>
      <c r="I238" s="684"/>
      <c r="J238" s="684" t="s">
        <v>1313</v>
      </c>
      <c r="K238" s="711" t="s">
        <v>784</v>
      </c>
    </row>
    <row r="239" spans="2:11" s="264" customFormat="1" ht="32.25" customHeight="1">
      <c r="B239" s="1762" t="s">
        <v>1422</v>
      </c>
      <c r="C239" s="1763"/>
      <c r="D239" s="1763"/>
      <c r="E239" s="918"/>
      <c r="F239" s="1754">
        <v>1.27</v>
      </c>
      <c r="G239" s="716">
        <v>0.86</v>
      </c>
      <c r="H239" s="716">
        <v>1.88</v>
      </c>
      <c r="I239" s="841"/>
      <c r="J239" s="1755">
        <f>((ABS(G240)+H240)/2)*100</f>
        <v>40.15748031496062</v>
      </c>
      <c r="K239" s="1757" t="s">
        <v>1423</v>
      </c>
    </row>
    <row r="240" spans="2:11" ht="32.25" customHeight="1">
      <c r="B240" s="1764"/>
      <c r="C240" s="1765"/>
      <c r="D240" s="1765"/>
      <c r="E240" s="919"/>
      <c r="F240" s="1754"/>
      <c r="G240" s="812">
        <f>+(G239-F239)/F239</f>
        <v>-0.3228346456692914</v>
      </c>
      <c r="H240" s="812">
        <f>+(H239-F239)/F239</f>
        <v>0.48031496062992113</v>
      </c>
      <c r="I240" s="842"/>
      <c r="J240" s="1756"/>
      <c r="K240" s="1758"/>
    </row>
    <row r="241" spans="2:13" ht="14.45" customHeight="1">
      <c r="B241" s="1770" t="s">
        <v>1424</v>
      </c>
      <c r="C241" s="1771"/>
      <c r="D241" s="1771"/>
      <c r="F241" s="813"/>
      <c r="G241" s="813"/>
      <c r="H241" s="813"/>
      <c r="I241" s="813"/>
      <c r="J241" s="813"/>
      <c r="K241" s="814"/>
      <c r="L241" s="709"/>
      <c r="M241" s="815"/>
    </row>
    <row r="242" spans="2:11" ht="15" customHeight="1">
      <c r="B242" s="1772" t="s">
        <v>1425</v>
      </c>
      <c r="C242" s="1773" t="s">
        <v>1426</v>
      </c>
      <c r="D242" s="1754" t="s">
        <v>1427</v>
      </c>
      <c r="E242" s="1761">
        <f>'[3]3C7 EMISIONES'!E34*21</f>
        <v>242.26077157502868</v>
      </c>
      <c r="F242" s="1754">
        <v>0.71</v>
      </c>
      <c r="G242" s="816">
        <v>0.53</v>
      </c>
      <c r="H242" s="816">
        <v>0.94</v>
      </c>
      <c r="I242" s="843"/>
      <c r="J242" s="1759">
        <f>(ABS(G243)+H243)/2*100</f>
        <v>28.873239436619713</v>
      </c>
      <c r="K242" s="1757" t="s">
        <v>1428</v>
      </c>
    </row>
    <row r="243" spans="2:11" ht="15">
      <c r="B243" s="1772"/>
      <c r="C243" s="1773"/>
      <c r="D243" s="1754"/>
      <c r="E243" s="1761"/>
      <c r="F243" s="1754"/>
      <c r="G243" s="817">
        <f>+(G242-F242)/F242</f>
        <v>-0.2535211267605633</v>
      </c>
      <c r="H243" s="817">
        <f>+(H242-F242)/F242</f>
        <v>0.323943661971831</v>
      </c>
      <c r="I243" s="844"/>
      <c r="J243" s="1760"/>
      <c r="K243" s="1784"/>
    </row>
    <row r="244" spans="2:11" ht="15">
      <c r="B244" s="1772"/>
      <c r="C244" s="1773"/>
      <c r="D244" s="1754" t="s">
        <v>1429</v>
      </c>
      <c r="E244" s="1761">
        <f>'[3]3C7 EMISIONES'!E35*21</f>
        <v>816.399843222043</v>
      </c>
      <c r="F244" s="1754">
        <v>0.55</v>
      </c>
      <c r="G244" s="816">
        <v>0.41</v>
      </c>
      <c r="H244" s="816">
        <v>0.72</v>
      </c>
      <c r="I244" s="843"/>
      <c r="J244" s="1759">
        <f>(ABS(G245)+H245)/2*100</f>
        <v>28.181818181818173</v>
      </c>
      <c r="K244" s="1784"/>
    </row>
    <row r="245" spans="2:11" ht="15">
      <c r="B245" s="1772"/>
      <c r="C245" s="1773"/>
      <c r="D245" s="1754"/>
      <c r="E245" s="1761"/>
      <c r="F245" s="1754"/>
      <c r="G245" s="817">
        <f>+(G244-F244)/F244</f>
        <v>-0.25454545454545463</v>
      </c>
      <c r="H245" s="817">
        <f>+(H244-F244)/F244</f>
        <v>0.3090909090909089</v>
      </c>
      <c r="I245" s="844"/>
      <c r="J245" s="1760"/>
      <c r="K245" s="1784"/>
    </row>
    <row r="246" spans="2:11" ht="15">
      <c r="B246" s="1772" t="s">
        <v>338</v>
      </c>
      <c r="C246" s="1754" t="s">
        <v>1430</v>
      </c>
      <c r="D246" s="1754"/>
      <c r="E246" s="1761">
        <f>'[3]3C7 EMISIONES'!E37*21</f>
        <v>14.173436256827248</v>
      </c>
      <c r="F246" s="1754">
        <v>0.54</v>
      </c>
      <c r="G246" s="816">
        <v>0.39</v>
      </c>
      <c r="H246" s="816">
        <v>0.74</v>
      </c>
      <c r="I246" s="843"/>
      <c r="J246" s="1759">
        <f>(ABS(G247)+H247)/2*100</f>
        <v>32.407407407407405</v>
      </c>
      <c r="K246" s="1784"/>
    </row>
    <row r="247" spans="2:11" ht="15">
      <c r="B247" s="1772"/>
      <c r="C247" s="1754"/>
      <c r="D247" s="1754"/>
      <c r="E247" s="1761"/>
      <c r="F247" s="1754"/>
      <c r="G247" s="817">
        <f>+(G246-F246)/F246</f>
        <v>-0.2777777777777778</v>
      </c>
      <c r="H247" s="817">
        <f>+(H246-F246)/F246</f>
        <v>0.37037037037037024</v>
      </c>
      <c r="I247" s="844"/>
      <c r="J247" s="1760"/>
      <c r="K247" s="1784"/>
    </row>
    <row r="248" spans="2:11" ht="15">
      <c r="B248" s="1772"/>
      <c r="C248" s="1754" t="s">
        <v>1431</v>
      </c>
      <c r="D248" s="1754"/>
      <c r="E248" s="1761">
        <f>'[3]3C7 EMISIONES'!E38*21</f>
        <v>4.1995366686895546</v>
      </c>
      <c r="F248" s="1754">
        <v>0.16</v>
      </c>
      <c r="G248" s="816">
        <v>0.11</v>
      </c>
      <c r="H248" s="816">
        <v>0.24</v>
      </c>
      <c r="I248" s="843"/>
      <c r="J248" s="1759">
        <f>(ABS(G249)+H249)/2*100</f>
        <v>40.62499999999999</v>
      </c>
      <c r="K248" s="1784"/>
    </row>
    <row r="249" spans="2:11" s="264" customFormat="1" ht="15">
      <c r="B249" s="1772"/>
      <c r="C249" s="1754"/>
      <c r="D249" s="1754"/>
      <c r="E249" s="1761"/>
      <c r="F249" s="1754"/>
      <c r="G249" s="818">
        <f>+(G248-F248)/F248</f>
        <v>-0.3125</v>
      </c>
      <c r="H249" s="819">
        <f>+(H248-F248)/F248</f>
        <v>0.4999999999999999</v>
      </c>
      <c r="I249" s="845"/>
      <c r="J249" s="1760"/>
      <c r="K249" s="1784"/>
    </row>
    <row r="250" spans="2:11" ht="15.6" customHeight="1">
      <c r="B250" s="1772"/>
      <c r="C250" s="1754" t="s">
        <v>310</v>
      </c>
      <c r="D250" s="1754"/>
      <c r="E250" s="1761">
        <f>'[3]3C7 EMISIONES'!E39*21</f>
        <v>7.874131253792913</v>
      </c>
      <c r="F250" s="1754">
        <v>0.06</v>
      </c>
      <c r="G250" s="820">
        <v>0.03</v>
      </c>
      <c r="H250" s="821">
        <v>0.12</v>
      </c>
      <c r="I250" s="846"/>
      <c r="J250" s="1759">
        <f>(ABS(G251)+H251)/2*100</f>
        <v>75</v>
      </c>
      <c r="K250" s="1784"/>
    </row>
    <row r="251" spans="2:11" ht="15.6" customHeight="1">
      <c r="B251" s="1772"/>
      <c r="C251" s="1754"/>
      <c r="D251" s="1754"/>
      <c r="E251" s="1761"/>
      <c r="F251" s="1754"/>
      <c r="G251" s="818">
        <f>+(G250-F250)/F250</f>
        <v>-0.5</v>
      </c>
      <c r="H251" s="819">
        <f>+(H250-F250)/F250</f>
        <v>1</v>
      </c>
      <c r="I251" s="845"/>
      <c r="J251" s="1760"/>
      <c r="K251" s="1784"/>
    </row>
    <row r="252" spans="2:11" ht="15.6" customHeight="1">
      <c r="B252" s="912"/>
      <c r="C252" s="913"/>
      <c r="D252" s="913"/>
      <c r="E252" s="914"/>
      <c r="F252" s="913"/>
      <c r="G252" s="915"/>
      <c r="H252" s="916"/>
      <c r="I252" s="917"/>
      <c r="J252" s="822">
        <f>SQRT(POWER((E242*J242),2)+POWER((E244*J244),2)+POWER((E246*J246),2)+POWER((E248*J248),2)+POWER((E250*J250),2))/(SUM(E242:E251))</f>
        <v>22.176701546379007</v>
      </c>
      <c r="K252" s="1758"/>
    </row>
    <row r="253" spans="2:11" ht="31.5" customHeight="1">
      <c r="B253" s="1766" t="s">
        <v>1432</v>
      </c>
      <c r="C253" s="1767"/>
      <c r="D253" s="1767"/>
      <c r="E253" s="1754"/>
      <c r="F253" s="1754">
        <v>1.22</v>
      </c>
      <c r="G253" s="823">
        <v>1.08</v>
      </c>
      <c r="H253" s="823">
        <v>1.37</v>
      </c>
      <c r="I253" s="847"/>
      <c r="J253" s="1755">
        <f>(ABS(G254)+H254)/2*100</f>
        <v>11.885245901639346</v>
      </c>
      <c r="K253" s="1757" t="s">
        <v>1433</v>
      </c>
    </row>
    <row r="254" spans="2:11" ht="27" customHeight="1" thickBot="1">
      <c r="B254" s="1768"/>
      <c r="C254" s="1769"/>
      <c r="D254" s="1769"/>
      <c r="E254" s="1774"/>
      <c r="F254" s="1774"/>
      <c r="G254" s="775">
        <f>+(G253-F253)/F253</f>
        <v>-0.11475409836065566</v>
      </c>
      <c r="H254" s="775">
        <f>+(H253-F253)/F253</f>
        <v>0.12295081967213126</v>
      </c>
      <c r="I254" s="848"/>
      <c r="J254" s="1775"/>
      <c r="K254" s="1776"/>
    </row>
    <row r="255" ht="14.45" customHeight="1" thickBot="1"/>
    <row r="256" spans="2:10" ht="14.45" customHeight="1">
      <c r="B256" s="1745" t="s">
        <v>73</v>
      </c>
      <c r="C256" s="1747" t="s">
        <v>1314</v>
      </c>
      <c r="D256" s="1748"/>
      <c r="J256" s="824"/>
    </row>
    <row r="257" spans="2:4" ht="14.45" customHeight="1">
      <c r="B257" s="1746"/>
      <c r="C257" s="712" t="s">
        <v>1316</v>
      </c>
      <c r="D257" s="713" t="s">
        <v>1365</v>
      </c>
    </row>
    <row r="258" spans="2:4" ht="14.45" customHeight="1" thickBot="1">
      <c r="B258" s="811" t="s">
        <v>1420</v>
      </c>
      <c r="C258" s="766">
        <f>E235</f>
        <v>10</v>
      </c>
      <c r="D258" s="780">
        <f>+SQRT(POWER(J239,2)+POWER(J252,2)+POWER(J253,2))</f>
        <v>47.38869471578695</v>
      </c>
    </row>
    <row r="259" ht="14.45" customHeight="1"/>
    <row r="260" ht="14.45" customHeight="1"/>
  </sheetData>
  <mergeCells count="135">
    <mergeCell ref="J73:K77"/>
    <mergeCell ref="B75:F75"/>
    <mergeCell ref="F8:F14"/>
    <mergeCell ref="G19:G30"/>
    <mergeCell ref="G31:G44"/>
    <mergeCell ref="C46:D46"/>
    <mergeCell ref="B94:F94"/>
    <mergeCell ref="B111:B112"/>
    <mergeCell ref="B60:F60"/>
    <mergeCell ref="B79:B80"/>
    <mergeCell ref="C79:E79"/>
    <mergeCell ref="C111:E111"/>
    <mergeCell ref="B6:F6"/>
    <mergeCell ref="B46:B47"/>
    <mergeCell ref="B16:G16"/>
    <mergeCell ref="F62:F69"/>
    <mergeCell ref="B71:F71"/>
    <mergeCell ref="B105:G105"/>
    <mergeCell ref="C107:E107"/>
    <mergeCell ref="B108:B109"/>
    <mergeCell ref="C108:C109"/>
    <mergeCell ref="F108:F109"/>
    <mergeCell ref="G108:G109"/>
    <mergeCell ref="B99:G99"/>
    <mergeCell ref="C101:E101"/>
    <mergeCell ref="B102:B103"/>
    <mergeCell ref="C102:C103"/>
    <mergeCell ref="F102:F103"/>
    <mergeCell ref="G102:G103"/>
    <mergeCell ref="B133:B134"/>
    <mergeCell ref="E133:E134"/>
    <mergeCell ref="F133:F134"/>
    <mergeCell ref="F135:F151"/>
    <mergeCell ref="B118:D118"/>
    <mergeCell ref="B126:B127"/>
    <mergeCell ref="C126:D126"/>
    <mergeCell ref="E119:E120"/>
    <mergeCell ref="B122:F122"/>
    <mergeCell ref="C124:D124"/>
    <mergeCell ref="B132:F132"/>
    <mergeCell ref="B153:H153"/>
    <mergeCell ref="B155:B156"/>
    <mergeCell ref="C155:C156"/>
    <mergeCell ref="D155:D156"/>
    <mergeCell ref="G155:G156"/>
    <mergeCell ref="H155:H162"/>
    <mergeCell ref="B157:B158"/>
    <mergeCell ref="C157:C158"/>
    <mergeCell ref="D157:D158"/>
    <mergeCell ref="G157:G158"/>
    <mergeCell ref="B170:G170"/>
    <mergeCell ref="B205:B206"/>
    <mergeCell ref="C205:D205"/>
    <mergeCell ref="G174:G181"/>
    <mergeCell ref="G183:G188"/>
    <mergeCell ref="B190:H190"/>
    <mergeCell ref="D196:D197"/>
    <mergeCell ref="G196:G197"/>
    <mergeCell ref="B159:B160"/>
    <mergeCell ref="C159:C160"/>
    <mergeCell ref="D159:D160"/>
    <mergeCell ref="G159:G160"/>
    <mergeCell ref="B161:B162"/>
    <mergeCell ref="C161:C162"/>
    <mergeCell ref="D161:D162"/>
    <mergeCell ref="G161:G162"/>
    <mergeCell ref="B192:B193"/>
    <mergeCell ref="C192:C197"/>
    <mergeCell ref="D192:D193"/>
    <mergeCell ref="G192:G193"/>
    <mergeCell ref="B164:B165"/>
    <mergeCell ref="C164:D164"/>
    <mergeCell ref="H192:H193"/>
    <mergeCell ref="B194:B195"/>
    <mergeCell ref="D194:D195"/>
    <mergeCell ref="G194:G195"/>
    <mergeCell ref="H194:H197"/>
    <mergeCell ref="B196:B197"/>
    <mergeCell ref="G213:G220"/>
    <mergeCell ref="B222:G222"/>
    <mergeCell ref="B224:B225"/>
    <mergeCell ref="C224:C225"/>
    <mergeCell ref="F224:F225"/>
    <mergeCell ref="G224:G225"/>
    <mergeCell ref="H199:H202"/>
    <mergeCell ref="B201:B202"/>
    <mergeCell ref="D201:D202"/>
    <mergeCell ref="G201:G202"/>
    <mergeCell ref="H209:J209"/>
    <mergeCell ref="B211:G211"/>
    <mergeCell ref="E253:E254"/>
    <mergeCell ref="F253:F254"/>
    <mergeCell ref="J253:J254"/>
    <mergeCell ref="K253:K254"/>
    <mergeCell ref="B246:B251"/>
    <mergeCell ref="C246:D247"/>
    <mergeCell ref="B227:B228"/>
    <mergeCell ref="B199:B200"/>
    <mergeCell ref="C199:C202"/>
    <mergeCell ref="D199:D200"/>
    <mergeCell ref="G199:G200"/>
    <mergeCell ref="C227:D227"/>
    <mergeCell ref="C248:D249"/>
    <mergeCell ref="E248:E249"/>
    <mergeCell ref="F248:F249"/>
    <mergeCell ref="J248:J249"/>
    <mergeCell ref="C250:D251"/>
    <mergeCell ref="K242:K252"/>
    <mergeCell ref="B233:F233"/>
    <mergeCell ref="F246:F247"/>
    <mergeCell ref="J246:J247"/>
    <mergeCell ref="B256:B257"/>
    <mergeCell ref="C256:D256"/>
    <mergeCell ref="B237:K237"/>
    <mergeCell ref="B238:D238"/>
    <mergeCell ref="F239:F240"/>
    <mergeCell ref="J239:J240"/>
    <mergeCell ref="K239:K240"/>
    <mergeCell ref="J242:J243"/>
    <mergeCell ref="D244:D245"/>
    <mergeCell ref="E244:E245"/>
    <mergeCell ref="F244:F245"/>
    <mergeCell ref="J244:J245"/>
    <mergeCell ref="E250:E251"/>
    <mergeCell ref="F250:F251"/>
    <mergeCell ref="J250:J251"/>
    <mergeCell ref="B239:D240"/>
    <mergeCell ref="B253:D254"/>
    <mergeCell ref="B241:D241"/>
    <mergeCell ref="B242:B245"/>
    <mergeCell ref="C242:C245"/>
    <mergeCell ref="D242:D243"/>
    <mergeCell ref="E242:E243"/>
    <mergeCell ref="F242:F243"/>
    <mergeCell ref="E246:E24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EC3E6"/>
  </sheetPr>
  <dimension ref="B2:GJ111"/>
  <sheetViews>
    <sheetView workbookViewId="0" topLeftCell="A88">
      <selection activeCell="H99" sqref="H99"/>
    </sheetView>
  </sheetViews>
  <sheetFormatPr defaultColWidth="11.421875" defaultRowHeight="15"/>
  <cols>
    <col min="1" max="1" width="1.57421875" style="70" customWidth="1"/>
    <col min="2" max="7" width="14.421875" style="70" customWidth="1"/>
    <col min="8" max="16384" width="11.421875" style="70" customWidth="1"/>
  </cols>
  <sheetData>
    <row r="1" ht="9" customHeight="1"/>
    <row r="2" spans="2:13" s="53" customFormat="1" ht="17.45" customHeight="1">
      <c r="B2" s="347" t="s">
        <v>1018</v>
      </c>
      <c r="C2" s="347"/>
      <c r="D2" s="347"/>
      <c r="E2" s="347"/>
      <c r="F2" s="347"/>
      <c r="G2" s="347"/>
      <c r="H2" s="347"/>
      <c r="I2" s="347"/>
      <c r="J2" s="347"/>
      <c r="L2" s="53" t="s">
        <v>695</v>
      </c>
      <c r="M2" s="70"/>
    </row>
    <row r="3" s="53" customFormat="1" ht="12.75"/>
    <row r="4" spans="2:10" s="53" customFormat="1" ht="12.75">
      <c r="B4" s="348" t="s">
        <v>1022</v>
      </c>
      <c r="C4" s="348"/>
      <c r="D4" s="348"/>
      <c r="E4" s="348"/>
      <c r="F4" s="348"/>
      <c r="G4" s="348"/>
      <c r="H4" s="348"/>
      <c r="I4" s="348"/>
      <c r="J4" s="348"/>
    </row>
    <row r="5" spans="8:23" ht="13.5" thickBot="1">
      <c r="H5" s="53"/>
      <c r="I5" s="53"/>
      <c r="J5" s="53"/>
      <c r="K5" s="53"/>
      <c r="L5" s="53"/>
      <c r="M5" s="53"/>
      <c r="N5" s="53"/>
      <c r="O5" s="53"/>
      <c r="P5" s="53"/>
      <c r="Q5" s="53"/>
      <c r="R5" s="53"/>
      <c r="S5" s="53"/>
      <c r="T5" s="53"/>
      <c r="U5" s="53"/>
      <c r="V5" s="53"/>
      <c r="W5" s="53"/>
    </row>
    <row r="6" spans="2:12" s="53" customFormat="1" ht="12.75">
      <c r="B6" s="293" t="s">
        <v>1462</v>
      </c>
      <c r="C6" s="1192">
        <v>1</v>
      </c>
      <c r="D6" s="1192"/>
      <c r="E6" s="1192"/>
      <c r="F6" s="1192"/>
      <c r="G6" s="1192"/>
      <c r="H6" s="1192"/>
      <c r="I6" s="1192"/>
      <c r="J6" s="1193"/>
      <c r="K6" s="70"/>
      <c r="L6" s="70"/>
    </row>
    <row r="7" spans="2:12" s="53" customFormat="1" ht="25.5">
      <c r="B7" s="294" t="s">
        <v>1461</v>
      </c>
      <c r="C7" s="1236" t="s">
        <v>733</v>
      </c>
      <c r="D7" s="1236"/>
      <c r="E7" s="1236"/>
      <c r="F7" s="1236"/>
      <c r="G7" s="1236"/>
      <c r="H7" s="1236"/>
      <c r="I7" s="1236"/>
      <c r="J7" s="1237"/>
      <c r="K7" s="70"/>
      <c r="L7" s="70"/>
    </row>
    <row r="8" spans="2:12" s="53" customFormat="1" ht="15" customHeight="1">
      <c r="B8" s="294" t="s">
        <v>73</v>
      </c>
      <c r="C8" s="1227" t="s">
        <v>1568</v>
      </c>
      <c r="D8" s="1227"/>
      <c r="E8" s="1227"/>
      <c r="F8" s="1227"/>
      <c r="G8" s="1227"/>
      <c r="H8" s="1227"/>
      <c r="I8" s="1227"/>
      <c r="J8" s="1228"/>
      <c r="K8" s="70"/>
      <c r="L8" s="70"/>
    </row>
    <row r="9" spans="2:12" s="53" customFormat="1" ht="15">
      <c r="B9" s="294" t="s">
        <v>1010</v>
      </c>
      <c r="C9" s="1234" t="s">
        <v>1466</v>
      </c>
      <c r="D9" s="1234"/>
      <c r="E9" s="1234"/>
      <c r="F9" s="1234"/>
      <c r="G9" s="1234"/>
      <c r="H9" s="1234"/>
      <c r="I9" s="1234"/>
      <c r="J9" s="1235"/>
      <c r="K9" s="70"/>
      <c r="L9" s="70"/>
    </row>
    <row r="10" spans="2:10" s="53" customFormat="1" ht="15" customHeight="1">
      <c r="B10" s="294" t="s">
        <v>74</v>
      </c>
      <c r="C10" s="1162">
        <v>44858</v>
      </c>
      <c r="D10" s="1162"/>
      <c r="E10" s="1162"/>
      <c r="F10" s="1162"/>
      <c r="G10" s="1162"/>
      <c r="H10" s="1162"/>
      <c r="I10" s="1162"/>
      <c r="J10" s="1229"/>
    </row>
    <row r="11" spans="2:10" s="53" customFormat="1" ht="46.5" customHeight="1" thickBot="1">
      <c r="B11" s="295" t="s">
        <v>75</v>
      </c>
      <c r="C11" s="1246" t="s">
        <v>1582</v>
      </c>
      <c r="D11" s="1247"/>
      <c r="E11" s="1247"/>
      <c r="F11" s="1247"/>
      <c r="G11" s="1247"/>
      <c r="H11" s="1247"/>
      <c r="I11" s="1247"/>
      <c r="J11" s="1248"/>
    </row>
    <row r="12" s="53" customFormat="1" ht="15"/>
    <row r="13" spans="2:5" s="53" customFormat="1" ht="15">
      <c r="B13" s="1224" t="s">
        <v>1019</v>
      </c>
      <c r="C13" s="1238" t="s">
        <v>730</v>
      </c>
      <c r="D13" s="1238"/>
      <c r="E13" s="1238"/>
    </row>
    <row r="14" spans="2:5" s="53" customFormat="1" ht="15">
      <c r="B14" s="1224"/>
      <c r="C14" s="291" t="s">
        <v>740</v>
      </c>
      <c r="D14" s="291" t="s">
        <v>205</v>
      </c>
      <c r="E14" s="291" t="s">
        <v>212</v>
      </c>
    </row>
    <row r="15" spans="2:192" s="232" customFormat="1" ht="12.75" customHeight="1">
      <c r="B15" s="304" t="s">
        <v>124</v>
      </c>
      <c r="C15" s="602">
        <f>SUM(C16:C39)</f>
        <v>86472.624</v>
      </c>
      <c r="D15" s="602">
        <f>SUM(D16:D39)</f>
        <v>414401.30000000005</v>
      </c>
      <c r="E15" s="602">
        <f>SUM(E16:E39)</f>
        <v>18874.21</v>
      </c>
      <c r="F15" s="53"/>
      <c r="G15" s="53"/>
      <c r="H15" s="53"/>
      <c r="I15" s="53"/>
      <c r="J15" s="58"/>
      <c r="K15" s="58"/>
      <c r="L15" s="58"/>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row>
    <row r="16" spans="2:5" s="53" customFormat="1" ht="15">
      <c r="B16" s="72" t="s">
        <v>43</v>
      </c>
      <c r="C16" s="466">
        <v>0</v>
      </c>
      <c r="D16" s="466">
        <v>52156</v>
      </c>
      <c r="E16" s="466">
        <v>0</v>
      </c>
    </row>
    <row r="17" spans="2:5" s="53" customFormat="1" ht="15">
      <c r="B17" s="72" t="s">
        <v>223</v>
      </c>
      <c r="C17" s="466">
        <v>7100.76</v>
      </c>
      <c r="D17" s="466">
        <v>5520</v>
      </c>
      <c r="E17" s="466">
        <v>507</v>
      </c>
    </row>
    <row r="18" spans="2:5" s="53" customFormat="1" ht="15">
      <c r="B18" s="72" t="s">
        <v>44</v>
      </c>
      <c r="C18" s="466">
        <v>0</v>
      </c>
      <c r="D18" s="466">
        <v>0</v>
      </c>
      <c r="E18" s="466">
        <v>0</v>
      </c>
    </row>
    <row r="19" spans="2:5" s="53" customFormat="1" ht="15">
      <c r="B19" s="72" t="s">
        <v>45</v>
      </c>
      <c r="C19" s="466">
        <v>605.2700000000001</v>
      </c>
      <c r="D19" s="466">
        <v>20147</v>
      </c>
      <c r="E19" s="466">
        <v>443</v>
      </c>
    </row>
    <row r="20" spans="2:5" s="53" customFormat="1" ht="15">
      <c r="B20" s="72" t="s">
        <v>46</v>
      </c>
      <c r="C20" s="466">
        <v>0</v>
      </c>
      <c r="D20" s="466">
        <v>32</v>
      </c>
      <c r="E20" s="466">
        <v>0</v>
      </c>
    </row>
    <row r="21" spans="2:5" s="53" customFormat="1" ht="15">
      <c r="B21" s="72" t="s">
        <v>47</v>
      </c>
      <c r="C21" s="466">
        <v>0</v>
      </c>
      <c r="D21" s="466">
        <v>22944</v>
      </c>
      <c r="E21" s="466">
        <v>0</v>
      </c>
    </row>
    <row r="22" spans="2:5" s="53" customFormat="1" ht="15">
      <c r="B22" s="72" t="s">
        <v>48</v>
      </c>
      <c r="C22" s="466">
        <v>0</v>
      </c>
      <c r="D22" s="466">
        <v>1029</v>
      </c>
      <c r="E22" s="466">
        <v>0</v>
      </c>
    </row>
    <row r="23" spans="2:5" s="53" customFormat="1" ht="15">
      <c r="B23" s="72" t="s">
        <v>49</v>
      </c>
      <c r="C23" s="466">
        <v>0</v>
      </c>
      <c r="D23" s="466">
        <v>0</v>
      </c>
      <c r="E23" s="466">
        <v>0</v>
      </c>
    </row>
    <row r="24" spans="2:5" s="53" customFormat="1" ht="15">
      <c r="B24" s="72" t="s">
        <v>50</v>
      </c>
      <c r="C24" s="466">
        <v>0</v>
      </c>
      <c r="D24" s="466">
        <v>7518.5</v>
      </c>
      <c r="E24" s="466">
        <v>0</v>
      </c>
    </row>
    <row r="25" spans="2:5" s="53" customFormat="1" ht="15">
      <c r="B25" s="72" t="s">
        <v>51</v>
      </c>
      <c r="C25" s="466">
        <v>0</v>
      </c>
      <c r="D25" s="466">
        <v>0</v>
      </c>
      <c r="E25" s="466">
        <v>11175.85</v>
      </c>
    </row>
    <row r="26" spans="2:5" s="53" customFormat="1" ht="15">
      <c r="B26" s="72" t="s">
        <v>52</v>
      </c>
      <c r="C26" s="466">
        <v>0</v>
      </c>
      <c r="D26" s="466">
        <v>663.15</v>
      </c>
      <c r="E26" s="466">
        <v>0</v>
      </c>
    </row>
    <row r="27" spans="2:5" s="53" customFormat="1" ht="15">
      <c r="B27" s="72" t="s">
        <v>53</v>
      </c>
      <c r="C27" s="466">
        <v>38716.51400000001</v>
      </c>
      <c r="D27" s="466">
        <v>32621.5</v>
      </c>
      <c r="E27" s="466">
        <v>50</v>
      </c>
    </row>
    <row r="28" spans="2:5" s="53" customFormat="1" ht="15">
      <c r="B28" s="72" t="s">
        <v>54</v>
      </c>
      <c r="C28" s="466">
        <v>26361.909999999996</v>
      </c>
      <c r="D28" s="466">
        <v>47936</v>
      </c>
      <c r="E28" s="466">
        <v>2957</v>
      </c>
    </row>
    <row r="29" spans="2:5" s="53" customFormat="1" ht="15">
      <c r="B29" s="73" t="s">
        <v>55</v>
      </c>
      <c r="C29" s="466">
        <v>11846.58</v>
      </c>
      <c r="D29" s="466">
        <v>0</v>
      </c>
      <c r="E29" s="466">
        <v>915</v>
      </c>
    </row>
    <row r="30" spans="2:5" s="53" customFormat="1" ht="15">
      <c r="B30" s="72" t="s">
        <v>56</v>
      </c>
      <c r="C30" s="466">
        <v>0</v>
      </c>
      <c r="D30" s="466">
        <v>35542</v>
      </c>
      <c r="E30" s="466">
        <v>0</v>
      </c>
    </row>
    <row r="31" spans="2:5" s="53" customFormat="1" ht="15">
      <c r="B31" s="72" t="s">
        <v>57</v>
      </c>
      <c r="C31" s="466">
        <v>0</v>
      </c>
      <c r="D31" s="466">
        <v>2277.5</v>
      </c>
      <c r="E31" s="466">
        <v>0</v>
      </c>
    </row>
    <row r="32" spans="2:5" s="53" customFormat="1" ht="15">
      <c r="B32" s="72" t="s">
        <v>58</v>
      </c>
      <c r="C32" s="466">
        <v>0</v>
      </c>
      <c r="D32" s="466">
        <v>0</v>
      </c>
      <c r="E32" s="466">
        <v>0</v>
      </c>
    </row>
    <row r="33" spans="2:5" s="53" customFormat="1" ht="15">
      <c r="B33" s="72" t="s">
        <v>59</v>
      </c>
      <c r="C33" s="466">
        <v>0</v>
      </c>
      <c r="D33" s="466">
        <v>1261</v>
      </c>
      <c r="E33" s="466">
        <v>0</v>
      </c>
    </row>
    <row r="34" spans="2:5" s="53" customFormat="1" ht="15">
      <c r="B34" s="72" t="s">
        <v>60</v>
      </c>
      <c r="C34" s="466">
        <v>1841.59</v>
      </c>
      <c r="D34" s="466">
        <v>49199</v>
      </c>
      <c r="E34" s="466">
        <v>2680</v>
      </c>
    </row>
    <row r="35" spans="2:5" s="53" customFormat="1" ht="15">
      <c r="B35" s="72" t="s">
        <v>61</v>
      </c>
      <c r="C35" s="466">
        <v>0</v>
      </c>
      <c r="D35" s="466">
        <v>114</v>
      </c>
      <c r="E35" s="466">
        <v>0</v>
      </c>
    </row>
    <row r="36" spans="2:5" s="53" customFormat="1" ht="15">
      <c r="B36" s="72" t="s">
        <v>62</v>
      </c>
      <c r="C36" s="466">
        <v>0</v>
      </c>
      <c r="D36" s="466">
        <v>101488</v>
      </c>
      <c r="E36" s="466">
        <v>0</v>
      </c>
    </row>
    <row r="37" spans="2:5" s="53" customFormat="1" ht="15">
      <c r="B37" s="72" t="s">
        <v>63</v>
      </c>
      <c r="C37" s="466">
        <v>0</v>
      </c>
      <c r="D37" s="466">
        <v>0</v>
      </c>
      <c r="E37" s="466">
        <v>0</v>
      </c>
    </row>
    <row r="38" spans="2:5" s="53" customFormat="1" ht="15">
      <c r="B38" s="72" t="s">
        <v>64</v>
      </c>
      <c r="C38" s="466">
        <v>0</v>
      </c>
      <c r="D38" s="466">
        <v>14232.65</v>
      </c>
      <c r="E38" s="466">
        <v>0</v>
      </c>
    </row>
    <row r="39" spans="2:5" s="53" customFormat="1" ht="15">
      <c r="B39" s="72" t="s">
        <v>65</v>
      </c>
      <c r="C39" s="470">
        <v>0</v>
      </c>
      <c r="D39" s="470">
        <v>19720</v>
      </c>
      <c r="E39" s="470">
        <v>146.36</v>
      </c>
    </row>
    <row r="40" s="53" customFormat="1" ht="13.5" thickBot="1">
      <c r="B40" s="74"/>
    </row>
    <row r="41" spans="2:10" s="53" customFormat="1" ht="15">
      <c r="B41" s="293" t="s">
        <v>1462</v>
      </c>
      <c r="C41" s="1241">
        <v>2</v>
      </c>
      <c r="D41" s="1241"/>
      <c r="E41" s="1241"/>
      <c r="F41" s="1241"/>
      <c r="G41" s="1241"/>
      <c r="H41" s="1241"/>
      <c r="I41" s="1241"/>
      <c r="J41" s="1242"/>
    </row>
    <row r="42" spans="2:10" s="53" customFormat="1" ht="15">
      <c r="B42" s="294" t="s">
        <v>1461</v>
      </c>
      <c r="C42" s="1239" t="s">
        <v>1052</v>
      </c>
      <c r="D42" s="1239"/>
      <c r="E42" s="1239"/>
      <c r="F42" s="1239"/>
      <c r="G42" s="1239"/>
      <c r="H42" s="1239"/>
      <c r="I42" s="1239"/>
      <c r="J42" s="1240"/>
    </row>
    <row r="43" spans="2:10" s="53" customFormat="1" ht="15">
      <c r="B43" s="294" t="s">
        <v>73</v>
      </c>
      <c r="C43" s="1239" t="s">
        <v>1570</v>
      </c>
      <c r="D43" s="1239"/>
      <c r="E43" s="1239"/>
      <c r="F43" s="1239"/>
      <c r="G43" s="1239"/>
      <c r="H43" s="1239"/>
      <c r="I43" s="1239"/>
      <c r="J43" s="1240"/>
    </row>
    <row r="44" spans="2:10" s="53" customFormat="1" ht="15">
      <c r="B44" s="294" t="s">
        <v>1010</v>
      </c>
      <c r="C44" s="1245" t="s">
        <v>1571</v>
      </c>
      <c r="D44" s="1239"/>
      <c r="E44" s="1239"/>
      <c r="F44" s="1239"/>
      <c r="G44" s="1239"/>
      <c r="H44" s="1239"/>
      <c r="I44" s="1239"/>
      <c r="J44" s="1240"/>
    </row>
    <row r="45" spans="2:10" s="53" customFormat="1" ht="15">
      <c r="B45" s="294" t="s">
        <v>74</v>
      </c>
      <c r="C45" s="1243"/>
      <c r="D45" s="1243"/>
      <c r="E45" s="1243"/>
      <c r="F45" s="1243"/>
      <c r="G45" s="1243"/>
      <c r="H45" s="1243"/>
      <c r="I45" s="1243"/>
      <c r="J45" s="1244"/>
    </row>
    <row r="46" spans="2:10" s="53" customFormat="1" ht="26.25" customHeight="1" thickBot="1">
      <c r="B46" s="295" t="s">
        <v>75</v>
      </c>
      <c r="C46" s="1221" t="s">
        <v>1569</v>
      </c>
      <c r="D46" s="1221"/>
      <c r="E46" s="1221"/>
      <c r="F46" s="1221"/>
      <c r="G46" s="1221"/>
      <c r="H46" s="1221"/>
      <c r="I46" s="1221"/>
      <c r="J46" s="1222"/>
    </row>
    <row r="47" s="53" customFormat="1" ht="15">
      <c r="B47" s="74"/>
    </row>
    <row r="48" spans="2:6" s="53" customFormat="1" ht="28.5" customHeight="1">
      <c r="B48" s="1224" t="s">
        <v>252</v>
      </c>
      <c r="C48" s="1224"/>
      <c r="D48" s="1224" t="s">
        <v>435</v>
      </c>
      <c r="E48" s="1224"/>
      <c r="F48" s="64"/>
    </row>
    <row r="49" spans="2:5" s="53" customFormat="1" ht="15" customHeight="1">
      <c r="B49" s="1232" t="s">
        <v>203</v>
      </c>
      <c r="C49" s="1232"/>
      <c r="D49" s="1233">
        <v>0.95</v>
      </c>
      <c r="E49" s="1233"/>
    </row>
    <row r="50" spans="2:5" s="53" customFormat="1" ht="15" customHeight="1">
      <c r="B50" s="1232" t="s">
        <v>205</v>
      </c>
      <c r="C50" s="1232"/>
      <c r="D50" s="1233">
        <v>0.2</v>
      </c>
      <c r="E50" s="1233"/>
    </row>
    <row r="51" spans="2:6" s="53" customFormat="1" ht="15">
      <c r="B51" s="1232" t="s">
        <v>212</v>
      </c>
      <c r="C51" s="1232"/>
      <c r="D51" s="1233">
        <v>0.4</v>
      </c>
      <c r="E51" s="1233"/>
      <c r="F51" s="70"/>
    </row>
    <row r="52" spans="2:5" s="53" customFormat="1" ht="13.5" thickBot="1">
      <c r="B52" s="74"/>
      <c r="D52" s="64"/>
      <c r="E52" s="64"/>
    </row>
    <row r="53" spans="2:21" s="53" customFormat="1" ht="15">
      <c r="B53" s="293" t="s">
        <v>1462</v>
      </c>
      <c r="C53" s="1167">
        <v>3</v>
      </c>
      <c r="D53" s="1167"/>
      <c r="E53" s="1167"/>
      <c r="F53" s="1167"/>
      <c r="G53" s="1167"/>
      <c r="H53" s="1167"/>
      <c r="I53" s="1167"/>
      <c r="J53" s="1168"/>
      <c r="K53" s="70"/>
      <c r="L53" s="70"/>
      <c r="R53" s="70"/>
      <c r="S53" s="70"/>
      <c r="T53" s="70"/>
      <c r="U53" s="70"/>
    </row>
    <row r="54" spans="2:21" s="53" customFormat="1" ht="15">
      <c r="B54" s="294" t="s">
        <v>1461</v>
      </c>
      <c r="C54" s="1225" t="s">
        <v>734</v>
      </c>
      <c r="D54" s="1225"/>
      <c r="E54" s="1225"/>
      <c r="F54" s="1225"/>
      <c r="G54" s="1225"/>
      <c r="H54" s="1225"/>
      <c r="I54" s="1225"/>
      <c r="J54" s="1226"/>
      <c r="K54" s="70"/>
      <c r="L54" s="70"/>
      <c r="R54" s="70"/>
      <c r="S54" s="70"/>
      <c r="T54" s="70"/>
      <c r="U54" s="70"/>
    </row>
    <row r="55" spans="2:21" s="53" customFormat="1" ht="15" customHeight="1">
      <c r="B55" s="294" t="s">
        <v>73</v>
      </c>
      <c r="C55" s="1227" t="s">
        <v>1568</v>
      </c>
      <c r="D55" s="1227"/>
      <c r="E55" s="1227"/>
      <c r="F55" s="1227"/>
      <c r="G55" s="1227"/>
      <c r="H55" s="1227"/>
      <c r="I55" s="1227"/>
      <c r="J55" s="1228"/>
      <c r="K55" s="70"/>
      <c r="L55" s="70"/>
      <c r="R55" s="70"/>
      <c r="S55" s="70"/>
      <c r="T55" s="70"/>
      <c r="U55" s="70"/>
    </row>
    <row r="56" spans="2:21" s="53" customFormat="1" ht="12.75" customHeight="1">
      <c r="B56" s="294" t="s">
        <v>1010</v>
      </c>
      <c r="C56" s="1234" t="s">
        <v>1466</v>
      </c>
      <c r="D56" s="1234"/>
      <c r="E56" s="1234"/>
      <c r="F56" s="1234"/>
      <c r="G56" s="1234"/>
      <c r="H56" s="1234"/>
      <c r="I56" s="1234"/>
      <c r="J56" s="1235"/>
      <c r="K56" s="70"/>
      <c r="L56" s="70"/>
      <c r="R56" s="70"/>
      <c r="S56" s="70"/>
      <c r="T56" s="70"/>
      <c r="U56" s="70"/>
    </row>
    <row r="57" spans="2:10" s="53" customFormat="1" ht="15">
      <c r="B57" s="294" t="s">
        <v>74</v>
      </c>
      <c r="C57" s="1162">
        <v>44858</v>
      </c>
      <c r="D57" s="1162"/>
      <c r="E57" s="1162"/>
      <c r="F57" s="1162"/>
      <c r="G57" s="1162"/>
      <c r="H57" s="1162"/>
      <c r="I57" s="1162"/>
      <c r="J57" s="1229"/>
    </row>
    <row r="58" spans="2:10" s="53" customFormat="1" ht="27" customHeight="1" thickBot="1">
      <c r="B58" s="295" t="s">
        <v>75</v>
      </c>
      <c r="C58" s="1183" t="s">
        <v>1583</v>
      </c>
      <c r="D58" s="1183"/>
      <c r="E58" s="1183"/>
      <c r="F58" s="1183"/>
      <c r="G58" s="1183"/>
      <c r="H58" s="1183"/>
      <c r="I58" s="1183"/>
      <c r="J58" s="1184"/>
    </row>
    <row r="59" s="53" customFormat="1" ht="15"/>
    <row r="60" spans="2:3" s="53" customFormat="1" ht="25.5">
      <c r="B60" s="1230" t="s">
        <v>70</v>
      </c>
      <c r="C60" s="323" t="s">
        <v>1115</v>
      </c>
    </row>
    <row r="61" spans="2:3" s="53" customFormat="1" ht="15">
      <c r="B61" s="1231"/>
      <c r="C61" s="553" t="s">
        <v>212</v>
      </c>
    </row>
    <row r="62" spans="2:3" s="53" customFormat="1" ht="15">
      <c r="B62" s="304" t="s">
        <v>124</v>
      </c>
      <c r="C62" s="472">
        <f>SUM(C63:C86)</f>
        <v>56409.701</v>
      </c>
    </row>
    <row r="63" spans="2:3" s="53" customFormat="1" ht="15">
      <c r="B63" s="72" t="s">
        <v>43</v>
      </c>
      <c r="C63" s="466">
        <v>0</v>
      </c>
    </row>
    <row r="64" spans="2:3" s="53" customFormat="1" ht="15">
      <c r="B64" s="72" t="s">
        <v>223</v>
      </c>
      <c r="C64" s="466">
        <v>2921</v>
      </c>
    </row>
    <row r="65" spans="2:3" s="53" customFormat="1" ht="15">
      <c r="B65" s="72" t="s">
        <v>44</v>
      </c>
      <c r="C65" s="466">
        <v>0</v>
      </c>
    </row>
    <row r="66" spans="2:3" s="53" customFormat="1" ht="15">
      <c r="B66" s="72" t="s">
        <v>45</v>
      </c>
      <c r="C66" s="466">
        <v>1908.41</v>
      </c>
    </row>
    <row r="67" spans="2:3" s="53" customFormat="1" ht="15">
      <c r="B67" s="72" t="s">
        <v>46</v>
      </c>
      <c r="C67" s="466">
        <v>0</v>
      </c>
    </row>
    <row r="68" spans="2:3" s="53" customFormat="1" ht="15">
      <c r="B68" s="72" t="s">
        <v>47</v>
      </c>
      <c r="C68" s="466">
        <v>0</v>
      </c>
    </row>
    <row r="69" spans="2:3" s="53" customFormat="1" ht="15">
      <c r="B69" s="72" t="s">
        <v>48</v>
      </c>
      <c r="C69" s="466">
        <v>0</v>
      </c>
    </row>
    <row r="70" spans="2:3" s="53" customFormat="1" ht="15">
      <c r="B70" s="72" t="s">
        <v>49</v>
      </c>
      <c r="C70" s="466">
        <v>0</v>
      </c>
    </row>
    <row r="71" spans="2:3" s="53" customFormat="1" ht="15">
      <c r="B71" s="72" t="s">
        <v>50</v>
      </c>
      <c r="C71" s="466">
        <v>0</v>
      </c>
    </row>
    <row r="72" spans="2:3" s="53" customFormat="1" ht="15">
      <c r="B72" s="72" t="s">
        <v>51</v>
      </c>
      <c r="C72" s="466">
        <v>32203.674000000003</v>
      </c>
    </row>
    <row r="73" spans="2:3" s="53" customFormat="1" ht="15">
      <c r="B73" s="72" t="s">
        <v>52</v>
      </c>
      <c r="C73" s="466">
        <v>0</v>
      </c>
    </row>
    <row r="74" spans="2:3" s="53" customFormat="1" ht="15">
      <c r="B74" s="72" t="s">
        <v>53</v>
      </c>
      <c r="C74" s="466">
        <v>205</v>
      </c>
    </row>
    <row r="75" spans="2:3" s="53" customFormat="1" ht="15">
      <c r="B75" s="72" t="s">
        <v>54</v>
      </c>
      <c r="C75" s="466">
        <v>7115.8</v>
      </c>
    </row>
    <row r="76" spans="2:3" s="53" customFormat="1" ht="15">
      <c r="B76" s="73" t="s">
        <v>55</v>
      </c>
      <c r="C76" s="466">
        <v>2772.3500000000004</v>
      </c>
    </row>
    <row r="77" spans="2:3" s="53" customFormat="1" ht="15">
      <c r="B77" s="72" t="s">
        <v>56</v>
      </c>
      <c r="C77" s="466">
        <v>0</v>
      </c>
    </row>
    <row r="78" spans="2:3" s="53" customFormat="1" ht="15">
      <c r="B78" s="72" t="s">
        <v>57</v>
      </c>
      <c r="C78" s="466">
        <v>0</v>
      </c>
    </row>
    <row r="79" spans="2:3" s="53" customFormat="1" ht="15">
      <c r="B79" s="72" t="s">
        <v>58</v>
      </c>
      <c r="C79" s="466">
        <v>0</v>
      </c>
    </row>
    <row r="80" spans="2:3" s="53" customFormat="1" ht="15">
      <c r="B80" s="72" t="s">
        <v>59</v>
      </c>
      <c r="C80" s="466">
        <v>0</v>
      </c>
    </row>
    <row r="81" spans="2:3" s="53" customFormat="1" ht="15">
      <c r="B81" s="72" t="s">
        <v>60</v>
      </c>
      <c r="C81" s="466">
        <v>9070</v>
      </c>
    </row>
    <row r="82" spans="2:3" s="53" customFormat="1" ht="15">
      <c r="B82" s="72" t="s">
        <v>61</v>
      </c>
      <c r="C82" s="466">
        <v>0</v>
      </c>
    </row>
    <row r="83" spans="2:3" s="53" customFormat="1" ht="15">
      <c r="B83" s="72" t="s">
        <v>62</v>
      </c>
      <c r="C83" s="466">
        <v>0</v>
      </c>
    </row>
    <row r="84" spans="2:3" s="53" customFormat="1" ht="15">
      <c r="B84" s="72" t="s">
        <v>63</v>
      </c>
      <c r="C84" s="466">
        <v>0</v>
      </c>
    </row>
    <row r="85" spans="2:3" s="53" customFormat="1" ht="15">
      <c r="B85" s="72" t="s">
        <v>64</v>
      </c>
      <c r="C85" s="466">
        <v>0</v>
      </c>
    </row>
    <row r="86" spans="2:3" s="53" customFormat="1" ht="15">
      <c r="B86" s="72" t="s">
        <v>65</v>
      </c>
      <c r="C86" s="466">
        <v>213.467</v>
      </c>
    </row>
    <row r="87" s="53" customFormat="1" ht="15">
      <c r="B87" s="74"/>
    </row>
    <row r="88" spans="2:10" s="53" customFormat="1" ht="15">
      <c r="B88" s="348" t="s">
        <v>1023</v>
      </c>
      <c r="C88" s="348"/>
      <c r="D88" s="348"/>
      <c r="E88" s="348"/>
      <c r="F88" s="348"/>
      <c r="G88" s="348"/>
      <c r="H88" s="348"/>
      <c r="I88" s="348"/>
      <c r="J88" s="348"/>
    </row>
    <row r="89" s="53" customFormat="1" ht="13.5" thickBot="1">
      <c r="B89" s="74"/>
    </row>
    <row r="90" spans="2:15" ht="15">
      <c r="B90" s="293" t="s">
        <v>1462</v>
      </c>
      <c r="C90" s="1167">
        <v>3</v>
      </c>
      <c r="D90" s="1167"/>
      <c r="E90" s="1167"/>
      <c r="F90" s="1167"/>
      <c r="G90" s="1167"/>
      <c r="H90" s="1167"/>
      <c r="I90" s="1167"/>
      <c r="J90" s="1168"/>
      <c r="K90" s="53"/>
      <c r="L90" s="53"/>
      <c r="M90" s="53"/>
      <c r="N90" s="53"/>
      <c r="O90" s="53"/>
    </row>
    <row r="91" spans="2:15" ht="15">
      <c r="B91" s="294" t="s">
        <v>1461</v>
      </c>
      <c r="C91" s="1225" t="s">
        <v>654</v>
      </c>
      <c r="D91" s="1225"/>
      <c r="E91" s="1225"/>
      <c r="F91" s="1225"/>
      <c r="G91" s="1225"/>
      <c r="H91" s="1225"/>
      <c r="I91" s="1225"/>
      <c r="J91" s="1226"/>
      <c r="K91" s="53"/>
      <c r="L91" s="53"/>
      <c r="M91" s="53"/>
      <c r="N91" s="53"/>
      <c r="O91" s="53"/>
    </row>
    <row r="92" spans="2:15" ht="14.25" customHeight="1">
      <c r="B92" s="294" t="s">
        <v>73</v>
      </c>
      <c r="C92" s="1227" t="s">
        <v>1573</v>
      </c>
      <c r="D92" s="1227"/>
      <c r="E92" s="1227"/>
      <c r="F92" s="1227"/>
      <c r="G92" s="1227"/>
      <c r="H92" s="1227"/>
      <c r="I92" s="1227"/>
      <c r="J92" s="1228"/>
      <c r="K92" s="53"/>
      <c r="L92" s="53"/>
      <c r="M92" s="53"/>
      <c r="N92" s="53"/>
      <c r="O92" s="53"/>
    </row>
    <row r="93" spans="2:15" ht="13.5" customHeight="1">
      <c r="B93" s="294" t="s">
        <v>1010</v>
      </c>
      <c r="C93" s="1227"/>
      <c r="D93" s="1227"/>
      <c r="E93" s="1227"/>
      <c r="F93" s="1227"/>
      <c r="G93" s="1227"/>
      <c r="H93" s="1227"/>
      <c r="I93" s="1227"/>
      <c r="J93" s="1228"/>
      <c r="K93" s="53"/>
      <c r="L93" s="53"/>
      <c r="M93" s="53"/>
      <c r="N93" s="53"/>
      <c r="O93" s="53"/>
    </row>
    <row r="94" spans="2:15" ht="15">
      <c r="B94" s="294" t="s">
        <v>74</v>
      </c>
      <c r="C94" s="1162">
        <v>44858</v>
      </c>
      <c r="D94" s="1162"/>
      <c r="E94" s="1162"/>
      <c r="F94" s="1162"/>
      <c r="G94" s="1162"/>
      <c r="H94" s="1162"/>
      <c r="I94" s="1162"/>
      <c r="J94" s="1229"/>
      <c r="K94" s="53"/>
      <c r="L94" s="53"/>
      <c r="M94" s="53"/>
      <c r="N94" s="53"/>
      <c r="O94" s="53"/>
    </row>
    <row r="95" spans="2:15" ht="75.75" customHeight="1" thickBot="1">
      <c r="B95" s="295" t="s">
        <v>75</v>
      </c>
      <c r="C95" s="1221" t="s">
        <v>1581</v>
      </c>
      <c r="D95" s="1221"/>
      <c r="E95" s="1221"/>
      <c r="F95" s="1221"/>
      <c r="G95" s="1221"/>
      <c r="H95" s="1221"/>
      <c r="I95" s="1221"/>
      <c r="J95" s="1222"/>
      <c r="K95" s="53"/>
      <c r="L95" s="53"/>
      <c r="M95" s="53"/>
      <c r="N95" s="53"/>
      <c r="O95" s="53"/>
    </row>
    <row r="96" spans="12:15" ht="15">
      <c r="L96" s="53"/>
      <c r="M96" s="53"/>
      <c r="N96" s="53"/>
      <c r="O96" s="53"/>
    </row>
    <row r="97" spans="2:15" ht="51">
      <c r="B97" s="75" t="s">
        <v>1467</v>
      </c>
      <c r="C97" s="75" t="s">
        <v>350</v>
      </c>
      <c r="D97" s="75" t="s">
        <v>351</v>
      </c>
      <c r="G97" s="53"/>
      <c r="H97" s="53"/>
      <c r="I97" s="53"/>
      <c r="J97" s="53"/>
      <c r="K97" s="53"/>
      <c r="L97" s="53"/>
      <c r="M97" s="53"/>
      <c r="N97" s="53"/>
      <c r="O97" s="53"/>
    </row>
    <row r="98" spans="2:15" ht="15">
      <c r="B98" s="76" t="s">
        <v>2</v>
      </c>
      <c r="C98" s="77">
        <f>SUM(C99:C101)</f>
        <v>24541663.06</v>
      </c>
      <c r="D98" s="77">
        <f>SUM(D99:D101)</f>
        <v>74462.7900000015</v>
      </c>
      <c r="G98" s="53"/>
      <c r="H98" s="53"/>
      <c r="I98" s="53"/>
      <c r="J98" s="53"/>
      <c r="K98" s="53"/>
      <c r="L98" s="53"/>
      <c r="M98" s="53"/>
      <c r="N98" s="53"/>
      <c r="O98" s="53"/>
    </row>
    <row r="99" spans="2:15" ht="15">
      <c r="B99" s="192" t="s">
        <v>644</v>
      </c>
      <c r="C99" s="958">
        <v>2662266.4899999998</v>
      </c>
      <c r="D99" s="958">
        <v>39475.85999999994</v>
      </c>
      <c r="G99" s="53"/>
      <c r="H99" s="53"/>
      <c r="I99" s="53"/>
      <c r="J99" s="53"/>
      <c r="K99" s="53"/>
      <c r="L99" s="53"/>
      <c r="M99" s="53"/>
      <c r="N99" s="53"/>
      <c r="O99" s="53"/>
    </row>
    <row r="100" spans="2:10" ht="15">
      <c r="B100" s="192" t="s">
        <v>645</v>
      </c>
      <c r="C100" s="958">
        <v>19073256.39</v>
      </c>
      <c r="D100" s="958">
        <v>33562.17000000179</v>
      </c>
      <c r="G100" s="53"/>
      <c r="H100" s="53"/>
      <c r="I100" s="53"/>
      <c r="J100" s="53"/>
    </row>
    <row r="101" spans="2:10" ht="15">
      <c r="B101" s="192" t="s">
        <v>646</v>
      </c>
      <c r="C101" s="958">
        <v>2806140.18</v>
      </c>
      <c r="D101" s="958">
        <v>1424.7599999997765</v>
      </c>
      <c r="G101" s="53"/>
      <c r="H101" s="53"/>
      <c r="I101" s="53"/>
      <c r="J101" s="53"/>
    </row>
    <row r="102" ht="13.5" thickBot="1"/>
    <row r="103" spans="2:10" ht="15">
      <c r="B103" s="293" t="s">
        <v>1462</v>
      </c>
      <c r="C103" s="1167">
        <v>5</v>
      </c>
      <c r="D103" s="1167"/>
      <c r="E103" s="1167"/>
      <c r="F103" s="1167"/>
      <c r="G103" s="1167"/>
      <c r="H103" s="1167"/>
      <c r="I103" s="1167"/>
      <c r="J103" s="1168"/>
    </row>
    <row r="104" spans="2:10" ht="17.25" customHeight="1">
      <c r="B104" s="294" t="s">
        <v>1461</v>
      </c>
      <c r="C104" s="1225" t="s">
        <v>1053</v>
      </c>
      <c r="D104" s="1225"/>
      <c r="E104" s="1225"/>
      <c r="F104" s="1225"/>
      <c r="G104" s="1225"/>
      <c r="H104" s="1225"/>
      <c r="I104" s="1225"/>
      <c r="J104" s="1226"/>
    </row>
    <row r="105" spans="2:10" ht="15" customHeight="1">
      <c r="B105" s="294" t="s">
        <v>73</v>
      </c>
      <c r="C105" s="1227" t="s">
        <v>1155</v>
      </c>
      <c r="D105" s="1227"/>
      <c r="E105" s="1227"/>
      <c r="F105" s="1227"/>
      <c r="G105" s="1227"/>
      <c r="H105" s="1227"/>
      <c r="I105" s="1227"/>
      <c r="J105" s="1228"/>
    </row>
    <row r="106" spans="2:10" ht="15">
      <c r="B106" s="294" t="s">
        <v>1010</v>
      </c>
      <c r="C106" s="1227"/>
      <c r="D106" s="1227"/>
      <c r="E106" s="1227"/>
      <c r="F106" s="1227"/>
      <c r="G106" s="1227"/>
      <c r="H106" s="1227"/>
      <c r="I106" s="1227"/>
      <c r="J106" s="1228"/>
    </row>
    <row r="107" spans="2:10" ht="15">
      <c r="B107" s="294" t="s">
        <v>74</v>
      </c>
      <c r="C107" s="1162" t="s">
        <v>143</v>
      </c>
      <c r="D107" s="1162"/>
      <c r="E107" s="1162"/>
      <c r="F107" s="1162"/>
      <c r="G107" s="1162"/>
      <c r="H107" s="1162"/>
      <c r="I107" s="1162"/>
      <c r="J107" s="1229"/>
    </row>
    <row r="108" spans="2:10" ht="49.5" customHeight="1" thickBot="1">
      <c r="B108" s="295" t="s">
        <v>75</v>
      </c>
      <c r="C108" s="1221" t="s">
        <v>1156</v>
      </c>
      <c r="D108" s="1221"/>
      <c r="E108" s="1221"/>
      <c r="F108" s="1221"/>
      <c r="G108" s="1221"/>
      <c r="H108" s="1221"/>
      <c r="I108" s="1221"/>
      <c r="J108" s="1222"/>
    </row>
    <row r="110" spans="2:4" s="53" customFormat="1" ht="25.5" customHeight="1">
      <c r="B110" s="1224" t="s">
        <v>258</v>
      </c>
      <c r="C110" s="1224"/>
      <c r="D110" s="291" t="s">
        <v>347</v>
      </c>
    </row>
    <row r="111" spans="2:8" s="53" customFormat="1" ht="15">
      <c r="B111" s="1223" t="s">
        <v>346</v>
      </c>
      <c r="C111" s="1223"/>
      <c r="D111" s="460">
        <v>0.1166</v>
      </c>
      <c r="E111" s="70"/>
      <c r="F111" s="70"/>
      <c r="G111" s="70"/>
      <c r="H111" s="70"/>
    </row>
  </sheetData>
  <mergeCells count="43">
    <mergeCell ref="C43:J43"/>
    <mergeCell ref="C44:J44"/>
    <mergeCell ref="C11:J11"/>
    <mergeCell ref="D49:E49"/>
    <mergeCell ref="B48:C48"/>
    <mergeCell ref="B49:C49"/>
    <mergeCell ref="B13:B14"/>
    <mergeCell ref="D48:E48"/>
    <mergeCell ref="C94:J94"/>
    <mergeCell ref="C6:J6"/>
    <mergeCell ref="C7:J7"/>
    <mergeCell ref="C8:J8"/>
    <mergeCell ref="C9:J9"/>
    <mergeCell ref="C10:J10"/>
    <mergeCell ref="D51:E51"/>
    <mergeCell ref="C90:J90"/>
    <mergeCell ref="C91:J91"/>
    <mergeCell ref="C92:J92"/>
    <mergeCell ref="C93:J93"/>
    <mergeCell ref="C13:E13"/>
    <mergeCell ref="C42:J42"/>
    <mergeCell ref="C41:J41"/>
    <mergeCell ref="C45:J45"/>
    <mergeCell ref="C46:J46"/>
    <mergeCell ref="B60:B61"/>
    <mergeCell ref="C57:J57"/>
    <mergeCell ref="C58:J58"/>
    <mergeCell ref="B50:C50"/>
    <mergeCell ref="B51:C51"/>
    <mergeCell ref="D50:E50"/>
    <mergeCell ref="C53:J53"/>
    <mergeCell ref="C54:J54"/>
    <mergeCell ref="C55:J55"/>
    <mergeCell ref="C56:J56"/>
    <mergeCell ref="C95:J95"/>
    <mergeCell ref="B111:C111"/>
    <mergeCell ref="B110:C110"/>
    <mergeCell ref="C103:J103"/>
    <mergeCell ref="C104:J104"/>
    <mergeCell ref="C105:J105"/>
    <mergeCell ref="C106:J106"/>
    <mergeCell ref="C107:J107"/>
    <mergeCell ref="C108:J108"/>
  </mergeCells>
  <hyperlinks>
    <hyperlink ref="C44" r:id="rId1" display="https://infocarbono.minam.gob.pe/reportes-sectoriales/agricultura-2016/"/>
    <hyperlink ref="C9" r:id="rId2" display="https://siea.midagri.gob.pe/portal/publicacion/boletines-anuales/4-agricola"/>
    <hyperlink ref="C56" r:id="rId3" display="https://siea.midagri.gob.pe/portal/publicacion/boletines-anuales/4-agricola"/>
  </hyperlinks>
  <printOptions/>
  <pageMargins left="0.7" right="0.7" top="0.75" bottom="0.75" header="0.3" footer="0.3"/>
  <pageSetup horizontalDpi="300" verticalDpi="300" orientation="portrait" r:id="rId5"/>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EC3E6"/>
  </sheetPr>
  <dimension ref="B2:W14"/>
  <sheetViews>
    <sheetView workbookViewId="0" topLeftCell="A1"/>
  </sheetViews>
  <sheetFormatPr defaultColWidth="10.8515625" defaultRowHeight="15"/>
  <cols>
    <col min="1" max="1" width="1.421875" style="0" customWidth="1"/>
    <col min="2" max="2" width="13.57421875" style="53" customWidth="1"/>
    <col min="3" max="3" width="13.421875" style="53" customWidth="1"/>
    <col min="4" max="10" width="11.57421875" style="53" customWidth="1"/>
    <col min="11" max="18" width="10.8515625" style="53" customWidth="1"/>
  </cols>
  <sheetData>
    <row r="2" spans="2:23" ht="17.45" customHeight="1">
      <c r="B2" s="302" t="s">
        <v>1024</v>
      </c>
      <c r="C2" s="302"/>
      <c r="D2" s="302"/>
      <c r="E2" s="302"/>
      <c r="F2" s="302"/>
      <c r="G2" s="302"/>
      <c r="H2" s="302"/>
      <c r="I2" s="302"/>
      <c r="J2" s="302"/>
      <c r="L2" s="3" t="s">
        <v>695</v>
      </c>
      <c r="S2" s="53"/>
      <c r="T2" s="53"/>
      <c r="U2" s="53"/>
      <c r="V2" s="53"/>
      <c r="W2" s="53"/>
    </row>
    <row r="3" ht="15.75" thickBot="1"/>
    <row r="4" spans="2:10" ht="12.75">
      <c r="B4" s="293" t="s">
        <v>1462</v>
      </c>
      <c r="C4" s="1167">
        <v>1</v>
      </c>
      <c r="D4" s="1167"/>
      <c r="E4" s="1167"/>
      <c r="F4" s="1167"/>
      <c r="G4" s="1167"/>
      <c r="H4" s="1167"/>
      <c r="I4" s="1167"/>
      <c r="J4" s="1168"/>
    </row>
    <row r="5" spans="2:10" ht="25.5">
      <c r="B5" s="294" t="s">
        <v>1461</v>
      </c>
      <c r="C5" s="1169" t="s">
        <v>1028</v>
      </c>
      <c r="D5" s="1169"/>
      <c r="E5" s="1169"/>
      <c r="F5" s="1169"/>
      <c r="G5" s="1169"/>
      <c r="H5" s="1169"/>
      <c r="I5" s="1169"/>
      <c r="J5" s="1170"/>
    </row>
    <row r="6" spans="2:10" ht="15" customHeight="1">
      <c r="B6" s="294" t="s">
        <v>73</v>
      </c>
      <c r="C6" s="1176"/>
      <c r="D6" s="1176"/>
      <c r="E6" s="1176"/>
      <c r="F6" s="1176"/>
      <c r="G6" s="1176"/>
      <c r="H6" s="1176"/>
      <c r="I6" s="1176"/>
      <c r="J6" s="1177"/>
    </row>
    <row r="7" spans="2:10" ht="15">
      <c r="B7" s="294" t="s">
        <v>1010</v>
      </c>
      <c r="C7" s="1178"/>
      <c r="D7" s="1178"/>
      <c r="E7" s="1178"/>
      <c r="F7" s="1178"/>
      <c r="G7" s="1178"/>
      <c r="H7" s="1178"/>
      <c r="I7" s="1178"/>
      <c r="J7" s="1251"/>
    </row>
    <row r="8" spans="2:10" ht="15">
      <c r="B8" s="294" t="s">
        <v>74</v>
      </c>
      <c r="C8" s="1243"/>
      <c r="D8" s="1243"/>
      <c r="E8" s="1243"/>
      <c r="F8" s="1243"/>
      <c r="G8" s="1243"/>
      <c r="H8" s="1243"/>
      <c r="I8" s="1243"/>
      <c r="J8" s="1244"/>
    </row>
    <row r="9" spans="2:10" ht="15.75" thickBot="1">
      <c r="B9" s="295" t="s">
        <v>75</v>
      </c>
      <c r="C9" s="1252" t="s">
        <v>1025</v>
      </c>
      <c r="D9" s="1252"/>
      <c r="E9" s="1252"/>
      <c r="F9" s="1252"/>
      <c r="G9" s="1252"/>
      <c r="H9" s="1252"/>
      <c r="I9" s="1252"/>
      <c r="J9" s="1253"/>
    </row>
    <row r="10" spans="2:10" ht="15">
      <c r="B10"/>
      <c r="C10"/>
      <c r="D10"/>
      <c r="E10"/>
      <c r="F10"/>
      <c r="G10"/>
      <c r="H10"/>
      <c r="I10"/>
      <c r="J10"/>
    </row>
    <row r="11" spans="2:4" ht="15">
      <c r="B11" s="55" t="s">
        <v>1026</v>
      </c>
      <c r="C11" s="1249" t="s">
        <v>1027</v>
      </c>
      <c r="D11" s="1249"/>
    </row>
    <row r="12" spans="2:10" ht="15">
      <c r="B12" s="56" t="s">
        <v>154</v>
      </c>
      <c r="C12" s="1250" t="s">
        <v>378</v>
      </c>
      <c r="D12" s="1250"/>
      <c r="E12" s="84"/>
      <c r="F12" s="84"/>
      <c r="G12" s="84"/>
      <c r="H12" s="84"/>
      <c r="I12" s="84"/>
      <c r="J12" s="84"/>
    </row>
    <row r="13" spans="2:10" ht="15">
      <c r="B13" s="56" t="s">
        <v>155</v>
      </c>
      <c r="C13" s="1250" t="s">
        <v>378</v>
      </c>
      <c r="D13" s="1250"/>
      <c r="E13" s="84"/>
      <c r="F13" s="84"/>
      <c r="G13" s="84"/>
      <c r="H13" s="84"/>
      <c r="I13" s="84"/>
      <c r="J13" s="84"/>
    </row>
    <row r="14" ht="15">
      <c r="B14" s="80" t="s">
        <v>377</v>
      </c>
    </row>
  </sheetData>
  <mergeCells count="9">
    <mergeCell ref="C11:D11"/>
    <mergeCell ref="C12:D12"/>
    <mergeCell ref="C13:D13"/>
    <mergeCell ref="C4:J4"/>
    <mergeCell ref="C5:J5"/>
    <mergeCell ref="C6:J6"/>
    <mergeCell ref="C7:J7"/>
    <mergeCell ref="C8:J8"/>
    <mergeCell ref="C9:J9"/>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EC3E6"/>
  </sheetPr>
  <dimension ref="B2:U12"/>
  <sheetViews>
    <sheetView workbookViewId="0" topLeftCell="A1">
      <selection activeCell="C7" sqref="C7:J7"/>
    </sheetView>
  </sheetViews>
  <sheetFormatPr defaultColWidth="10.8515625" defaultRowHeight="15"/>
  <cols>
    <col min="1" max="1" width="2.28125" style="0" customWidth="1"/>
    <col min="2" max="2" width="15.57421875" style="53" bestFit="1" customWidth="1"/>
    <col min="3" max="10" width="12.8515625" style="53" customWidth="1"/>
    <col min="11" max="12" width="9.140625" style="53" customWidth="1"/>
    <col min="13" max="13" width="10.8515625" style="53" customWidth="1"/>
  </cols>
  <sheetData>
    <row r="2" spans="2:21" ht="17.45" customHeight="1">
      <c r="B2" s="302" t="s">
        <v>1029</v>
      </c>
      <c r="C2" s="302"/>
      <c r="D2" s="302"/>
      <c r="E2" s="302"/>
      <c r="F2" s="302"/>
      <c r="G2" s="302"/>
      <c r="H2" s="302"/>
      <c r="I2" s="302"/>
      <c r="J2" s="302"/>
      <c r="L2" s="53" t="s">
        <v>695</v>
      </c>
      <c r="O2" s="53"/>
      <c r="P2" s="53"/>
      <c r="Q2" s="53"/>
      <c r="R2" s="53"/>
      <c r="S2" s="53"/>
      <c r="T2" s="53"/>
      <c r="U2" s="53"/>
    </row>
    <row r="3" spans="15:16" ht="15.75" thickBot="1">
      <c r="O3" s="53"/>
      <c r="P3" s="53"/>
    </row>
    <row r="4" spans="2:21" ht="12.75">
      <c r="B4" s="293" t="s">
        <v>1462</v>
      </c>
      <c r="C4" s="1192">
        <v>1</v>
      </c>
      <c r="D4" s="1192"/>
      <c r="E4" s="1192"/>
      <c r="F4" s="1192"/>
      <c r="G4" s="1192"/>
      <c r="H4" s="1192"/>
      <c r="I4" s="1192"/>
      <c r="J4" s="1193"/>
      <c r="K4" s="296"/>
      <c r="L4" s="296"/>
      <c r="O4" s="53"/>
      <c r="P4" s="53"/>
      <c r="Q4" s="53"/>
      <c r="R4" s="53"/>
      <c r="S4" s="53"/>
      <c r="T4" s="53"/>
      <c r="U4" s="53"/>
    </row>
    <row r="5" spans="2:16" ht="12.75">
      <c r="B5" s="294" t="s">
        <v>1461</v>
      </c>
      <c r="C5" s="1160" t="s">
        <v>1030</v>
      </c>
      <c r="D5" s="1160"/>
      <c r="E5" s="1160"/>
      <c r="F5" s="1160"/>
      <c r="G5" s="1160"/>
      <c r="H5" s="1160"/>
      <c r="I5" s="1160"/>
      <c r="J5" s="1161"/>
      <c r="K5" s="296"/>
      <c r="L5" s="296"/>
      <c r="O5" s="53"/>
      <c r="P5" s="53"/>
    </row>
    <row r="6" spans="2:21" ht="15" customHeight="1">
      <c r="B6" s="294" t="s">
        <v>73</v>
      </c>
      <c r="C6" s="1254" t="s">
        <v>1574</v>
      </c>
      <c r="D6" s="1255"/>
      <c r="E6" s="1255"/>
      <c r="F6" s="1255"/>
      <c r="G6" s="1255"/>
      <c r="H6" s="1255"/>
      <c r="I6" s="1255"/>
      <c r="J6" s="1256"/>
      <c r="K6" s="297"/>
      <c r="L6" s="297"/>
      <c r="O6" s="53"/>
      <c r="P6" s="53"/>
      <c r="Q6" s="53"/>
      <c r="R6" s="53"/>
      <c r="S6" s="53"/>
      <c r="T6" s="53"/>
      <c r="U6" s="53"/>
    </row>
    <row r="7" spans="2:16" ht="15">
      <c r="B7" s="294" t="s">
        <v>1010</v>
      </c>
      <c r="C7" s="1234" t="s">
        <v>1468</v>
      </c>
      <c r="D7" s="1234"/>
      <c r="E7" s="1234"/>
      <c r="F7" s="1234"/>
      <c r="G7" s="1234"/>
      <c r="H7" s="1234"/>
      <c r="I7" s="1234"/>
      <c r="J7" s="1235"/>
      <c r="K7" s="313"/>
      <c r="L7" s="313"/>
      <c r="O7" s="53"/>
      <c r="P7" s="53"/>
    </row>
    <row r="8" spans="2:21" ht="15">
      <c r="B8" s="294" t="s">
        <v>74</v>
      </c>
      <c r="C8" s="1162">
        <v>44858</v>
      </c>
      <c r="D8" s="1162"/>
      <c r="E8" s="1162"/>
      <c r="F8" s="1162"/>
      <c r="G8" s="1162"/>
      <c r="H8" s="1162"/>
      <c r="I8" s="1162"/>
      <c r="J8" s="1229"/>
      <c r="K8" s="312"/>
      <c r="L8" s="312"/>
      <c r="O8" s="53"/>
      <c r="P8" s="53"/>
      <c r="Q8" s="53"/>
      <c r="R8" s="53"/>
      <c r="S8" s="53"/>
      <c r="T8" s="53"/>
      <c r="U8" s="53"/>
    </row>
    <row r="9" spans="2:16" ht="24.75" customHeight="1" thickBot="1">
      <c r="B9" s="295" t="s">
        <v>75</v>
      </c>
      <c r="C9" s="1183" t="s">
        <v>1584</v>
      </c>
      <c r="D9" s="1183"/>
      <c r="E9" s="1183"/>
      <c r="F9" s="1183"/>
      <c r="G9" s="1183"/>
      <c r="H9" s="1183"/>
      <c r="I9" s="1183"/>
      <c r="J9" s="1184"/>
      <c r="K9" s="297"/>
      <c r="L9" s="297"/>
      <c r="O9" s="53"/>
      <c r="P9" s="53"/>
    </row>
    <row r="10" spans="2:16" ht="15">
      <c r="B10"/>
      <c r="C10"/>
      <c r="D10"/>
      <c r="E10"/>
      <c r="F10"/>
      <c r="G10" s="297"/>
      <c r="H10" s="297"/>
      <c r="I10" s="297"/>
      <c r="J10" s="297"/>
      <c r="K10" s="297"/>
      <c r="L10" s="297"/>
      <c r="O10" s="53"/>
      <c r="P10" s="53"/>
    </row>
    <row r="11" spans="2:3" ht="15">
      <c r="B11" s="54" t="s">
        <v>174</v>
      </c>
      <c r="C11" s="54" t="s">
        <v>714</v>
      </c>
    </row>
    <row r="12" spans="2:12" ht="15">
      <c r="B12" s="56" t="s">
        <v>160</v>
      </c>
      <c r="C12" s="79">
        <v>399004</v>
      </c>
      <c r="D12" s="84"/>
      <c r="E12" s="84"/>
      <c r="F12" s="84"/>
      <c r="G12" s="84"/>
      <c r="H12" s="84"/>
      <c r="I12" s="84"/>
      <c r="J12" s="84"/>
      <c r="K12" s="84"/>
      <c r="L12" s="84"/>
    </row>
  </sheetData>
  <mergeCells count="6">
    <mergeCell ref="C9:J9"/>
    <mergeCell ref="C4:J4"/>
    <mergeCell ref="C5:J5"/>
    <mergeCell ref="C6:J6"/>
    <mergeCell ref="C7:J7"/>
    <mergeCell ref="C8:J8"/>
  </mergeCells>
  <hyperlinks>
    <hyperlink ref="C7" r:id="rId1" display="https://siea.midagri.gob.pe/portal/publicacion/boletines-anuales/7-insumos-servicios-agropecuarios"/>
  </hyperlinks>
  <printOptions/>
  <pageMargins left="0.7" right="0.7" top="0.75" bottom="0.75" header="0.3" footer="0.3"/>
  <pageSetup horizontalDpi="600" verticalDpi="600" orientation="portrait" paperSize="0" copie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EC3E6"/>
  </sheetPr>
  <dimension ref="B2:AO256"/>
  <sheetViews>
    <sheetView workbookViewId="0" topLeftCell="A76">
      <selection activeCell="C103" sqref="C103:J103"/>
    </sheetView>
  </sheetViews>
  <sheetFormatPr defaultColWidth="10.8515625" defaultRowHeight="15"/>
  <cols>
    <col min="1" max="1" width="2.140625" style="53" customWidth="1"/>
    <col min="2" max="2" width="17.140625" style="53" bestFit="1" customWidth="1"/>
    <col min="3" max="6" width="14.421875" style="53" customWidth="1"/>
    <col min="7" max="7" width="17.140625" style="53" customWidth="1"/>
    <col min="8" max="9" width="12.421875" style="53" customWidth="1"/>
    <col min="10" max="10" width="11.8515625" style="53" customWidth="1"/>
    <col min="11" max="21" width="11.57421875" style="53" customWidth="1"/>
    <col min="22" max="22" width="14.140625" style="53" customWidth="1"/>
    <col min="23" max="23" width="11.8515625" style="53" customWidth="1"/>
    <col min="24" max="24" width="12.8515625" style="53" customWidth="1"/>
    <col min="25" max="30" width="11.8515625" style="53" customWidth="1"/>
    <col min="31" max="33" width="11.140625" style="53" bestFit="1" customWidth="1"/>
    <col min="34" max="34" width="12.421875" style="53" bestFit="1" customWidth="1"/>
    <col min="35" max="35" width="6.57421875" style="53" customWidth="1"/>
    <col min="36" max="36" width="18.421875" style="53" customWidth="1"/>
    <col min="37" max="37" width="17.57421875" style="53" customWidth="1"/>
    <col min="38" max="38" width="11.7109375" style="53" customWidth="1"/>
    <col min="39" max="39" width="17.7109375" style="58" customWidth="1"/>
    <col min="40" max="16384" width="10.8515625" style="53" customWidth="1"/>
  </cols>
  <sheetData>
    <row r="1" ht="9.75" customHeight="1"/>
    <row r="2" spans="2:12" ht="17.45" customHeight="1">
      <c r="B2" s="347" t="s">
        <v>1265</v>
      </c>
      <c r="C2" s="347"/>
      <c r="D2" s="347"/>
      <c r="E2" s="347"/>
      <c r="F2" s="347"/>
      <c r="G2" s="347"/>
      <c r="H2" s="347"/>
      <c r="I2" s="347"/>
      <c r="J2" s="347"/>
      <c r="L2" s="53" t="s">
        <v>695</v>
      </c>
    </row>
    <row r="3" ht="12.75"/>
    <row r="4" spans="2:10" ht="12.75">
      <c r="B4" s="348" t="s">
        <v>1020</v>
      </c>
      <c r="C4" s="348"/>
      <c r="D4" s="348"/>
      <c r="E4" s="348"/>
      <c r="F4" s="348"/>
      <c r="G4" s="348"/>
      <c r="H4" s="348"/>
      <c r="I4" s="348"/>
      <c r="J4" s="348"/>
    </row>
    <row r="5" ht="13.5" thickBot="1"/>
    <row r="6" spans="2:10" ht="12.75">
      <c r="B6" s="293" t="s">
        <v>1462</v>
      </c>
      <c r="C6" s="1192">
        <v>1</v>
      </c>
      <c r="D6" s="1192"/>
      <c r="E6" s="1192"/>
      <c r="F6" s="1192"/>
      <c r="G6" s="1192"/>
      <c r="H6" s="1192"/>
      <c r="I6" s="1192"/>
      <c r="J6" s="1193"/>
    </row>
    <row r="7" spans="2:10" ht="15" customHeight="1">
      <c r="B7" s="294" t="s">
        <v>1461</v>
      </c>
      <c r="C7" s="1180" t="s">
        <v>683</v>
      </c>
      <c r="D7" s="1180"/>
      <c r="E7" s="1180"/>
      <c r="F7" s="1180"/>
      <c r="G7" s="1180"/>
      <c r="H7" s="1180"/>
      <c r="I7" s="1180"/>
      <c r="J7" s="1181"/>
    </row>
    <row r="8" spans="2:10" ht="15" customHeight="1">
      <c r="B8" s="294" t="s">
        <v>73</v>
      </c>
      <c r="C8" s="1254" t="s">
        <v>1574</v>
      </c>
      <c r="D8" s="1255"/>
      <c r="E8" s="1255"/>
      <c r="F8" s="1255"/>
      <c r="G8" s="1255"/>
      <c r="H8" s="1255"/>
      <c r="I8" s="1255"/>
      <c r="J8" s="1256"/>
    </row>
    <row r="9" spans="2:10" ht="12.75" customHeight="1">
      <c r="B9" s="294" t="s">
        <v>1010</v>
      </c>
      <c r="C9" s="1264" t="s">
        <v>1468</v>
      </c>
      <c r="D9" s="1265"/>
      <c r="E9" s="1265"/>
      <c r="F9" s="1265"/>
      <c r="G9" s="1265"/>
      <c r="H9" s="1265"/>
      <c r="I9" s="1265"/>
      <c r="J9" s="1266"/>
    </row>
    <row r="10" spans="2:10" ht="15">
      <c r="B10" s="294" t="s">
        <v>74</v>
      </c>
      <c r="C10" s="1261">
        <v>44858</v>
      </c>
      <c r="D10" s="1262"/>
      <c r="E10" s="1262"/>
      <c r="F10" s="1262"/>
      <c r="G10" s="1262"/>
      <c r="H10" s="1262"/>
      <c r="I10" s="1262"/>
      <c r="J10" s="1263"/>
    </row>
    <row r="11" spans="2:10" ht="17.25" customHeight="1" thickBot="1">
      <c r="B11" s="295" t="s">
        <v>75</v>
      </c>
      <c r="C11" s="1246" t="s">
        <v>1151</v>
      </c>
      <c r="D11" s="1247"/>
      <c r="E11" s="1247"/>
      <c r="F11" s="1247"/>
      <c r="G11" s="1247"/>
      <c r="H11" s="1247"/>
      <c r="I11" s="1247"/>
      <c r="J11" s="1248"/>
    </row>
    <row r="13" spans="2:3" ht="25.5">
      <c r="B13" s="308" t="s">
        <v>173</v>
      </c>
      <c r="C13" s="308" t="s">
        <v>714</v>
      </c>
    </row>
    <row r="14" spans="2:3" ht="15">
      <c r="B14" s="56" t="s">
        <v>160</v>
      </c>
      <c r="C14" s="101">
        <f>+'IB 3C3'!C12</f>
        <v>399004</v>
      </c>
    </row>
    <row r="15" spans="2:3" ht="15">
      <c r="B15" s="56" t="s">
        <v>176</v>
      </c>
      <c r="C15" s="101">
        <v>189729</v>
      </c>
    </row>
    <row r="16" spans="2:3" ht="15">
      <c r="B16" s="56" t="s">
        <v>250</v>
      </c>
      <c r="C16" s="101">
        <v>264289</v>
      </c>
    </row>
    <row r="17" spans="2:3" ht="15">
      <c r="B17" s="56" t="s">
        <v>251</v>
      </c>
      <c r="C17" s="101">
        <v>169337</v>
      </c>
    </row>
    <row r="18" ht="13.5" thickBot="1"/>
    <row r="19" spans="2:10" ht="15">
      <c r="B19" s="293" t="s">
        <v>1462</v>
      </c>
      <c r="C19" s="1258">
        <v>2</v>
      </c>
      <c r="D19" s="1258"/>
      <c r="E19" s="1258"/>
      <c r="F19" s="1258"/>
      <c r="G19" s="1258"/>
      <c r="H19" s="1258"/>
      <c r="I19" s="1258"/>
      <c r="J19" s="1259"/>
    </row>
    <row r="20" spans="2:10" ht="15">
      <c r="B20" s="294" t="s">
        <v>1461</v>
      </c>
      <c r="C20" s="1180" t="s">
        <v>1057</v>
      </c>
      <c r="D20" s="1180"/>
      <c r="E20" s="1180"/>
      <c r="F20" s="1180"/>
      <c r="G20" s="1180"/>
      <c r="H20" s="1180"/>
      <c r="I20" s="1180"/>
      <c r="J20" s="1181"/>
    </row>
    <row r="21" spans="2:10" ht="15">
      <c r="B21" s="294" t="s">
        <v>73</v>
      </c>
      <c r="C21" s="1180" t="s">
        <v>1058</v>
      </c>
      <c r="D21" s="1180"/>
      <c r="E21" s="1180"/>
      <c r="F21" s="1180"/>
      <c r="G21" s="1180"/>
      <c r="H21" s="1180"/>
      <c r="I21" s="1180"/>
      <c r="J21" s="1181"/>
    </row>
    <row r="22" spans="2:10" ht="15">
      <c r="B22" s="294" t="s">
        <v>1010</v>
      </c>
      <c r="C22" s="1234" t="s">
        <v>1059</v>
      </c>
      <c r="D22" s="1180"/>
      <c r="E22" s="1180"/>
      <c r="F22" s="1180"/>
      <c r="G22" s="1180"/>
      <c r="H22" s="1180"/>
      <c r="I22" s="1180"/>
      <c r="J22" s="1181"/>
    </row>
    <row r="23" spans="2:10" ht="15">
      <c r="B23" s="294" t="s">
        <v>74</v>
      </c>
      <c r="C23" s="1162">
        <v>44628</v>
      </c>
      <c r="D23" s="1162"/>
      <c r="E23" s="1162"/>
      <c r="F23" s="1162"/>
      <c r="G23" s="1162"/>
      <c r="H23" s="1162"/>
      <c r="I23" s="1162"/>
      <c r="J23" s="1229"/>
    </row>
    <row r="24" spans="2:10" ht="30" customHeight="1" thickBot="1">
      <c r="B24" s="295" t="s">
        <v>75</v>
      </c>
      <c r="C24" s="1183" t="s">
        <v>1056</v>
      </c>
      <c r="D24" s="1183"/>
      <c r="E24" s="1183"/>
      <c r="F24" s="1183"/>
      <c r="G24" s="1183"/>
      <c r="H24" s="1183"/>
      <c r="I24" s="1183"/>
      <c r="J24" s="1184"/>
    </row>
    <row r="26" spans="2:3" ht="25.5">
      <c r="B26" s="122" t="s">
        <v>175</v>
      </c>
      <c r="C26" s="291" t="s">
        <v>1060</v>
      </c>
    </row>
    <row r="27" spans="2:3" ht="15">
      <c r="B27" s="119" t="s">
        <v>160</v>
      </c>
      <c r="C27" s="118">
        <v>0.46</v>
      </c>
    </row>
    <row r="28" spans="2:3" ht="15">
      <c r="B28" s="119" t="s">
        <v>176</v>
      </c>
      <c r="C28" s="118">
        <v>0.18</v>
      </c>
    </row>
    <row r="29" spans="2:3" ht="15">
      <c r="B29" s="119" t="s">
        <v>177</v>
      </c>
      <c r="C29" s="118">
        <f>21/100</f>
        <v>0.21</v>
      </c>
    </row>
    <row r="30" spans="2:3" ht="15">
      <c r="B30" s="119" t="s">
        <v>178</v>
      </c>
      <c r="C30" s="118">
        <f>33.5/100</f>
        <v>0.335</v>
      </c>
    </row>
    <row r="31" ht="13.5" thickBot="1"/>
    <row r="32" spans="2:10" ht="15">
      <c r="B32" s="293" t="s">
        <v>1462</v>
      </c>
      <c r="C32" s="1258">
        <v>3</v>
      </c>
      <c r="D32" s="1258"/>
      <c r="E32" s="1258"/>
      <c r="F32" s="1258"/>
      <c r="G32" s="1258"/>
      <c r="H32" s="1258"/>
      <c r="I32" s="1258"/>
      <c r="J32" s="1259"/>
    </row>
    <row r="33" spans="2:10" ht="15" customHeight="1">
      <c r="B33" s="294" t="s">
        <v>1461</v>
      </c>
      <c r="C33" s="1180" t="s">
        <v>1263</v>
      </c>
      <c r="D33" s="1180"/>
      <c r="E33" s="1180"/>
      <c r="F33" s="1180"/>
      <c r="G33" s="1180"/>
      <c r="H33" s="1180"/>
      <c r="I33" s="1180"/>
      <c r="J33" s="1181"/>
    </row>
    <row r="34" spans="2:10" ht="26.25" customHeight="1">
      <c r="B34" s="294" t="s">
        <v>73</v>
      </c>
      <c r="C34" s="1180" t="s">
        <v>1559</v>
      </c>
      <c r="D34" s="1180"/>
      <c r="E34" s="1180"/>
      <c r="F34" s="1180"/>
      <c r="G34" s="1180"/>
      <c r="H34" s="1180"/>
      <c r="I34" s="1180"/>
      <c r="J34" s="1181"/>
    </row>
    <row r="35" spans="2:10" ht="15">
      <c r="B35" s="294" t="s">
        <v>1010</v>
      </c>
      <c r="C35" s="1260" t="s">
        <v>1560</v>
      </c>
      <c r="D35" s="1180"/>
      <c r="E35" s="1180"/>
      <c r="F35" s="1180"/>
      <c r="G35" s="1180"/>
      <c r="H35" s="1180"/>
      <c r="I35" s="1180"/>
      <c r="J35" s="1181"/>
    </row>
    <row r="36" spans="2:10" ht="15">
      <c r="B36" s="294" t="s">
        <v>74</v>
      </c>
      <c r="C36" s="1162"/>
      <c r="D36" s="1162"/>
      <c r="E36" s="1162"/>
      <c r="F36" s="1162"/>
      <c r="G36" s="1162"/>
      <c r="H36" s="1162"/>
      <c r="I36" s="1162"/>
      <c r="J36" s="1229"/>
    </row>
    <row r="37" spans="2:10" ht="13.5" thickBot="1">
      <c r="B37" s="295" t="s">
        <v>75</v>
      </c>
      <c r="C37" s="1183" t="s">
        <v>1562</v>
      </c>
      <c r="D37" s="1183"/>
      <c r="E37" s="1183"/>
      <c r="F37" s="1183"/>
      <c r="G37" s="1183"/>
      <c r="H37" s="1183"/>
      <c r="I37" s="1183"/>
      <c r="J37" s="1184"/>
    </row>
    <row r="38" ht="12.75" customHeight="1"/>
    <row r="39" spans="2:3" ht="25.5">
      <c r="B39" s="291" t="s">
        <v>70</v>
      </c>
      <c r="C39" s="291" t="s">
        <v>451</v>
      </c>
    </row>
    <row r="40" spans="2:3" ht="15">
      <c r="B40" s="278" t="s">
        <v>43</v>
      </c>
      <c r="C40" s="457">
        <v>150</v>
      </c>
    </row>
    <row r="41" spans="2:3" ht="15">
      <c r="B41" s="278" t="s">
        <v>223</v>
      </c>
      <c r="C41" s="457">
        <v>280</v>
      </c>
    </row>
    <row r="42" spans="2:3" ht="15">
      <c r="B42" s="278" t="s">
        <v>44</v>
      </c>
      <c r="C42" s="457">
        <v>0</v>
      </c>
    </row>
    <row r="43" spans="2:3" ht="15">
      <c r="B43" s="278" t="s">
        <v>45</v>
      </c>
      <c r="C43" s="457">
        <v>280</v>
      </c>
    </row>
    <row r="44" spans="2:3" ht="15">
      <c r="B44" s="278" t="s">
        <v>46</v>
      </c>
      <c r="C44" s="457">
        <v>0</v>
      </c>
    </row>
    <row r="45" spans="2:3" ht="15">
      <c r="B45" s="278" t="s">
        <v>47</v>
      </c>
      <c r="C45" s="457">
        <v>150</v>
      </c>
    </row>
    <row r="46" spans="2:3" ht="15">
      <c r="B46" s="278" t="s">
        <v>48</v>
      </c>
      <c r="C46" s="457">
        <v>0</v>
      </c>
    </row>
    <row r="47" spans="2:3" ht="15">
      <c r="B47" s="278" t="s">
        <v>49</v>
      </c>
      <c r="C47" s="457">
        <v>0</v>
      </c>
    </row>
    <row r="48" spans="2:3" ht="15">
      <c r="B48" s="278" t="s">
        <v>50</v>
      </c>
      <c r="C48" s="457">
        <v>120</v>
      </c>
    </row>
    <row r="49" spans="2:3" ht="15">
      <c r="B49" s="278" t="s">
        <v>51</v>
      </c>
      <c r="C49" s="457">
        <v>0</v>
      </c>
    </row>
    <row r="50" spans="2:3" ht="15">
      <c r="B50" s="278" t="s">
        <v>52</v>
      </c>
      <c r="C50" s="457">
        <v>80</v>
      </c>
    </row>
    <row r="51" spans="2:3" ht="15">
      <c r="B51" s="278" t="s">
        <v>53</v>
      </c>
      <c r="C51" s="457">
        <v>280</v>
      </c>
    </row>
    <row r="52" spans="2:3" ht="15">
      <c r="B52" s="278" t="s">
        <v>54</v>
      </c>
      <c r="C52" s="457">
        <v>280</v>
      </c>
    </row>
    <row r="53" spans="2:3" ht="15">
      <c r="B53" s="279" t="s">
        <v>55</v>
      </c>
      <c r="C53" s="457">
        <v>0</v>
      </c>
    </row>
    <row r="54" spans="2:3" ht="15">
      <c r="B54" s="280" t="s">
        <v>56</v>
      </c>
      <c r="C54" s="457">
        <v>32</v>
      </c>
    </row>
    <row r="55" spans="2:3" ht="15">
      <c r="B55" s="280" t="s">
        <v>57</v>
      </c>
      <c r="C55" s="457">
        <v>32</v>
      </c>
    </row>
    <row r="56" spans="2:3" ht="15">
      <c r="B56" s="280" t="s">
        <v>58</v>
      </c>
      <c r="C56" s="457">
        <v>0</v>
      </c>
    </row>
    <row r="57" spans="2:3" ht="15">
      <c r="B57" s="280" t="s">
        <v>59</v>
      </c>
      <c r="C57" s="457">
        <v>80</v>
      </c>
    </row>
    <row r="58" spans="2:3" ht="15">
      <c r="B58" s="280" t="s">
        <v>60</v>
      </c>
      <c r="C58" s="457">
        <v>280</v>
      </c>
    </row>
    <row r="59" spans="2:3" ht="15">
      <c r="B59" s="280" t="s">
        <v>61</v>
      </c>
      <c r="C59" s="457">
        <v>0</v>
      </c>
    </row>
    <row r="60" spans="2:3" ht="15">
      <c r="B60" s="280" t="s">
        <v>62</v>
      </c>
      <c r="C60" s="457">
        <v>150</v>
      </c>
    </row>
    <row r="61" spans="2:3" ht="15">
      <c r="B61" s="280" t="s">
        <v>63</v>
      </c>
      <c r="C61" s="457">
        <v>0</v>
      </c>
    </row>
    <row r="62" spans="2:3" ht="15">
      <c r="B62" s="280" t="s">
        <v>64</v>
      </c>
      <c r="C62" s="457">
        <v>280</v>
      </c>
    </row>
    <row r="63" spans="2:3" ht="15">
      <c r="B63" s="280" t="s">
        <v>65</v>
      </c>
      <c r="C63" s="457">
        <v>80</v>
      </c>
    </row>
    <row r="64" ht="15">
      <c r="C64" s="232"/>
    </row>
    <row r="65" spans="2:10" ht="15">
      <c r="B65" s="348" t="s">
        <v>266</v>
      </c>
      <c r="C65" s="348"/>
      <c r="D65" s="348"/>
      <c r="E65" s="348"/>
      <c r="F65" s="348"/>
      <c r="G65" s="348"/>
      <c r="H65" s="348"/>
      <c r="I65" s="348"/>
      <c r="J65" s="348"/>
    </row>
    <row r="66" ht="13.5" thickBot="1"/>
    <row r="67" spans="2:10" ht="15">
      <c r="B67" s="293" t="s">
        <v>1462</v>
      </c>
      <c r="C67" s="1258">
        <v>2</v>
      </c>
      <c r="D67" s="1258"/>
      <c r="E67" s="1258"/>
      <c r="F67" s="1258"/>
      <c r="G67" s="1258"/>
      <c r="H67" s="1258"/>
      <c r="I67" s="1258"/>
      <c r="J67" s="1259"/>
    </row>
    <row r="68" spans="2:10" ht="15" customHeight="1">
      <c r="B68" s="294" t="s">
        <v>1461</v>
      </c>
      <c r="C68" s="1180" t="s">
        <v>1469</v>
      </c>
      <c r="D68" s="1180"/>
      <c r="E68" s="1180"/>
      <c r="F68" s="1180"/>
      <c r="G68" s="1180"/>
      <c r="H68" s="1180"/>
      <c r="I68" s="1180"/>
      <c r="J68" s="1181"/>
    </row>
    <row r="69" spans="2:10" ht="15" customHeight="1">
      <c r="B69" s="294" t="s">
        <v>73</v>
      </c>
      <c r="C69" s="1227" t="s">
        <v>1568</v>
      </c>
      <c r="D69" s="1227"/>
      <c r="E69" s="1227"/>
      <c r="F69" s="1227"/>
      <c r="G69" s="1227"/>
      <c r="H69" s="1227"/>
      <c r="I69" s="1227"/>
      <c r="J69" s="1228"/>
    </row>
    <row r="70" spans="2:10" ht="12.75" customHeight="1">
      <c r="B70" s="294" t="s">
        <v>1010</v>
      </c>
      <c r="C70" s="1234" t="s">
        <v>1466</v>
      </c>
      <c r="D70" s="1234"/>
      <c r="E70" s="1234"/>
      <c r="F70" s="1234"/>
      <c r="G70" s="1234"/>
      <c r="H70" s="1234"/>
      <c r="I70" s="1234"/>
      <c r="J70" s="1235"/>
    </row>
    <row r="71" spans="2:10" ht="12.75" customHeight="1">
      <c r="B71" s="294" t="s">
        <v>74</v>
      </c>
      <c r="C71" s="1162">
        <v>44858</v>
      </c>
      <c r="D71" s="1162"/>
      <c r="E71" s="1162"/>
      <c r="F71" s="1162"/>
      <c r="G71" s="1162"/>
      <c r="H71" s="1162"/>
      <c r="I71" s="1162"/>
      <c r="J71" s="1229"/>
    </row>
    <row r="72" spans="2:10" ht="29.25" customHeight="1" thickBot="1">
      <c r="B72" s="295" t="s">
        <v>75</v>
      </c>
      <c r="C72" s="1183" t="s">
        <v>1583</v>
      </c>
      <c r="D72" s="1183"/>
      <c r="E72" s="1183"/>
      <c r="F72" s="1183"/>
      <c r="G72" s="1183"/>
      <c r="H72" s="1183"/>
      <c r="I72" s="1183"/>
      <c r="J72" s="1184"/>
    </row>
    <row r="74" spans="2:41" s="328" customFormat="1" ht="25.5">
      <c r="B74" s="308" t="s">
        <v>1264</v>
      </c>
      <c r="C74" s="308" t="s">
        <v>740</v>
      </c>
      <c r="D74" s="308" t="s">
        <v>204</v>
      </c>
      <c r="E74" s="308" t="s">
        <v>205</v>
      </c>
      <c r="F74" s="308" t="s">
        <v>234</v>
      </c>
      <c r="G74" s="308" t="s">
        <v>206</v>
      </c>
      <c r="H74" s="308" t="s">
        <v>207</v>
      </c>
      <c r="I74" s="308" t="s">
        <v>208</v>
      </c>
      <c r="J74" s="308" t="s">
        <v>209</v>
      </c>
      <c r="K74" s="308" t="s">
        <v>210</v>
      </c>
      <c r="L74" s="308" t="s">
        <v>211</v>
      </c>
      <c r="M74" s="308" t="s">
        <v>212</v>
      </c>
      <c r="N74" s="308" t="s">
        <v>213</v>
      </c>
      <c r="O74" s="308" t="s">
        <v>214</v>
      </c>
      <c r="P74" s="308" t="s">
        <v>215</v>
      </c>
      <c r="Q74" s="308" t="s">
        <v>216</v>
      </c>
      <c r="R74" s="308" t="s">
        <v>217</v>
      </c>
      <c r="S74" s="308" t="s">
        <v>218</v>
      </c>
      <c r="T74" s="308" t="s">
        <v>219</v>
      </c>
      <c r="U74" s="308" t="s">
        <v>220</v>
      </c>
      <c r="V74" s="308" t="s">
        <v>221</v>
      </c>
      <c r="W74" s="308" t="s">
        <v>222</v>
      </c>
      <c r="X74" s="308" t="s">
        <v>224</v>
      </c>
      <c r="Y74" s="308" t="s">
        <v>225</v>
      </c>
      <c r="Z74" s="308" t="s">
        <v>226</v>
      </c>
      <c r="AA74" s="308" t="s">
        <v>227</v>
      </c>
      <c r="AB74" s="308" t="s">
        <v>228</v>
      </c>
      <c r="AC74" s="308" t="s">
        <v>229</v>
      </c>
      <c r="AD74" s="308" t="s">
        <v>230</v>
      </c>
      <c r="AE74" s="308" t="s">
        <v>231</v>
      </c>
      <c r="AF74" s="308" t="s">
        <v>232</v>
      </c>
      <c r="AG74" s="308" t="s">
        <v>233</v>
      </c>
      <c r="AH74" s="53"/>
      <c r="AI74" s="53"/>
      <c r="AJ74" s="53"/>
      <c r="AK74" s="53"/>
      <c r="AL74" s="53"/>
      <c r="AM74" s="58"/>
      <c r="AN74" s="53"/>
      <c r="AO74" s="53"/>
    </row>
    <row r="75" spans="2:41" s="232" customFormat="1" ht="15">
      <c r="B75" s="304" t="s">
        <v>124</v>
      </c>
      <c r="C75" s="472">
        <f aca="true" t="shared" si="0" ref="C75:AG75">SUM(C76:C99)</f>
        <v>86472.624</v>
      </c>
      <c r="D75" s="472">
        <f t="shared" si="0"/>
        <v>331176.85</v>
      </c>
      <c r="E75" s="472">
        <f t="shared" si="0"/>
        <v>414401.30000000005</v>
      </c>
      <c r="F75" s="472">
        <f t="shared" si="0"/>
        <v>175407.40999999997</v>
      </c>
      <c r="G75" s="472">
        <f t="shared" si="0"/>
        <v>254544.83899999998</v>
      </c>
      <c r="H75" s="472">
        <f t="shared" si="0"/>
        <v>103567.21999999999</v>
      </c>
      <c r="I75" s="472">
        <f t="shared" si="0"/>
        <v>15732</v>
      </c>
      <c r="J75" s="472">
        <f t="shared" si="0"/>
        <v>16728.6</v>
      </c>
      <c r="K75" s="472">
        <f t="shared" si="0"/>
        <v>64858.5</v>
      </c>
      <c r="L75" s="472">
        <f t="shared" si="0"/>
        <v>7733.599999999999</v>
      </c>
      <c r="M75" s="472">
        <f t="shared" si="0"/>
        <v>18874.21</v>
      </c>
      <c r="N75" s="472">
        <f t="shared" si="0"/>
        <v>15847.239</v>
      </c>
      <c r="O75" s="472">
        <f t="shared" si="0"/>
        <v>43883.05</v>
      </c>
      <c r="P75" s="472">
        <f t="shared" si="0"/>
        <v>31700.25</v>
      </c>
      <c r="Q75" s="472">
        <f t="shared" si="0"/>
        <v>197745.75</v>
      </c>
      <c r="R75" s="472">
        <f t="shared" si="0"/>
        <v>4822.9800000000005</v>
      </c>
      <c r="S75" s="472">
        <f t="shared" si="0"/>
        <v>120634.301</v>
      </c>
      <c r="T75" s="472">
        <f t="shared" si="0"/>
        <v>132563.75</v>
      </c>
      <c r="U75" s="472">
        <f t="shared" si="0"/>
        <v>74739.39</v>
      </c>
      <c r="V75" s="472">
        <f t="shared" si="0"/>
        <v>438177.09699999995</v>
      </c>
      <c r="W75" s="472">
        <f t="shared" si="0"/>
        <v>170017.2</v>
      </c>
      <c r="X75" s="472">
        <f t="shared" si="0"/>
        <v>180841.51299999998</v>
      </c>
      <c r="Y75" s="472">
        <f t="shared" si="0"/>
        <v>33903.57</v>
      </c>
      <c r="Z75" s="472">
        <f t="shared" si="0"/>
        <v>44359.75</v>
      </c>
      <c r="AA75" s="472">
        <f t="shared" si="0"/>
        <v>71994.25</v>
      </c>
      <c r="AB75" s="472">
        <f t="shared" si="0"/>
        <v>55841.25</v>
      </c>
      <c r="AC75" s="472">
        <f t="shared" si="0"/>
        <v>5629.55</v>
      </c>
      <c r="AD75" s="472">
        <f t="shared" si="0"/>
        <v>15792.849999999999</v>
      </c>
      <c r="AE75" s="472">
        <f t="shared" si="0"/>
        <v>11904.25</v>
      </c>
      <c r="AF75" s="472">
        <f t="shared" si="0"/>
        <v>13025.9</v>
      </c>
      <c r="AG75" s="472">
        <f t="shared" si="0"/>
        <v>790.7</v>
      </c>
      <c r="AH75" s="53"/>
      <c r="AI75" s="53"/>
      <c r="AJ75" s="53"/>
      <c r="AK75" s="53"/>
      <c r="AL75" s="53"/>
      <c r="AM75" s="58"/>
      <c r="AN75" s="53"/>
      <c r="AO75" s="53"/>
    </row>
    <row r="76" spans="2:33" ht="15">
      <c r="B76" s="81" t="s">
        <v>43</v>
      </c>
      <c r="C76" s="468">
        <f>+'IB 3C1'!C16</f>
        <v>0</v>
      </c>
      <c r="D76" s="468">
        <v>3725</v>
      </c>
      <c r="E76" s="468">
        <f>+'IB 3C1'!D16</f>
        <v>52156</v>
      </c>
      <c r="F76" s="468">
        <v>10740.5</v>
      </c>
      <c r="G76" s="468">
        <v>13089</v>
      </c>
      <c r="H76" s="468">
        <v>12370</v>
      </c>
      <c r="I76" s="468">
        <v>2</v>
      </c>
      <c r="J76" s="468">
        <v>28</v>
      </c>
      <c r="K76" s="468">
        <v>0</v>
      </c>
      <c r="L76" s="468">
        <v>0</v>
      </c>
      <c r="M76" s="468">
        <f>+'IB 3C1'!E16</f>
        <v>0</v>
      </c>
      <c r="N76" s="468">
        <v>1109</v>
      </c>
      <c r="O76" s="468">
        <v>920.5</v>
      </c>
      <c r="P76" s="468">
        <v>0</v>
      </c>
      <c r="Q76" s="468">
        <v>7803</v>
      </c>
      <c r="R76" s="468">
        <v>77.8</v>
      </c>
      <c r="S76" s="468">
        <v>132</v>
      </c>
      <c r="T76" s="468">
        <v>29</v>
      </c>
      <c r="U76" s="468">
        <v>0</v>
      </c>
      <c r="V76" s="468">
        <v>54225</v>
      </c>
      <c r="W76" s="468">
        <v>7873</v>
      </c>
      <c r="X76" s="468">
        <v>154.5</v>
      </c>
      <c r="Y76" s="468">
        <v>574.5</v>
      </c>
      <c r="Z76" s="468">
        <v>67</v>
      </c>
      <c r="AA76" s="468">
        <v>7768</v>
      </c>
      <c r="AB76" s="468">
        <v>106</v>
      </c>
      <c r="AC76" s="468">
        <v>0</v>
      </c>
      <c r="AD76" s="468">
        <v>0</v>
      </c>
      <c r="AE76" s="468">
        <v>101</v>
      </c>
      <c r="AF76" s="468">
        <v>171.5</v>
      </c>
      <c r="AG76" s="468">
        <v>239</v>
      </c>
    </row>
    <row r="77" spans="2:33" ht="15">
      <c r="B77" s="81" t="s">
        <v>223</v>
      </c>
      <c r="C77" s="468">
        <f>+'IB 3C1'!C17</f>
        <v>7100.76</v>
      </c>
      <c r="D77" s="468">
        <v>9003</v>
      </c>
      <c r="E77" s="468">
        <f>+'IB 3C1'!D17</f>
        <v>5520</v>
      </c>
      <c r="F77" s="468">
        <v>153</v>
      </c>
      <c r="G77" s="468">
        <v>17838</v>
      </c>
      <c r="H77" s="468">
        <v>221</v>
      </c>
      <c r="I77" s="468">
        <v>207</v>
      </c>
      <c r="J77" s="468">
        <v>1812</v>
      </c>
      <c r="K77" s="468">
        <v>212</v>
      </c>
      <c r="L77" s="468">
        <v>560</v>
      </c>
      <c r="M77" s="468">
        <f>+'IB 3C1'!E17</f>
        <v>507</v>
      </c>
      <c r="N77" s="468">
        <v>0</v>
      </c>
      <c r="O77" s="468">
        <v>3915</v>
      </c>
      <c r="P77" s="468">
        <v>2842</v>
      </c>
      <c r="Q77" s="468">
        <v>5895</v>
      </c>
      <c r="R77" s="468">
        <v>276</v>
      </c>
      <c r="S77" s="468">
        <v>11123</v>
      </c>
      <c r="T77" s="468">
        <v>5529</v>
      </c>
      <c r="U77" s="468">
        <v>0</v>
      </c>
      <c r="V77" s="468">
        <v>0</v>
      </c>
      <c r="W77" s="468">
        <v>0</v>
      </c>
      <c r="X77" s="468">
        <v>8312.5</v>
      </c>
      <c r="Y77" s="468">
        <v>532</v>
      </c>
      <c r="Z77" s="468">
        <v>1449</v>
      </c>
      <c r="AA77" s="468">
        <v>900</v>
      </c>
      <c r="AB77" s="468">
        <v>1537</v>
      </c>
      <c r="AC77" s="468">
        <v>0</v>
      </c>
      <c r="AD77" s="468">
        <v>0</v>
      </c>
      <c r="AE77" s="468">
        <v>570</v>
      </c>
      <c r="AF77" s="468">
        <v>102</v>
      </c>
      <c r="AG77" s="468">
        <v>0</v>
      </c>
    </row>
    <row r="78" spans="2:33" ht="15">
      <c r="B78" s="81" t="s">
        <v>44</v>
      </c>
      <c r="C78" s="468">
        <f>+'IB 3C1'!C18</f>
        <v>0</v>
      </c>
      <c r="D78" s="468">
        <v>23552</v>
      </c>
      <c r="E78" s="468">
        <f>+'IB 3C1'!D18</f>
        <v>0</v>
      </c>
      <c r="F78" s="468">
        <v>62.9</v>
      </c>
      <c r="G78" s="468">
        <v>2021</v>
      </c>
      <c r="H78" s="468">
        <v>70.5</v>
      </c>
      <c r="I78" s="468">
        <v>152.5</v>
      </c>
      <c r="J78" s="468">
        <v>131</v>
      </c>
      <c r="K78" s="468">
        <v>5080</v>
      </c>
      <c r="L78" s="468">
        <v>0</v>
      </c>
      <c r="M78" s="468">
        <f>+'IB 3C1'!E18</f>
        <v>0</v>
      </c>
      <c r="N78" s="468">
        <v>0</v>
      </c>
      <c r="O78" s="468">
        <v>2167</v>
      </c>
      <c r="P78" s="468">
        <v>0</v>
      </c>
      <c r="Q78" s="468">
        <v>25165</v>
      </c>
      <c r="R78" s="468">
        <v>110.5</v>
      </c>
      <c r="S78" s="468">
        <v>5169</v>
      </c>
      <c r="T78" s="468">
        <v>5390</v>
      </c>
      <c r="U78" s="468">
        <v>0</v>
      </c>
      <c r="V78" s="468">
        <v>0</v>
      </c>
      <c r="W78" s="468">
        <v>0</v>
      </c>
      <c r="X78" s="468">
        <v>3015.818</v>
      </c>
      <c r="Y78" s="468">
        <v>1081.1</v>
      </c>
      <c r="Z78" s="468">
        <v>1331</v>
      </c>
      <c r="AA78" s="468">
        <v>5239</v>
      </c>
      <c r="AB78" s="468">
        <v>5456</v>
      </c>
      <c r="AC78" s="468">
        <v>5</v>
      </c>
      <c r="AD78" s="468">
        <v>0</v>
      </c>
      <c r="AE78" s="468">
        <v>1055.5</v>
      </c>
      <c r="AF78" s="468">
        <v>1488</v>
      </c>
      <c r="AG78" s="468">
        <v>0</v>
      </c>
    </row>
    <row r="79" spans="2:33" ht="15">
      <c r="B79" s="81" t="s">
        <v>45</v>
      </c>
      <c r="C79" s="468">
        <f>+'IB 3C1'!C19</f>
        <v>605.2700000000001</v>
      </c>
      <c r="D79" s="468">
        <v>9576</v>
      </c>
      <c r="E79" s="468">
        <f>+'IB 3C1'!D19</f>
        <v>20147</v>
      </c>
      <c r="F79" s="468">
        <v>2</v>
      </c>
      <c r="G79" s="468">
        <v>258</v>
      </c>
      <c r="H79" s="468">
        <v>31</v>
      </c>
      <c r="I79" s="468">
        <v>8723</v>
      </c>
      <c r="J79" s="468">
        <v>118</v>
      </c>
      <c r="K79" s="468">
        <v>2118</v>
      </c>
      <c r="L79" s="468">
        <v>2475</v>
      </c>
      <c r="M79" s="468">
        <f>+'IB 3C1'!E19</f>
        <v>443</v>
      </c>
      <c r="N79" s="468">
        <v>0</v>
      </c>
      <c r="O79" s="468">
        <v>1992</v>
      </c>
      <c r="P79" s="468">
        <v>0</v>
      </c>
      <c r="Q79" s="468">
        <v>2327</v>
      </c>
      <c r="R79" s="468">
        <v>729</v>
      </c>
      <c r="S79" s="468">
        <v>1503</v>
      </c>
      <c r="T79" s="468">
        <v>219</v>
      </c>
      <c r="U79" s="468">
        <v>0</v>
      </c>
      <c r="V79" s="468">
        <v>0</v>
      </c>
      <c r="W79" s="468">
        <v>0</v>
      </c>
      <c r="X79" s="468">
        <v>36417</v>
      </c>
      <c r="Y79" s="468">
        <v>1417</v>
      </c>
      <c r="Z79" s="468">
        <v>5</v>
      </c>
      <c r="AA79" s="468">
        <v>4052</v>
      </c>
      <c r="AB79" s="468">
        <v>284</v>
      </c>
      <c r="AC79" s="468">
        <v>90</v>
      </c>
      <c r="AD79" s="468">
        <v>0</v>
      </c>
      <c r="AE79" s="468">
        <v>0</v>
      </c>
      <c r="AF79" s="468">
        <v>1017</v>
      </c>
      <c r="AG79" s="468">
        <v>0</v>
      </c>
    </row>
    <row r="80" spans="2:33" ht="15">
      <c r="B80" s="81" t="s">
        <v>46</v>
      </c>
      <c r="C80" s="468">
        <f>+'IB 3C1'!C20</f>
        <v>0</v>
      </c>
      <c r="D80" s="473">
        <v>21900</v>
      </c>
      <c r="E80" s="468">
        <f>+'IB 3C1'!D20</f>
        <v>32</v>
      </c>
      <c r="F80" s="468">
        <v>287</v>
      </c>
      <c r="G80" s="468">
        <v>1116</v>
      </c>
      <c r="H80" s="468">
        <v>490</v>
      </c>
      <c r="I80" s="468">
        <v>382</v>
      </c>
      <c r="J80" s="468">
        <v>45</v>
      </c>
      <c r="K80" s="468">
        <v>11564</v>
      </c>
      <c r="L80" s="468">
        <v>0</v>
      </c>
      <c r="M80" s="468">
        <f>+'IB 3C1'!E20</f>
        <v>0</v>
      </c>
      <c r="N80" s="468">
        <v>24</v>
      </c>
      <c r="O80" s="468">
        <v>1994</v>
      </c>
      <c r="P80" s="468">
        <v>0</v>
      </c>
      <c r="Q80" s="468">
        <v>16459</v>
      </c>
      <c r="R80" s="468">
        <v>112</v>
      </c>
      <c r="S80" s="468">
        <v>9451</v>
      </c>
      <c r="T80" s="468">
        <v>12900</v>
      </c>
      <c r="U80" s="468">
        <v>0</v>
      </c>
      <c r="V80" s="468">
        <v>5846</v>
      </c>
      <c r="W80" s="468">
        <v>8216</v>
      </c>
      <c r="X80" s="468">
        <v>10121</v>
      </c>
      <c r="Y80" s="468">
        <v>1785</v>
      </c>
      <c r="Z80" s="468">
        <v>4345</v>
      </c>
      <c r="AA80" s="468">
        <v>1661</v>
      </c>
      <c r="AB80" s="468">
        <v>6537</v>
      </c>
      <c r="AC80" s="468">
        <v>61</v>
      </c>
      <c r="AD80" s="468">
        <v>0</v>
      </c>
      <c r="AE80" s="468">
        <v>309</v>
      </c>
      <c r="AF80" s="468">
        <v>1409</v>
      </c>
      <c r="AG80" s="468">
        <v>0</v>
      </c>
    </row>
    <row r="81" spans="2:33" ht="15">
      <c r="B81" s="81" t="s">
        <v>47</v>
      </c>
      <c r="C81" s="468">
        <f>+'IB 3C1'!C21</f>
        <v>0</v>
      </c>
      <c r="D81" s="473">
        <v>27298</v>
      </c>
      <c r="E81" s="468">
        <f>+'IB 3C1'!D21</f>
        <v>22944</v>
      </c>
      <c r="F81" s="468">
        <v>5799.3</v>
      </c>
      <c r="G81" s="468">
        <v>18749</v>
      </c>
      <c r="H81" s="468">
        <v>7576.25</v>
      </c>
      <c r="I81" s="468">
        <v>175</v>
      </c>
      <c r="J81" s="468">
        <v>1283</v>
      </c>
      <c r="K81" s="468">
        <v>866</v>
      </c>
      <c r="L81" s="468">
        <v>0</v>
      </c>
      <c r="M81" s="468">
        <f>+'IB 3C1'!E21</f>
        <v>0</v>
      </c>
      <c r="N81" s="468">
        <v>541</v>
      </c>
      <c r="O81" s="468">
        <v>8480.5</v>
      </c>
      <c r="P81" s="468">
        <v>0</v>
      </c>
      <c r="Q81" s="468">
        <v>37806</v>
      </c>
      <c r="R81" s="468">
        <v>126</v>
      </c>
      <c r="S81" s="468">
        <v>26087</v>
      </c>
      <c r="T81" s="468">
        <v>10693.25</v>
      </c>
      <c r="U81" s="468">
        <v>0</v>
      </c>
      <c r="V81" s="468">
        <v>64908</v>
      </c>
      <c r="W81" s="468">
        <v>1329.5</v>
      </c>
      <c r="X81" s="468">
        <v>3510</v>
      </c>
      <c r="Y81" s="468">
        <v>9918.5</v>
      </c>
      <c r="Z81" s="468">
        <v>15606.5</v>
      </c>
      <c r="AA81" s="468">
        <v>17628</v>
      </c>
      <c r="AB81" s="468">
        <v>4431.5</v>
      </c>
      <c r="AC81" s="468">
        <v>0</v>
      </c>
      <c r="AD81" s="468">
        <v>2</v>
      </c>
      <c r="AE81" s="468">
        <v>633</v>
      </c>
      <c r="AF81" s="468">
        <v>947</v>
      </c>
      <c r="AG81" s="468">
        <v>0</v>
      </c>
    </row>
    <row r="82" spans="2:33" ht="15">
      <c r="B82" s="81" t="s">
        <v>48</v>
      </c>
      <c r="C82" s="468">
        <f>+'IB 3C1'!C22</f>
        <v>0</v>
      </c>
      <c r="D82" s="473">
        <v>31497</v>
      </c>
      <c r="E82" s="468">
        <f>+'IB 3C1'!D22</f>
        <v>1029</v>
      </c>
      <c r="F82" s="468">
        <v>3450</v>
      </c>
      <c r="G82" s="468">
        <v>3389</v>
      </c>
      <c r="H82" s="468">
        <v>3681.77</v>
      </c>
      <c r="I82" s="468">
        <v>428</v>
      </c>
      <c r="J82" s="468">
        <v>56</v>
      </c>
      <c r="K82" s="468">
        <v>2639</v>
      </c>
      <c r="L82" s="468">
        <v>1340</v>
      </c>
      <c r="M82" s="468">
        <f>+'IB 3C1'!E22</f>
        <v>0</v>
      </c>
      <c r="N82" s="468">
        <v>978.5</v>
      </c>
      <c r="O82" s="468">
        <v>2125</v>
      </c>
      <c r="P82" s="468">
        <v>0</v>
      </c>
      <c r="Q82" s="468">
        <v>22366</v>
      </c>
      <c r="R82" s="468">
        <v>45</v>
      </c>
      <c r="S82" s="468">
        <v>9110.801</v>
      </c>
      <c r="T82" s="468">
        <v>13831</v>
      </c>
      <c r="U82" s="468">
        <v>0</v>
      </c>
      <c r="V82" s="468">
        <v>54214</v>
      </c>
      <c r="W82" s="468">
        <v>18323</v>
      </c>
      <c r="X82" s="468">
        <v>2691.05</v>
      </c>
      <c r="Y82" s="468">
        <v>731</v>
      </c>
      <c r="Z82" s="468">
        <v>2097</v>
      </c>
      <c r="AA82" s="468">
        <v>1840</v>
      </c>
      <c r="AB82" s="468">
        <v>9813</v>
      </c>
      <c r="AC82" s="468"/>
      <c r="AD82" s="468">
        <v>0</v>
      </c>
      <c r="AE82" s="468">
        <v>1921</v>
      </c>
      <c r="AF82" s="468">
        <v>594</v>
      </c>
      <c r="AG82" s="468">
        <v>10</v>
      </c>
    </row>
    <row r="83" spans="2:33" ht="15">
      <c r="B83" s="81" t="s">
        <v>49</v>
      </c>
      <c r="C83" s="468">
        <f>+'IB 3C1'!C23</f>
        <v>0</v>
      </c>
      <c r="D83" s="473">
        <v>28674</v>
      </c>
      <c r="E83" s="468">
        <f>+'IB 3C1'!D23</f>
        <v>0</v>
      </c>
      <c r="F83" s="468">
        <v>101</v>
      </c>
      <c r="G83" s="468">
        <v>381</v>
      </c>
      <c r="H83" s="468">
        <v>0</v>
      </c>
      <c r="I83" s="468">
        <v>9</v>
      </c>
      <c r="J83" s="468">
        <v>8</v>
      </c>
      <c r="K83" s="468">
        <v>1920</v>
      </c>
      <c r="L83" s="468">
        <v>12</v>
      </c>
      <c r="M83" s="468">
        <f>+'IB 3C1'!E23</f>
        <v>0</v>
      </c>
      <c r="N83" s="468">
        <v>0</v>
      </c>
      <c r="O83" s="468">
        <v>1503</v>
      </c>
      <c r="P83" s="468">
        <v>0</v>
      </c>
      <c r="Q83" s="468">
        <v>18796</v>
      </c>
      <c r="R83" s="468">
        <v>88</v>
      </c>
      <c r="S83" s="468">
        <v>4267</v>
      </c>
      <c r="T83" s="468">
        <v>15887</v>
      </c>
      <c r="U83" s="468">
        <v>0</v>
      </c>
      <c r="V83" s="468">
        <v>10</v>
      </c>
      <c r="W83" s="468">
        <v>0</v>
      </c>
      <c r="X83" s="468">
        <v>7515</v>
      </c>
      <c r="Y83" s="468">
        <v>6768</v>
      </c>
      <c r="Z83" s="468">
        <v>3325</v>
      </c>
      <c r="AA83" s="468">
        <v>5971</v>
      </c>
      <c r="AB83" s="468">
        <v>6604</v>
      </c>
      <c r="AC83" s="468">
        <v>2</v>
      </c>
      <c r="AD83" s="468">
        <v>0</v>
      </c>
      <c r="AE83" s="468">
        <v>527</v>
      </c>
      <c r="AF83" s="468">
        <v>2377</v>
      </c>
      <c r="AG83" s="468">
        <v>0</v>
      </c>
    </row>
    <row r="84" spans="2:33" ht="15">
      <c r="B84" s="81" t="s">
        <v>50</v>
      </c>
      <c r="C84" s="468">
        <f>+'IB 3C1'!C24</f>
        <v>0</v>
      </c>
      <c r="D84" s="473">
        <v>43288</v>
      </c>
      <c r="E84" s="468">
        <f>+'IB 3C1'!D24</f>
        <v>7518.5</v>
      </c>
      <c r="F84" s="468">
        <v>19475.75</v>
      </c>
      <c r="G84" s="468">
        <v>10331</v>
      </c>
      <c r="H84" s="468">
        <v>4291.75</v>
      </c>
      <c r="I84" s="468">
        <v>80</v>
      </c>
      <c r="J84" s="468">
        <v>262.75</v>
      </c>
      <c r="K84" s="468">
        <v>608.5</v>
      </c>
      <c r="L84" s="468">
        <v>0</v>
      </c>
      <c r="M84" s="468">
        <f>+'IB 3C1'!E24</f>
        <v>0</v>
      </c>
      <c r="N84" s="468">
        <v>704</v>
      </c>
      <c r="O84" s="468">
        <v>771.25</v>
      </c>
      <c r="P84" s="468">
        <v>0</v>
      </c>
      <c r="Q84" s="468">
        <v>13239.5</v>
      </c>
      <c r="R84" s="468">
        <v>62.5</v>
      </c>
      <c r="S84" s="468">
        <v>8185.75</v>
      </c>
      <c r="T84" s="468">
        <v>6211</v>
      </c>
      <c r="U84" s="468">
        <v>3373</v>
      </c>
      <c r="V84" s="468">
        <v>20752</v>
      </c>
      <c r="W84" s="468">
        <v>22094.5</v>
      </c>
      <c r="X84" s="468">
        <v>1076.5</v>
      </c>
      <c r="Y84" s="468">
        <v>2345.75</v>
      </c>
      <c r="Z84" s="468">
        <v>1019.25</v>
      </c>
      <c r="AA84" s="468">
        <v>3486.75</v>
      </c>
      <c r="AB84" s="468">
        <v>3049.25</v>
      </c>
      <c r="AC84" s="468">
        <v>0</v>
      </c>
      <c r="AD84" s="468">
        <v>0</v>
      </c>
      <c r="AE84" s="468">
        <v>1031.75</v>
      </c>
      <c r="AF84" s="468">
        <v>660.5</v>
      </c>
      <c r="AG84" s="468">
        <v>0</v>
      </c>
    </row>
    <row r="85" spans="2:33" ht="15">
      <c r="B85" s="81" t="s">
        <v>51</v>
      </c>
      <c r="C85" s="468">
        <f>+'IB 3C1'!C25</f>
        <v>0</v>
      </c>
      <c r="D85" s="473">
        <v>3609.8</v>
      </c>
      <c r="E85" s="468">
        <f>+'IB 3C1'!D25</f>
        <v>0</v>
      </c>
      <c r="F85" s="468">
        <v>140.25</v>
      </c>
      <c r="G85" s="468">
        <v>20087.08</v>
      </c>
      <c r="H85" s="468">
        <v>416.5</v>
      </c>
      <c r="I85" s="468">
        <v>2384.8</v>
      </c>
      <c r="J85" s="468">
        <v>1504.5</v>
      </c>
      <c r="K85" s="468">
        <v>45.5</v>
      </c>
      <c r="L85" s="468">
        <v>1963</v>
      </c>
      <c r="M85" s="468">
        <f>+'IB 3C1'!E25</f>
        <v>11175.85</v>
      </c>
      <c r="N85" s="468">
        <v>0</v>
      </c>
      <c r="O85" s="468">
        <v>1363.5</v>
      </c>
      <c r="P85" s="468">
        <v>14809.349999999999</v>
      </c>
      <c r="Q85" s="468">
        <v>67</v>
      </c>
      <c r="R85" s="468">
        <v>1128.5</v>
      </c>
      <c r="S85" s="468">
        <v>16</v>
      </c>
      <c r="T85" s="468">
        <v>40</v>
      </c>
      <c r="U85" s="468">
        <v>0</v>
      </c>
      <c r="V85" s="468">
        <v>0</v>
      </c>
      <c r="W85" s="468">
        <v>0</v>
      </c>
      <c r="X85" s="468">
        <v>5534.57</v>
      </c>
      <c r="Y85" s="468">
        <v>63</v>
      </c>
      <c r="Z85" s="468"/>
      <c r="AA85" s="468">
        <v>194</v>
      </c>
      <c r="AB85" s="468"/>
      <c r="AC85" s="468">
        <v>3025.55</v>
      </c>
      <c r="AD85" s="468">
        <v>235.3</v>
      </c>
      <c r="AE85" s="468">
        <v>0</v>
      </c>
      <c r="AF85" s="468">
        <v>38</v>
      </c>
      <c r="AG85" s="468">
        <v>0</v>
      </c>
    </row>
    <row r="86" spans="2:33" ht="15">
      <c r="B86" s="81" t="s">
        <v>52</v>
      </c>
      <c r="C86" s="468">
        <f>+'IB 3C1'!C26</f>
        <v>0</v>
      </c>
      <c r="D86" s="473">
        <v>24820.55</v>
      </c>
      <c r="E86" s="468">
        <f>+'IB 3C1'!D26</f>
        <v>663.15</v>
      </c>
      <c r="F86" s="468">
        <v>17574</v>
      </c>
      <c r="G86" s="468">
        <v>6056.6089999999995</v>
      </c>
      <c r="H86" s="468">
        <v>7817.85</v>
      </c>
      <c r="I86" s="468">
        <v>198</v>
      </c>
      <c r="J86" s="468"/>
      <c r="K86" s="468">
        <v>1913</v>
      </c>
      <c r="L86" s="468">
        <v>265</v>
      </c>
      <c r="M86" s="468">
        <f>+'IB 3C1'!E26</f>
        <v>0</v>
      </c>
      <c r="N86" s="468">
        <v>6612</v>
      </c>
      <c r="O86" s="468">
        <v>6497.55</v>
      </c>
      <c r="P86" s="468">
        <v>0</v>
      </c>
      <c r="Q86" s="468">
        <v>7303.75</v>
      </c>
      <c r="R86" s="468">
        <v>14</v>
      </c>
      <c r="S86" s="468">
        <v>3844</v>
      </c>
      <c r="T86" s="468">
        <v>9145</v>
      </c>
      <c r="U86" s="468">
        <v>0</v>
      </c>
      <c r="V86" s="468">
        <v>94913</v>
      </c>
      <c r="W86" s="468">
        <v>20924</v>
      </c>
      <c r="X86" s="468">
        <v>3532</v>
      </c>
      <c r="Y86" s="468">
        <v>4310.72</v>
      </c>
      <c r="Z86" s="468">
        <v>744</v>
      </c>
      <c r="AA86" s="468">
        <v>4281.5</v>
      </c>
      <c r="AB86" s="468">
        <v>1461</v>
      </c>
      <c r="AC86" s="468">
        <v>0</v>
      </c>
      <c r="AD86" s="468">
        <v>0</v>
      </c>
      <c r="AE86" s="468">
        <v>472</v>
      </c>
      <c r="AF86" s="468">
        <v>2665.9</v>
      </c>
      <c r="AG86" s="468">
        <v>53</v>
      </c>
    </row>
    <row r="87" spans="2:33" ht="15">
      <c r="B87" s="81" t="s">
        <v>53</v>
      </c>
      <c r="C87" s="468">
        <f>+'IB 3C1'!C27</f>
        <v>38716.51400000001</v>
      </c>
      <c r="D87" s="473">
        <v>25842.5</v>
      </c>
      <c r="E87" s="468">
        <f>+'IB 3C1'!D27</f>
        <v>32621.5</v>
      </c>
      <c r="F87" s="468">
        <v>842</v>
      </c>
      <c r="G87" s="468">
        <v>14097.600000000002</v>
      </c>
      <c r="H87" s="468">
        <v>1178</v>
      </c>
      <c r="I87" s="468">
        <v>669</v>
      </c>
      <c r="J87" s="468">
        <v>408</v>
      </c>
      <c r="K87" s="468">
        <v>1154.5</v>
      </c>
      <c r="L87" s="468">
        <v>813.2</v>
      </c>
      <c r="M87" s="468">
        <f>+'IB 3C1'!E27</f>
        <v>50</v>
      </c>
      <c r="N87" s="468">
        <v>1112</v>
      </c>
      <c r="O87" s="468">
        <v>1180</v>
      </c>
      <c r="P87" s="468">
        <v>11301.7</v>
      </c>
      <c r="Q87" s="468">
        <v>15019</v>
      </c>
      <c r="R87" s="468">
        <v>233.5</v>
      </c>
      <c r="S87" s="468">
        <v>29771</v>
      </c>
      <c r="T87" s="468">
        <v>27513</v>
      </c>
      <c r="U87" s="468">
        <v>0</v>
      </c>
      <c r="V87" s="468">
        <v>204</v>
      </c>
      <c r="W87" s="468">
        <v>25.5</v>
      </c>
      <c r="X87" s="468">
        <v>5639.7</v>
      </c>
      <c r="Y87" s="468">
        <v>1643</v>
      </c>
      <c r="Z87" s="468">
        <v>8743</v>
      </c>
      <c r="AA87" s="468">
        <v>2484.4</v>
      </c>
      <c r="AB87" s="468">
        <v>5246.5</v>
      </c>
      <c r="AC87" s="468">
        <v>30</v>
      </c>
      <c r="AD87" s="468">
        <v>66</v>
      </c>
      <c r="AE87" s="468">
        <v>4233</v>
      </c>
      <c r="AF87" s="468">
        <v>324</v>
      </c>
      <c r="AG87" s="468">
        <v>0</v>
      </c>
    </row>
    <row r="88" spans="2:41" ht="15">
      <c r="B88" s="81" t="s">
        <v>54</v>
      </c>
      <c r="C88" s="468">
        <f>+'IB 3C1'!C28</f>
        <v>26361.909999999996</v>
      </c>
      <c r="D88" s="473">
        <v>115</v>
      </c>
      <c r="E88" s="468">
        <f>+'IB 3C1'!D28</f>
        <v>47936</v>
      </c>
      <c r="F88" s="468">
        <v>825</v>
      </c>
      <c r="G88" s="468">
        <v>13830</v>
      </c>
      <c r="H88" s="468">
        <v>638</v>
      </c>
      <c r="I88" s="468">
        <v>432</v>
      </c>
      <c r="J88" s="468">
        <v>2357</v>
      </c>
      <c r="K88" s="468">
        <v>80</v>
      </c>
      <c r="L88" s="468">
        <v>305.4</v>
      </c>
      <c r="M88" s="468">
        <f>+'IB 3C1'!E28</f>
        <v>2957</v>
      </c>
      <c r="N88" s="468">
        <v>0</v>
      </c>
      <c r="O88" s="468">
        <v>2409</v>
      </c>
      <c r="P88" s="468">
        <v>352</v>
      </c>
      <c r="Q88" s="468">
        <v>2857</v>
      </c>
      <c r="R88" s="468">
        <v>95</v>
      </c>
      <c r="S88" s="468">
        <v>934</v>
      </c>
      <c r="T88" s="468">
        <v>40</v>
      </c>
      <c r="U88" s="468">
        <v>0</v>
      </c>
      <c r="V88" s="468">
        <v>2397</v>
      </c>
      <c r="W88" s="468">
        <v>78</v>
      </c>
      <c r="X88" s="468">
        <v>1075</v>
      </c>
      <c r="Y88" s="468">
        <v>897</v>
      </c>
      <c r="Z88" s="468">
        <v>400</v>
      </c>
      <c r="AA88" s="468">
        <v>617</v>
      </c>
      <c r="AB88" s="468">
        <v>177</v>
      </c>
      <c r="AC88" s="468">
        <v>2402</v>
      </c>
      <c r="AD88" s="468">
        <v>1254</v>
      </c>
      <c r="AE88" s="468">
        <v>0</v>
      </c>
      <c r="AF88" s="468">
        <v>355</v>
      </c>
      <c r="AG88" s="468">
        <v>0</v>
      </c>
      <c r="AN88" s="58"/>
      <c r="AO88" s="58"/>
    </row>
    <row r="89" spans="2:33" ht="15">
      <c r="B89" s="82" t="s">
        <v>55</v>
      </c>
      <c r="C89" s="468">
        <f>+'IB 3C1'!C29</f>
        <v>11846.58</v>
      </c>
      <c r="D89" s="473">
        <v>5470</v>
      </c>
      <c r="E89" s="468">
        <f>+'IB 3C1'!D29</f>
        <v>0</v>
      </c>
      <c r="F89" s="468">
        <v>264.88</v>
      </c>
      <c r="G89" s="468">
        <v>14040.75</v>
      </c>
      <c r="H89" s="468">
        <v>1060</v>
      </c>
      <c r="I89" s="468">
        <v>765</v>
      </c>
      <c r="J89" s="468">
        <v>7454.6</v>
      </c>
      <c r="K89" s="468">
        <v>14</v>
      </c>
      <c r="L89" s="468">
        <v>0</v>
      </c>
      <c r="M89" s="468">
        <f>+'IB 3C1'!E29</f>
        <v>915</v>
      </c>
      <c r="N89" s="468">
        <v>0</v>
      </c>
      <c r="O89" s="468">
        <v>3260</v>
      </c>
      <c r="P89" s="468">
        <v>2395.2</v>
      </c>
      <c r="Q89" s="468">
        <v>421</v>
      </c>
      <c r="R89" s="468">
        <v>746</v>
      </c>
      <c r="S89" s="468">
        <v>184.75</v>
      </c>
      <c r="T89" s="468">
        <v>138.5</v>
      </c>
      <c r="U89" s="468">
        <v>0</v>
      </c>
      <c r="V89" s="468">
        <v>0</v>
      </c>
      <c r="W89" s="468">
        <v>0</v>
      </c>
      <c r="X89" s="468">
        <v>6195.875</v>
      </c>
      <c r="Y89" s="468">
        <v>654</v>
      </c>
      <c r="Z89" s="468">
        <v>3</v>
      </c>
      <c r="AA89" s="468">
        <v>1137</v>
      </c>
      <c r="AB89" s="468">
        <v>71</v>
      </c>
      <c r="AC89" s="468">
        <v>14</v>
      </c>
      <c r="AD89" s="468">
        <v>1206</v>
      </c>
      <c r="AE89" s="468">
        <v>0</v>
      </c>
      <c r="AF89" s="468">
        <v>0</v>
      </c>
      <c r="AG89" s="468">
        <v>0</v>
      </c>
    </row>
    <row r="90" spans="2:33" ht="15">
      <c r="B90" s="83" t="s">
        <v>56</v>
      </c>
      <c r="C90" s="468">
        <f>+'IB 3C1'!C30</f>
        <v>0</v>
      </c>
      <c r="D90" s="468">
        <v>0</v>
      </c>
      <c r="E90" s="468">
        <f>+'IB 3C1'!D30</f>
        <v>35542</v>
      </c>
      <c r="F90" s="468">
        <v>24763</v>
      </c>
      <c r="G90" s="468">
        <v>37076</v>
      </c>
      <c r="H90" s="468">
        <v>41971</v>
      </c>
      <c r="I90" s="468">
        <v>0</v>
      </c>
      <c r="J90" s="468">
        <v>0</v>
      </c>
      <c r="K90" s="468">
        <v>0</v>
      </c>
      <c r="L90" s="468">
        <v>0</v>
      </c>
      <c r="M90" s="468">
        <f>+'IB 3C1'!E30</f>
        <v>0</v>
      </c>
      <c r="N90" s="468">
        <v>2186</v>
      </c>
      <c r="O90" s="468">
        <v>3602</v>
      </c>
      <c r="P90" s="468">
        <v>0</v>
      </c>
      <c r="Q90" s="468">
        <v>0</v>
      </c>
      <c r="R90" s="468">
        <v>426</v>
      </c>
      <c r="S90" s="468">
        <v>0</v>
      </c>
      <c r="T90" s="468">
        <v>0</v>
      </c>
      <c r="U90" s="468">
        <v>8933</v>
      </c>
      <c r="V90" s="468">
        <v>176</v>
      </c>
      <c r="W90" s="468">
        <v>665</v>
      </c>
      <c r="X90" s="468">
        <v>0</v>
      </c>
      <c r="Y90" s="468">
        <v>0</v>
      </c>
      <c r="Z90" s="468">
        <v>0</v>
      </c>
      <c r="AA90" s="468">
        <v>4581</v>
      </c>
      <c r="AB90" s="468">
        <v>0</v>
      </c>
      <c r="AC90" s="468">
        <v>0</v>
      </c>
      <c r="AD90" s="468">
        <v>6229</v>
      </c>
      <c r="AE90" s="468">
        <v>0</v>
      </c>
      <c r="AF90" s="468">
        <v>0</v>
      </c>
      <c r="AG90" s="468">
        <v>0</v>
      </c>
    </row>
    <row r="91" spans="2:33" ht="15">
      <c r="B91" s="83" t="s">
        <v>57</v>
      </c>
      <c r="C91" s="468">
        <f>+'IB 3C1'!C31</f>
        <v>0</v>
      </c>
      <c r="D91" s="468">
        <v>0</v>
      </c>
      <c r="E91" s="468">
        <f>+'IB 3C1'!D31</f>
        <v>2277.5</v>
      </c>
      <c r="F91" s="468">
        <v>2734</v>
      </c>
      <c r="G91" s="468">
        <v>6406</v>
      </c>
      <c r="H91" s="468">
        <v>1273.5</v>
      </c>
      <c r="I91" s="468">
        <v>0</v>
      </c>
      <c r="J91" s="468">
        <v>62.25</v>
      </c>
      <c r="K91" s="468">
        <v>0</v>
      </c>
      <c r="L91" s="468">
        <v>0</v>
      </c>
      <c r="M91" s="468">
        <f>+'IB 3C1'!E31</f>
        <v>0</v>
      </c>
      <c r="N91" s="468">
        <v>373</v>
      </c>
      <c r="O91" s="468">
        <v>0</v>
      </c>
      <c r="P91" s="468">
        <v>0</v>
      </c>
      <c r="Q91" s="468">
        <v>0</v>
      </c>
      <c r="R91" s="468">
        <v>2.5</v>
      </c>
      <c r="S91" s="468">
        <v>0</v>
      </c>
      <c r="T91" s="468">
        <v>0</v>
      </c>
      <c r="U91" s="468">
        <v>0</v>
      </c>
      <c r="V91" s="468">
        <v>28.5</v>
      </c>
      <c r="W91" s="468">
        <v>1415.5</v>
      </c>
      <c r="X91" s="468">
        <v>0</v>
      </c>
      <c r="Y91" s="468">
        <v>0</v>
      </c>
      <c r="Z91" s="468">
        <v>0</v>
      </c>
      <c r="AA91" s="468">
        <v>219.5</v>
      </c>
      <c r="AB91" s="468">
        <v>0</v>
      </c>
      <c r="AC91" s="468">
        <v>0</v>
      </c>
      <c r="AD91" s="468">
        <v>0</v>
      </c>
      <c r="AE91" s="468">
        <v>0</v>
      </c>
      <c r="AF91" s="468">
        <v>0</v>
      </c>
      <c r="AG91" s="468">
        <v>0</v>
      </c>
    </row>
    <row r="92" spans="2:33" ht="15">
      <c r="B92" s="83" t="s">
        <v>58</v>
      </c>
      <c r="C92" s="468">
        <f>+'IB 3C1'!C32</f>
        <v>0</v>
      </c>
      <c r="D92" s="468">
        <v>576</v>
      </c>
      <c r="E92" s="468">
        <f>+'IB 3C1'!D32</f>
        <v>0</v>
      </c>
      <c r="F92" s="468">
        <v>2</v>
      </c>
      <c r="G92" s="468">
        <v>59</v>
      </c>
      <c r="H92" s="468">
        <v>0</v>
      </c>
      <c r="I92" s="468">
        <v>62</v>
      </c>
      <c r="J92" s="468">
        <v>1</v>
      </c>
      <c r="K92" s="468">
        <v>41</v>
      </c>
      <c r="L92" s="468">
        <v>0</v>
      </c>
      <c r="M92" s="468">
        <f>+'IB 3C1'!E32</f>
        <v>0</v>
      </c>
      <c r="N92" s="468">
        <v>0</v>
      </c>
      <c r="O92" s="468">
        <v>50</v>
      </c>
      <c r="P92" s="468">
        <v>0</v>
      </c>
      <c r="Q92" s="468">
        <v>651</v>
      </c>
      <c r="R92" s="468">
        <v>5</v>
      </c>
      <c r="S92" s="468">
        <v>73</v>
      </c>
      <c r="T92" s="468">
        <v>96</v>
      </c>
      <c r="U92" s="468">
        <v>0</v>
      </c>
      <c r="V92" s="468">
        <v>0</v>
      </c>
      <c r="W92" s="468">
        <v>0</v>
      </c>
      <c r="X92" s="468">
        <v>9935</v>
      </c>
      <c r="Y92" s="468">
        <v>33</v>
      </c>
      <c r="Z92" s="468">
        <v>0</v>
      </c>
      <c r="AA92" s="468">
        <v>3</v>
      </c>
      <c r="AB92" s="468">
        <v>134</v>
      </c>
      <c r="AC92" s="468">
        <v>0</v>
      </c>
      <c r="AD92" s="468">
        <v>0</v>
      </c>
      <c r="AE92" s="468">
        <v>0</v>
      </c>
      <c r="AF92" s="468">
        <v>71</v>
      </c>
      <c r="AG92" s="468">
        <v>0</v>
      </c>
    </row>
    <row r="93" spans="2:33" ht="15">
      <c r="B93" s="83" t="s">
        <v>59</v>
      </c>
      <c r="C93" s="468">
        <f>+'IB 3C1'!C33</f>
        <v>0</v>
      </c>
      <c r="D93" s="468">
        <v>9096</v>
      </c>
      <c r="E93" s="468">
        <f>+'IB 3C1'!D33</f>
        <v>1261</v>
      </c>
      <c r="F93" s="468">
        <v>5587</v>
      </c>
      <c r="G93" s="468">
        <v>3625</v>
      </c>
      <c r="H93" s="468">
        <v>4299</v>
      </c>
      <c r="I93" s="468">
        <v>0</v>
      </c>
      <c r="J93" s="468">
        <v>0</v>
      </c>
      <c r="K93" s="468">
        <v>0</v>
      </c>
      <c r="L93" s="468">
        <v>0</v>
      </c>
      <c r="M93" s="468">
        <f>+'IB 3C1'!E33</f>
        <v>0</v>
      </c>
      <c r="N93" s="468">
        <v>84</v>
      </c>
      <c r="O93" s="468">
        <v>831</v>
      </c>
      <c r="P93" s="468">
        <v>0</v>
      </c>
      <c r="Q93" s="468">
        <v>1594.5</v>
      </c>
      <c r="R93" s="468">
        <v>0</v>
      </c>
      <c r="S93" s="468">
        <v>210</v>
      </c>
      <c r="T93" s="468">
        <v>147</v>
      </c>
      <c r="U93" s="468">
        <v>0</v>
      </c>
      <c r="V93" s="468">
        <v>12124</v>
      </c>
      <c r="W93" s="468">
        <v>5373</v>
      </c>
      <c r="X93" s="468">
        <v>241</v>
      </c>
      <c r="Y93" s="468">
        <v>712</v>
      </c>
      <c r="Z93" s="468">
        <v>59</v>
      </c>
      <c r="AA93" s="468">
        <v>651</v>
      </c>
      <c r="AB93" s="468">
        <v>510</v>
      </c>
      <c r="AC93" s="468">
        <v>0</v>
      </c>
      <c r="AD93" s="468">
        <v>0</v>
      </c>
      <c r="AE93" s="468">
        <v>0</v>
      </c>
      <c r="AF93" s="468">
        <v>305</v>
      </c>
      <c r="AG93" s="468">
        <v>0</v>
      </c>
    </row>
    <row r="94" spans="2:33" ht="15">
      <c r="B94" s="83" t="s">
        <v>60</v>
      </c>
      <c r="C94" s="468">
        <f>+'IB 3C1'!C34</f>
        <v>1841.59</v>
      </c>
      <c r="D94" s="468">
        <v>1986</v>
      </c>
      <c r="E94" s="468">
        <f>+'IB 3C1'!D34</f>
        <v>49199</v>
      </c>
      <c r="F94" s="468">
        <v>15719</v>
      </c>
      <c r="G94" s="468">
        <v>13743</v>
      </c>
      <c r="H94" s="468">
        <v>864</v>
      </c>
      <c r="I94" s="468">
        <v>221</v>
      </c>
      <c r="J94" s="468">
        <v>682</v>
      </c>
      <c r="K94" s="468">
        <v>0</v>
      </c>
      <c r="L94" s="468">
        <v>0</v>
      </c>
      <c r="M94" s="468">
        <f>+'IB 3C1'!E34</f>
        <v>2680</v>
      </c>
      <c r="N94" s="468">
        <v>0</v>
      </c>
      <c r="O94" s="468">
        <v>341</v>
      </c>
      <c r="P94" s="468">
        <v>0</v>
      </c>
      <c r="Q94" s="468">
        <v>15444</v>
      </c>
      <c r="R94" s="468">
        <v>98</v>
      </c>
      <c r="S94" s="468">
        <v>9156</v>
      </c>
      <c r="T94" s="468">
        <v>351</v>
      </c>
      <c r="U94" s="468">
        <v>0</v>
      </c>
      <c r="V94" s="468">
        <v>8239</v>
      </c>
      <c r="W94" s="468">
        <v>1559</v>
      </c>
      <c r="X94" s="468">
        <v>150</v>
      </c>
      <c r="Y94" s="468">
        <v>419</v>
      </c>
      <c r="Z94" s="468">
        <v>4130</v>
      </c>
      <c r="AA94" s="468">
        <v>4925</v>
      </c>
      <c r="AB94" s="468">
        <v>396</v>
      </c>
      <c r="AC94" s="468">
        <v>0</v>
      </c>
      <c r="AD94" s="468">
        <v>5176</v>
      </c>
      <c r="AE94" s="468">
        <v>0</v>
      </c>
      <c r="AF94" s="468">
        <v>0</v>
      </c>
      <c r="AG94" s="468">
        <v>309</v>
      </c>
    </row>
    <row r="95" spans="2:33" ht="15">
      <c r="B95" s="83" t="s">
        <v>61</v>
      </c>
      <c r="C95" s="468">
        <f>+'IB 3C1'!C35</f>
        <v>0</v>
      </c>
      <c r="D95" s="468">
        <v>60730</v>
      </c>
      <c r="E95" s="468">
        <f>+'IB 3C1'!D35</f>
        <v>114</v>
      </c>
      <c r="F95" s="468">
        <v>1174</v>
      </c>
      <c r="G95" s="468">
        <v>2617</v>
      </c>
      <c r="H95" s="468">
        <v>2158</v>
      </c>
      <c r="I95" s="468">
        <v>453</v>
      </c>
      <c r="J95" s="468">
        <v>245</v>
      </c>
      <c r="K95" s="468">
        <v>36092</v>
      </c>
      <c r="L95" s="468">
        <v>0</v>
      </c>
      <c r="M95" s="468">
        <f>+'IB 3C1'!E35</f>
        <v>0</v>
      </c>
      <c r="N95" s="468">
        <v>798</v>
      </c>
      <c r="O95" s="468">
        <v>0</v>
      </c>
      <c r="P95" s="468">
        <v>0</v>
      </c>
      <c r="Q95" s="468">
        <v>3936</v>
      </c>
      <c r="R95" s="468">
        <v>0</v>
      </c>
      <c r="S95" s="468">
        <v>1414</v>
      </c>
      <c r="T95" s="468">
        <v>24404</v>
      </c>
      <c r="U95" s="468">
        <v>0</v>
      </c>
      <c r="V95" s="468">
        <v>10972</v>
      </c>
      <c r="W95" s="468">
        <v>818</v>
      </c>
      <c r="X95" s="468">
        <v>64664</v>
      </c>
      <c r="Y95" s="468">
        <v>0</v>
      </c>
      <c r="Z95" s="468">
        <v>1036</v>
      </c>
      <c r="AA95" s="468">
        <v>535</v>
      </c>
      <c r="AB95" s="468">
        <v>10028</v>
      </c>
      <c r="AC95" s="468">
        <v>0</v>
      </c>
      <c r="AD95" s="468">
        <v>0</v>
      </c>
      <c r="AE95" s="468">
        <v>1051</v>
      </c>
      <c r="AF95" s="468">
        <v>405</v>
      </c>
      <c r="AG95" s="468">
        <v>37</v>
      </c>
    </row>
    <row r="96" spans="2:33" ht="15">
      <c r="B96" s="83" t="s">
        <v>62</v>
      </c>
      <c r="C96" s="468">
        <f>+'IB 3C1'!C36</f>
        <v>0</v>
      </c>
      <c r="D96" s="468">
        <v>0</v>
      </c>
      <c r="E96" s="468">
        <f>+'IB 3C1'!D36</f>
        <v>101488</v>
      </c>
      <c r="F96" s="468">
        <v>38988.4</v>
      </c>
      <c r="G96" s="468">
        <v>43791.5</v>
      </c>
      <c r="H96" s="468">
        <v>5494.150000000001</v>
      </c>
      <c r="I96" s="468">
        <v>0</v>
      </c>
      <c r="J96" s="468">
        <v>0</v>
      </c>
      <c r="K96" s="468">
        <v>0</v>
      </c>
      <c r="L96" s="468">
        <v>0</v>
      </c>
      <c r="M96" s="468">
        <f>+'IB 3C1'!E36</f>
        <v>0</v>
      </c>
      <c r="N96" s="468">
        <v>863.1</v>
      </c>
      <c r="O96" s="468">
        <v>0</v>
      </c>
      <c r="P96" s="468">
        <v>0</v>
      </c>
      <c r="Q96" s="468">
        <v>0</v>
      </c>
      <c r="R96" s="468">
        <v>221.68</v>
      </c>
      <c r="S96" s="468">
        <v>0</v>
      </c>
      <c r="T96" s="468">
        <v>0</v>
      </c>
      <c r="U96" s="468">
        <v>36532</v>
      </c>
      <c r="V96" s="468">
        <v>93987.1</v>
      </c>
      <c r="W96" s="468">
        <v>59927.55</v>
      </c>
      <c r="X96" s="468">
        <v>0</v>
      </c>
      <c r="Y96" s="468">
        <v>0</v>
      </c>
      <c r="Z96" s="468">
        <v>0</v>
      </c>
      <c r="AA96" s="468">
        <v>3131.5</v>
      </c>
      <c r="AB96" s="468">
        <v>0</v>
      </c>
      <c r="AC96" s="468">
        <v>0</v>
      </c>
      <c r="AD96" s="468">
        <v>1102</v>
      </c>
      <c r="AE96" s="468">
        <v>0</v>
      </c>
      <c r="AF96" s="468">
        <v>0</v>
      </c>
      <c r="AG96" s="468">
        <v>81</v>
      </c>
    </row>
    <row r="97" spans="2:33" ht="15">
      <c r="B97" s="83" t="s">
        <v>63</v>
      </c>
      <c r="C97" s="468">
        <f>+'IB 3C1'!C37</f>
        <v>0</v>
      </c>
      <c r="D97" s="468">
        <v>418</v>
      </c>
      <c r="E97" s="468">
        <f>+'IB 3C1'!D37</f>
        <v>0</v>
      </c>
      <c r="F97" s="468">
        <v>4</v>
      </c>
      <c r="G97" s="468">
        <v>5</v>
      </c>
      <c r="H97" s="468">
        <v>0</v>
      </c>
      <c r="I97" s="468">
        <v>387</v>
      </c>
      <c r="J97" s="468">
        <v>175</v>
      </c>
      <c r="K97" s="468">
        <v>511</v>
      </c>
      <c r="L97" s="468">
        <v>0</v>
      </c>
      <c r="M97" s="468">
        <f>+'IB 3C1'!E37</f>
        <v>0</v>
      </c>
      <c r="N97" s="468">
        <v>0</v>
      </c>
      <c r="O97" s="468">
        <v>106</v>
      </c>
      <c r="P97" s="468">
        <v>0</v>
      </c>
      <c r="Q97" s="468">
        <v>596</v>
      </c>
      <c r="R97" s="468">
        <v>196</v>
      </c>
      <c r="S97" s="468">
        <v>3</v>
      </c>
      <c r="T97" s="468">
        <v>0</v>
      </c>
      <c r="U97" s="468">
        <v>0</v>
      </c>
      <c r="V97" s="468">
        <v>0</v>
      </c>
      <c r="W97" s="468">
        <v>0</v>
      </c>
      <c r="X97" s="468">
        <v>11061</v>
      </c>
      <c r="Y97" s="468">
        <v>19</v>
      </c>
      <c r="Z97" s="468">
        <v>0</v>
      </c>
      <c r="AA97" s="468">
        <v>0</v>
      </c>
      <c r="AB97" s="468">
        <v>0</v>
      </c>
      <c r="AC97" s="468">
        <v>0</v>
      </c>
      <c r="AD97" s="468">
        <v>0</v>
      </c>
      <c r="AE97" s="468">
        <v>0</v>
      </c>
      <c r="AF97" s="468">
        <v>96</v>
      </c>
      <c r="AG97" s="468">
        <v>0</v>
      </c>
    </row>
    <row r="98" spans="2:33" ht="15">
      <c r="B98" s="83" t="s">
        <v>64</v>
      </c>
      <c r="C98" s="468">
        <f>+'IB 3C1'!C38</f>
        <v>0</v>
      </c>
      <c r="D98" s="468">
        <v>0</v>
      </c>
      <c r="E98" s="468">
        <f>+'IB 3C1'!D38</f>
        <v>14232.65</v>
      </c>
      <c r="F98" s="468">
        <v>5458.34</v>
      </c>
      <c r="G98" s="468">
        <v>1219.3</v>
      </c>
      <c r="H98" s="468">
        <v>170.95</v>
      </c>
      <c r="I98" s="468">
        <v>1.7</v>
      </c>
      <c r="J98" s="468">
        <v>1.5000000000000002</v>
      </c>
      <c r="K98" s="468">
        <v>0</v>
      </c>
      <c r="L98" s="468">
        <v>0</v>
      </c>
      <c r="M98" s="468">
        <f>+'IB 3C1'!E38</f>
        <v>0</v>
      </c>
      <c r="N98" s="468">
        <v>0</v>
      </c>
      <c r="O98" s="468">
        <v>374.75000000000006</v>
      </c>
      <c r="P98" s="468">
        <v>0</v>
      </c>
      <c r="Q98" s="468">
        <v>0</v>
      </c>
      <c r="R98" s="468">
        <v>1.5</v>
      </c>
      <c r="S98" s="468">
        <v>0</v>
      </c>
      <c r="T98" s="468">
        <v>0</v>
      </c>
      <c r="U98" s="468">
        <v>0</v>
      </c>
      <c r="V98" s="468">
        <v>0</v>
      </c>
      <c r="W98" s="468">
        <v>656.7</v>
      </c>
      <c r="X98" s="468">
        <v>0</v>
      </c>
      <c r="Y98" s="468">
        <v>0</v>
      </c>
      <c r="Z98" s="468">
        <v>0</v>
      </c>
      <c r="AA98" s="468">
        <v>0.6</v>
      </c>
      <c r="AB98" s="468">
        <v>0</v>
      </c>
      <c r="AC98" s="468">
        <v>0</v>
      </c>
      <c r="AD98" s="468">
        <v>90.55</v>
      </c>
      <c r="AE98" s="468">
        <v>0</v>
      </c>
      <c r="AF98" s="468">
        <v>0</v>
      </c>
      <c r="AG98" s="468">
        <v>5.7</v>
      </c>
    </row>
    <row r="99" spans="2:33" ht="15">
      <c r="B99" s="83" t="s">
        <v>65</v>
      </c>
      <c r="C99" s="468">
        <f>+'IB 3C1'!C39</f>
        <v>0</v>
      </c>
      <c r="D99" s="468">
        <v>0</v>
      </c>
      <c r="E99" s="468">
        <f>+'IB 3C1'!D39</f>
        <v>19720</v>
      </c>
      <c r="F99" s="468">
        <v>21260.09</v>
      </c>
      <c r="G99" s="468">
        <v>10719</v>
      </c>
      <c r="H99" s="468">
        <v>7494</v>
      </c>
      <c r="I99" s="468">
        <v>0</v>
      </c>
      <c r="J99" s="468">
        <v>94</v>
      </c>
      <c r="K99" s="468">
        <v>0</v>
      </c>
      <c r="L99" s="468">
        <v>0</v>
      </c>
      <c r="M99" s="468">
        <f>+'IB 3C1'!E39</f>
        <v>146.36</v>
      </c>
      <c r="N99" s="468">
        <v>462.639</v>
      </c>
      <c r="O99" s="468">
        <v>0</v>
      </c>
      <c r="P99" s="468">
        <v>0</v>
      </c>
      <c r="Q99" s="468">
        <v>0</v>
      </c>
      <c r="R99" s="468">
        <v>28.5</v>
      </c>
      <c r="S99" s="468">
        <v>0</v>
      </c>
      <c r="T99" s="468">
        <v>0</v>
      </c>
      <c r="U99" s="468">
        <v>25901.39</v>
      </c>
      <c r="V99" s="468">
        <v>15181.497</v>
      </c>
      <c r="W99" s="468">
        <v>20738.95</v>
      </c>
      <c r="X99" s="468">
        <v>0</v>
      </c>
      <c r="Y99" s="468">
        <v>0</v>
      </c>
      <c r="Z99" s="468">
        <v>0</v>
      </c>
      <c r="AA99" s="468">
        <v>688</v>
      </c>
      <c r="AB99" s="468">
        <v>0</v>
      </c>
      <c r="AC99" s="468">
        <v>0</v>
      </c>
      <c r="AD99" s="468">
        <v>432</v>
      </c>
      <c r="AE99" s="468">
        <v>0</v>
      </c>
      <c r="AF99" s="468">
        <v>0</v>
      </c>
      <c r="AG99" s="468">
        <v>56</v>
      </c>
    </row>
    <row r="100" spans="2:33" ht="13.5" thickBot="1">
      <c r="B100" s="74"/>
      <c r="C100" s="232"/>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row>
    <row r="101" spans="2:10" ht="15">
      <c r="B101" s="293" t="s">
        <v>1462</v>
      </c>
      <c r="C101" s="1258">
        <v>3</v>
      </c>
      <c r="D101" s="1258"/>
      <c r="E101" s="1258"/>
      <c r="F101" s="1258"/>
      <c r="G101" s="1258"/>
      <c r="H101" s="1258"/>
      <c r="I101" s="1258"/>
      <c r="J101" s="1259"/>
    </row>
    <row r="102" spans="2:10" ht="15">
      <c r="B102" s="294" t="s">
        <v>1461</v>
      </c>
      <c r="C102" s="1180" t="s">
        <v>1585</v>
      </c>
      <c r="D102" s="1180"/>
      <c r="E102" s="1180"/>
      <c r="F102" s="1180"/>
      <c r="G102" s="1180"/>
      <c r="H102" s="1180"/>
      <c r="I102" s="1180"/>
      <c r="J102" s="1181"/>
    </row>
    <row r="103" spans="2:10" ht="15" customHeight="1">
      <c r="B103" s="294" t="s">
        <v>73</v>
      </c>
      <c r="C103" s="1227" t="s">
        <v>1568</v>
      </c>
      <c r="D103" s="1227"/>
      <c r="E103" s="1227"/>
      <c r="F103" s="1227"/>
      <c r="G103" s="1227"/>
      <c r="H103" s="1227"/>
      <c r="I103" s="1227"/>
      <c r="J103" s="1228"/>
    </row>
    <row r="104" spans="2:10" ht="12.75" customHeight="1">
      <c r="B104" s="294" t="s">
        <v>1010</v>
      </c>
      <c r="C104" s="1234" t="s">
        <v>1466</v>
      </c>
      <c r="D104" s="1234"/>
      <c r="E104" s="1234"/>
      <c r="F104" s="1234"/>
      <c r="G104" s="1234"/>
      <c r="H104" s="1234"/>
      <c r="I104" s="1234"/>
      <c r="J104" s="1235"/>
    </row>
    <row r="105" spans="2:10" ht="15">
      <c r="B105" s="294" t="s">
        <v>74</v>
      </c>
      <c r="C105" s="1162">
        <v>44858</v>
      </c>
      <c r="D105" s="1162"/>
      <c r="E105" s="1162"/>
      <c r="F105" s="1162"/>
      <c r="G105" s="1162"/>
      <c r="H105" s="1162"/>
      <c r="I105" s="1162"/>
      <c r="J105" s="1229"/>
    </row>
    <row r="106" spans="2:10" ht="24.75" customHeight="1" thickBot="1">
      <c r="B106" s="295" t="s">
        <v>75</v>
      </c>
      <c r="C106" s="1183" t="s">
        <v>1583</v>
      </c>
      <c r="D106" s="1183"/>
      <c r="E106" s="1183"/>
      <c r="F106" s="1183"/>
      <c r="G106" s="1183"/>
      <c r="H106" s="1183"/>
      <c r="I106" s="1183"/>
      <c r="J106" s="1184"/>
    </row>
    <row r="108" spans="2:41" s="328" customFormat="1" ht="25.5">
      <c r="B108" s="308" t="s">
        <v>1266</v>
      </c>
      <c r="C108" s="308" t="s">
        <v>740</v>
      </c>
      <c r="D108" s="308" t="s">
        <v>204</v>
      </c>
      <c r="E108" s="308" t="s">
        <v>205</v>
      </c>
      <c r="F108" s="308" t="s">
        <v>234</v>
      </c>
      <c r="G108" s="308" t="s">
        <v>206</v>
      </c>
      <c r="H108" s="308" t="s">
        <v>207</v>
      </c>
      <c r="I108" s="308" t="s">
        <v>208</v>
      </c>
      <c r="J108" s="308" t="s">
        <v>209</v>
      </c>
      <c r="K108" s="308" t="s">
        <v>210</v>
      </c>
      <c r="L108" s="308" t="s">
        <v>211</v>
      </c>
      <c r="M108" s="308" t="s">
        <v>212</v>
      </c>
      <c r="N108" s="308" t="s">
        <v>213</v>
      </c>
      <c r="O108" s="308" t="s">
        <v>214</v>
      </c>
      <c r="P108" s="308" t="s">
        <v>215</v>
      </c>
      <c r="Q108" s="308" t="s">
        <v>216</v>
      </c>
      <c r="R108" s="308" t="s">
        <v>217</v>
      </c>
      <c r="S108" s="308" t="s">
        <v>218</v>
      </c>
      <c r="T108" s="308" t="s">
        <v>219</v>
      </c>
      <c r="U108" s="308" t="s">
        <v>220</v>
      </c>
      <c r="V108" s="308" t="s">
        <v>221</v>
      </c>
      <c r="W108" s="308" t="s">
        <v>222</v>
      </c>
      <c r="X108" s="308" t="s">
        <v>224</v>
      </c>
      <c r="Y108" s="308" t="s">
        <v>225</v>
      </c>
      <c r="Z108" s="308" t="s">
        <v>226</v>
      </c>
      <c r="AA108" s="308" t="s">
        <v>227</v>
      </c>
      <c r="AB108" s="308" t="s">
        <v>228</v>
      </c>
      <c r="AC108" s="308" t="s">
        <v>229</v>
      </c>
      <c r="AD108" s="308" t="s">
        <v>230</v>
      </c>
      <c r="AE108" s="308" t="s">
        <v>231</v>
      </c>
      <c r="AF108" s="308" t="s">
        <v>232</v>
      </c>
      <c r="AG108" s="308" t="s">
        <v>233</v>
      </c>
      <c r="AH108" s="53"/>
      <c r="AI108" s="53"/>
      <c r="AJ108" s="53"/>
      <c r="AK108" s="53"/>
      <c r="AL108" s="53"/>
      <c r="AM108" s="58"/>
      <c r="AN108" s="53"/>
      <c r="AO108" s="53"/>
    </row>
    <row r="109" spans="2:33" ht="15">
      <c r="B109" s="1038" t="s">
        <v>124</v>
      </c>
      <c r="C109" s="442">
        <f>SUM(C110:C133)</f>
        <v>10902905.879999999</v>
      </c>
      <c r="D109" s="442">
        <f>SUM(D110:D133)</f>
        <v>5389231.02</v>
      </c>
      <c r="E109" s="442">
        <f aca="true" t="shared" si="1" ref="E109:AG109">SUM(E110:E133)</f>
        <v>3190969.469999999</v>
      </c>
      <c r="F109" s="442">
        <f t="shared" si="1"/>
        <v>2252171.504</v>
      </c>
      <c r="G109" s="442">
        <f t="shared" si="1"/>
        <v>1270756.865</v>
      </c>
      <c r="H109" s="442">
        <f t="shared" si="1"/>
        <v>1276914.4520000003</v>
      </c>
      <c r="I109" s="442">
        <f t="shared" si="1"/>
        <v>636218.3010000002</v>
      </c>
      <c r="J109" s="442">
        <f>SUM(J110:J133)</f>
        <v>300987.78199999995</v>
      </c>
      <c r="K109" s="442">
        <f t="shared" si="1"/>
        <v>89413.59399999998</v>
      </c>
      <c r="L109" s="442">
        <f t="shared" si="1"/>
        <v>131707.21999999997</v>
      </c>
      <c r="M109" s="442">
        <f t="shared" si="1"/>
        <v>56409.701</v>
      </c>
      <c r="N109" s="442">
        <f t="shared" si="1"/>
        <v>565203.4440000001</v>
      </c>
      <c r="O109" s="442">
        <f t="shared" si="1"/>
        <v>417066.42300000007</v>
      </c>
      <c r="P109" s="442">
        <f t="shared" si="1"/>
        <v>356789.56</v>
      </c>
      <c r="Q109" s="442">
        <f t="shared" si="1"/>
        <v>305198.3030000001</v>
      </c>
      <c r="R109" s="442">
        <f t="shared" si="1"/>
        <v>201838.27300000004</v>
      </c>
      <c r="S109" s="442">
        <f t="shared" si="1"/>
        <v>188468.76400000002</v>
      </c>
      <c r="T109" s="442">
        <f t="shared" si="1"/>
        <v>210298.42199999996</v>
      </c>
      <c r="U109" s="442">
        <f t="shared" si="1"/>
        <v>932210.289</v>
      </c>
      <c r="V109" s="442">
        <f t="shared" si="1"/>
        <v>363319.58800000005</v>
      </c>
      <c r="W109" s="442">
        <f t="shared" si="1"/>
        <v>141775.252</v>
      </c>
      <c r="X109" s="442">
        <f t="shared" si="1"/>
        <v>6848049.201</v>
      </c>
      <c r="Y109" s="442">
        <f t="shared" si="1"/>
        <v>129132.08600000001</v>
      </c>
      <c r="Z109" s="442">
        <f t="shared" si="1"/>
        <v>50128.662</v>
      </c>
      <c r="AA109" s="442">
        <f>SUM(AA110:AA133)</f>
        <v>85745.56199999998</v>
      </c>
      <c r="AB109" s="442">
        <f t="shared" si="1"/>
        <v>83230.232</v>
      </c>
      <c r="AC109" s="442">
        <f>SUM(AC110:AC133)</f>
        <v>8080.719999999999</v>
      </c>
      <c r="AD109" s="442">
        <f t="shared" si="1"/>
        <v>21539.073999999997</v>
      </c>
      <c r="AE109" s="442">
        <f t="shared" si="1"/>
        <v>16424.420000000002</v>
      </c>
      <c r="AF109" s="442">
        <f>SUM(AF110:AF133)</f>
        <v>69479.529</v>
      </c>
      <c r="AG109" s="442">
        <f t="shared" si="1"/>
        <v>1475.267</v>
      </c>
    </row>
    <row r="110" spans="2:33" ht="15">
      <c r="B110" s="81" t="s">
        <v>43</v>
      </c>
      <c r="C110" s="468">
        <v>0</v>
      </c>
      <c r="D110" s="468">
        <v>71078.02399999999</v>
      </c>
      <c r="E110" s="468">
        <v>468945.933</v>
      </c>
      <c r="F110" s="468">
        <v>128386.57</v>
      </c>
      <c r="G110" s="468">
        <v>32797.003000000004</v>
      </c>
      <c r="H110" s="468">
        <v>199094.514</v>
      </c>
      <c r="I110" s="468">
        <v>14</v>
      </c>
      <c r="J110" s="468">
        <v>207.85000000000002</v>
      </c>
      <c r="K110" s="468">
        <v>0</v>
      </c>
      <c r="L110" s="468">
        <v>0</v>
      </c>
      <c r="M110" s="468">
        <v>0</v>
      </c>
      <c r="N110" s="468">
        <v>19067.399999999998</v>
      </c>
      <c r="O110" s="468">
        <v>6057.500000000001</v>
      </c>
      <c r="P110" s="468">
        <v>0</v>
      </c>
      <c r="Q110" s="468">
        <v>6051.499999999999</v>
      </c>
      <c r="R110" s="468">
        <v>645.69</v>
      </c>
      <c r="S110" s="468">
        <v>124.43999999999998</v>
      </c>
      <c r="T110" s="468">
        <v>31.23</v>
      </c>
      <c r="U110" s="468">
        <v>0</v>
      </c>
      <c r="V110" s="468">
        <v>42842.88399999999</v>
      </c>
      <c r="W110" s="468">
        <v>5107.580999999999</v>
      </c>
      <c r="X110" s="468">
        <v>13030.566</v>
      </c>
      <c r="Y110" s="468">
        <v>1401.4899999999998</v>
      </c>
      <c r="Z110" s="468">
        <v>61.87</v>
      </c>
      <c r="AA110" s="468">
        <v>6017.776999999999</v>
      </c>
      <c r="AB110" s="468">
        <v>93.005</v>
      </c>
      <c r="AC110" s="468">
        <v>0</v>
      </c>
      <c r="AD110" s="468">
        <v>0</v>
      </c>
      <c r="AE110" s="468">
        <v>70.37</v>
      </c>
      <c r="AF110" s="468">
        <v>432.94800000000004</v>
      </c>
      <c r="AG110" s="468">
        <v>577.2</v>
      </c>
    </row>
    <row r="111" spans="2:33" ht="15">
      <c r="B111" s="81" t="s">
        <v>223</v>
      </c>
      <c r="C111" s="468">
        <v>957460.896</v>
      </c>
      <c r="D111" s="468">
        <v>101105.4</v>
      </c>
      <c r="E111" s="468">
        <v>65996</v>
      </c>
      <c r="F111" s="468">
        <v>1502</v>
      </c>
      <c r="G111" s="468">
        <v>200311.9</v>
      </c>
      <c r="H111" s="468">
        <v>4600</v>
      </c>
      <c r="I111" s="468">
        <v>4293</v>
      </c>
      <c r="J111" s="468">
        <v>36813</v>
      </c>
      <c r="K111" s="468">
        <v>224.7</v>
      </c>
      <c r="L111" s="468">
        <v>2515</v>
      </c>
      <c r="M111" s="468">
        <v>2921</v>
      </c>
      <c r="N111" s="468">
        <v>0</v>
      </c>
      <c r="O111" s="468">
        <v>49132.2</v>
      </c>
      <c r="P111" s="468">
        <v>13993</v>
      </c>
      <c r="Q111" s="468">
        <v>7078.07</v>
      </c>
      <c r="R111" s="468">
        <v>5843</v>
      </c>
      <c r="S111" s="468">
        <v>11223</v>
      </c>
      <c r="T111" s="468">
        <v>5554</v>
      </c>
      <c r="U111" s="468">
        <v>0</v>
      </c>
      <c r="V111" s="468">
        <v>0</v>
      </c>
      <c r="W111" s="468">
        <v>0</v>
      </c>
      <c r="X111" s="468">
        <v>244177</v>
      </c>
      <c r="Y111" s="468">
        <v>1899.1000000000001</v>
      </c>
      <c r="Z111" s="468">
        <v>1456</v>
      </c>
      <c r="AA111" s="468">
        <v>1133.1</v>
      </c>
      <c r="AB111" s="468">
        <v>1540</v>
      </c>
      <c r="AC111" s="468">
        <v>0</v>
      </c>
      <c r="AD111" s="468">
        <v>0</v>
      </c>
      <c r="AE111" s="468">
        <v>577</v>
      </c>
      <c r="AF111" s="468">
        <v>371.8</v>
      </c>
      <c r="AG111" s="468">
        <v>0</v>
      </c>
    </row>
    <row r="112" spans="2:33" ht="15">
      <c r="B112" s="81" t="s">
        <v>44</v>
      </c>
      <c r="C112" s="468">
        <v>0</v>
      </c>
      <c r="D112" s="468">
        <v>414775.757</v>
      </c>
      <c r="E112" s="468">
        <v>0</v>
      </c>
      <c r="F112" s="468">
        <v>283.08</v>
      </c>
      <c r="G112" s="468">
        <v>4763.91</v>
      </c>
      <c r="H112" s="468">
        <v>1042.8</v>
      </c>
      <c r="I112" s="468">
        <v>1071.799</v>
      </c>
      <c r="J112" s="468">
        <v>1661.8</v>
      </c>
      <c r="K112" s="468">
        <v>11307.95</v>
      </c>
      <c r="L112" s="468">
        <v>0</v>
      </c>
      <c r="M112" s="468">
        <v>0</v>
      </c>
      <c r="N112" s="468">
        <v>0</v>
      </c>
      <c r="O112" s="468">
        <v>18482.13</v>
      </c>
      <c r="P112" s="468">
        <v>0</v>
      </c>
      <c r="Q112" s="468">
        <v>55955.45999999999</v>
      </c>
      <c r="R112" s="468">
        <v>2092.69</v>
      </c>
      <c r="S112" s="468">
        <v>11865.24</v>
      </c>
      <c r="T112" s="468">
        <v>13574.849999999999</v>
      </c>
      <c r="U112" s="468">
        <v>0</v>
      </c>
      <c r="V112" s="468">
        <v>0</v>
      </c>
      <c r="W112" s="468">
        <v>0</v>
      </c>
      <c r="X112" s="468">
        <v>151560.737</v>
      </c>
      <c r="Y112" s="468">
        <v>4101.8099999999995</v>
      </c>
      <c r="Z112" s="468">
        <v>2798.425</v>
      </c>
      <c r="AA112" s="468">
        <v>10697.288999999999</v>
      </c>
      <c r="AB112" s="468">
        <v>11932.369</v>
      </c>
      <c r="AC112" s="468">
        <v>20.1</v>
      </c>
      <c r="AD112" s="468">
        <v>0</v>
      </c>
      <c r="AE112" s="468">
        <v>2409.2400000000002</v>
      </c>
      <c r="AF112" s="468">
        <v>6559.130000000001</v>
      </c>
      <c r="AG112" s="468">
        <v>0</v>
      </c>
    </row>
    <row r="113" spans="2:33" ht="15">
      <c r="B113" s="81" t="s">
        <v>45</v>
      </c>
      <c r="C113" s="468">
        <v>64633.464</v>
      </c>
      <c r="D113" s="468">
        <v>337669.956</v>
      </c>
      <c r="E113" s="468">
        <v>278894.00999999995</v>
      </c>
      <c r="F113" s="468">
        <v>14.91</v>
      </c>
      <c r="G113" s="468">
        <v>1956.1499999999999</v>
      </c>
      <c r="H113" s="468">
        <v>457.87800000000004</v>
      </c>
      <c r="I113" s="468">
        <v>377844.33200000005</v>
      </c>
      <c r="J113" s="468">
        <v>1212.164</v>
      </c>
      <c r="K113" s="468">
        <v>8460.767</v>
      </c>
      <c r="L113" s="468">
        <v>49872.95999999999</v>
      </c>
      <c r="M113" s="468">
        <v>1908.41</v>
      </c>
      <c r="N113" s="468">
        <v>0</v>
      </c>
      <c r="O113" s="468">
        <v>37555.244</v>
      </c>
      <c r="P113" s="468">
        <v>0</v>
      </c>
      <c r="Q113" s="468">
        <v>7337.861000000001</v>
      </c>
      <c r="R113" s="468">
        <v>33604.877</v>
      </c>
      <c r="S113" s="468">
        <v>9480.67</v>
      </c>
      <c r="T113" s="468">
        <v>717.3290000000001</v>
      </c>
      <c r="U113" s="468">
        <v>0</v>
      </c>
      <c r="V113" s="468">
        <v>0</v>
      </c>
      <c r="W113" s="468">
        <v>0</v>
      </c>
      <c r="X113" s="468">
        <v>2525365.325</v>
      </c>
      <c r="Y113" s="468">
        <v>14418.703999999998</v>
      </c>
      <c r="Z113" s="468">
        <v>7.2</v>
      </c>
      <c r="AA113" s="468">
        <v>7375.487999999999</v>
      </c>
      <c r="AB113" s="468">
        <v>692.1220000000001</v>
      </c>
      <c r="AC113" s="468">
        <v>166</v>
      </c>
      <c r="AD113" s="468">
        <v>0</v>
      </c>
      <c r="AE113" s="468">
        <v>0</v>
      </c>
      <c r="AF113" s="468">
        <v>8607.245000000003</v>
      </c>
      <c r="AG113" s="468">
        <v>0</v>
      </c>
    </row>
    <row r="114" spans="2:33" ht="15">
      <c r="B114" s="81" t="s">
        <v>46</v>
      </c>
      <c r="C114" s="468">
        <v>0</v>
      </c>
      <c r="D114" s="468">
        <v>368708</v>
      </c>
      <c r="E114" s="468">
        <v>91</v>
      </c>
      <c r="F114" s="468">
        <v>1528</v>
      </c>
      <c r="G114" s="468">
        <v>2869</v>
      </c>
      <c r="H114" s="468">
        <v>5320</v>
      </c>
      <c r="I114" s="468">
        <v>3628</v>
      </c>
      <c r="J114" s="468">
        <v>709</v>
      </c>
      <c r="K114" s="468">
        <v>15832</v>
      </c>
      <c r="L114" s="468">
        <v>0</v>
      </c>
      <c r="M114" s="468">
        <v>0</v>
      </c>
      <c r="N114" s="468">
        <v>220</v>
      </c>
      <c r="O114" s="468">
        <v>10420</v>
      </c>
      <c r="P114" s="468">
        <v>0</v>
      </c>
      <c r="Q114" s="468">
        <v>21978</v>
      </c>
      <c r="R114" s="468">
        <v>1555</v>
      </c>
      <c r="S114" s="468">
        <v>12682</v>
      </c>
      <c r="T114" s="468">
        <v>16821</v>
      </c>
      <c r="U114" s="468">
        <v>0</v>
      </c>
      <c r="V114" s="468">
        <v>2450</v>
      </c>
      <c r="W114" s="468">
        <v>5998</v>
      </c>
      <c r="X114" s="468">
        <v>231190</v>
      </c>
      <c r="Y114" s="468">
        <v>5209</v>
      </c>
      <c r="Z114" s="468">
        <v>5806</v>
      </c>
      <c r="AA114" s="468">
        <v>2375</v>
      </c>
      <c r="AB114" s="468">
        <v>8607</v>
      </c>
      <c r="AC114" s="468">
        <v>108</v>
      </c>
      <c r="AD114" s="468">
        <v>0</v>
      </c>
      <c r="AE114" s="468">
        <v>399</v>
      </c>
      <c r="AF114" s="468">
        <v>5028</v>
      </c>
      <c r="AG114" s="468">
        <v>0</v>
      </c>
    </row>
    <row r="115" spans="2:33" ht="15">
      <c r="B115" s="81" t="s">
        <v>47</v>
      </c>
      <c r="C115" s="468">
        <v>0</v>
      </c>
      <c r="D115" s="468">
        <v>347051.99</v>
      </c>
      <c r="E115" s="468">
        <v>182845.55</v>
      </c>
      <c r="F115" s="468">
        <v>40062.328</v>
      </c>
      <c r="G115" s="468">
        <v>71772.81999999999</v>
      </c>
      <c r="H115" s="468">
        <v>62894.745</v>
      </c>
      <c r="I115" s="468">
        <v>1664.5</v>
      </c>
      <c r="J115" s="468">
        <v>7135.3</v>
      </c>
      <c r="K115" s="468">
        <v>1059.2800000000002</v>
      </c>
      <c r="L115" s="468">
        <v>0</v>
      </c>
      <c r="M115" s="468">
        <v>0</v>
      </c>
      <c r="N115" s="468">
        <v>5625.238</v>
      </c>
      <c r="O115" s="468">
        <v>22423.589</v>
      </c>
      <c r="P115" s="468">
        <v>0</v>
      </c>
      <c r="Q115" s="468">
        <v>30917.337</v>
      </c>
      <c r="R115" s="468">
        <v>860.1689999999999</v>
      </c>
      <c r="S115" s="468">
        <v>26119.106</v>
      </c>
      <c r="T115" s="468">
        <v>9570.109</v>
      </c>
      <c r="U115" s="468">
        <v>0</v>
      </c>
      <c r="V115" s="468">
        <v>71793.736</v>
      </c>
      <c r="W115" s="468">
        <v>1120.675</v>
      </c>
      <c r="X115" s="468">
        <v>169917.54200000002</v>
      </c>
      <c r="Y115" s="468">
        <v>17032.238000000005</v>
      </c>
      <c r="Z115" s="468">
        <v>13992.337000000001</v>
      </c>
      <c r="AA115" s="468">
        <v>14999.517000000002</v>
      </c>
      <c r="AB115" s="468">
        <v>4018.3659999999995</v>
      </c>
      <c r="AC115" s="468">
        <v>0</v>
      </c>
      <c r="AD115" s="468">
        <v>1.8</v>
      </c>
      <c r="AE115" s="468">
        <v>445.15</v>
      </c>
      <c r="AF115" s="468">
        <v>2373.05</v>
      </c>
      <c r="AG115" s="468">
        <v>0</v>
      </c>
    </row>
    <row r="116" spans="2:33" ht="15">
      <c r="B116" s="81" t="s">
        <v>48</v>
      </c>
      <c r="C116" s="468">
        <v>0</v>
      </c>
      <c r="D116" s="468">
        <v>439613.48</v>
      </c>
      <c r="E116" s="468">
        <v>1846.82</v>
      </c>
      <c r="F116" s="468">
        <v>26774.723000000005</v>
      </c>
      <c r="G116" s="468">
        <v>5386.364</v>
      </c>
      <c r="H116" s="468">
        <v>31900.96299999999</v>
      </c>
      <c r="I116" s="468">
        <v>5754.5</v>
      </c>
      <c r="J116" s="468">
        <v>371.97</v>
      </c>
      <c r="K116" s="468">
        <v>4218</v>
      </c>
      <c r="L116" s="468">
        <v>15430</v>
      </c>
      <c r="M116" s="468">
        <v>0</v>
      </c>
      <c r="N116" s="468">
        <v>8807.143000000002</v>
      </c>
      <c r="O116" s="468">
        <v>35763.5</v>
      </c>
      <c r="P116" s="468">
        <v>0</v>
      </c>
      <c r="Q116" s="468">
        <v>58329.97</v>
      </c>
      <c r="R116" s="468">
        <v>757.25</v>
      </c>
      <c r="S116" s="468">
        <v>17157.199999999997</v>
      </c>
      <c r="T116" s="468">
        <v>26429.149999999998</v>
      </c>
      <c r="U116" s="468">
        <v>0</v>
      </c>
      <c r="V116" s="468">
        <v>28264.037</v>
      </c>
      <c r="W116" s="468">
        <v>9914.561</v>
      </c>
      <c r="X116" s="468">
        <v>206392.288</v>
      </c>
      <c r="Y116" s="468">
        <v>3389.8</v>
      </c>
      <c r="Z116" s="468">
        <v>3167.3999999999996</v>
      </c>
      <c r="AA116" s="468">
        <v>2771.03</v>
      </c>
      <c r="AB116" s="468">
        <v>18744.9</v>
      </c>
      <c r="AC116" s="468">
        <v>0</v>
      </c>
      <c r="AD116" s="468">
        <v>0</v>
      </c>
      <c r="AE116" s="468">
        <v>2575.7</v>
      </c>
      <c r="AF116" s="468">
        <v>4511.5</v>
      </c>
      <c r="AG116" s="468">
        <v>15</v>
      </c>
    </row>
    <row r="117" spans="2:33" ht="15">
      <c r="B117" s="81" t="s">
        <v>49</v>
      </c>
      <c r="C117" s="468">
        <v>0</v>
      </c>
      <c r="D117" s="468">
        <v>329138.7570000001</v>
      </c>
      <c r="E117" s="468">
        <v>0</v>
      </c>
      <c r="F117" s="468">
        <v>519.361</v>
      </c>
      <c r="G117" s="468">
        <v>599.5</v>
      </c>
      <c r="H117" s="468">
        <v>0</v>
      </c>
      <c r="I117" s="468">
        <v>51.2</v>
      </c>
      <c r="J117" s="468">
        <v>48.4</v>
      </c>
      <c r="K117" s="468">
        <v>1934.0890000000004</v>
      </c>
      <c r="L117" s="468">
        <v>75.01</v>
      </c>
      <c r="M117" s="468">
        <v>0</v>
      </c>
      <c r="N117" s="468">
        <v>0</v>
      </c>
      <c r="O117" s="468">
        <v>15600.800000000001</v>
      </c>
      <c r="P117" s="468">
        <v>0</v>
      </c>
      <c r="Q117" s="468">
        <v>31227.459000000003</v>
      </c>
      <c r="R117" s="468">
        <v>953.6</v>
      </c>
      <c r="S117" s="468">
        <v>6724.400000000001</v>
      </c>
      <c r="T117" s="468">
        <v>25090.65</v>
      </c>
      <c r="U117" s="468">
        <v>0</v>
      </c>
      <c r="V117" s="468">
        <v>11.929</v>
      </c>
      <c r="W117" s="468">
        <v>0</v>
      </c>
      <c r="X117" s="468">
        <v>210028.82599999997</v>
      </c>
      <c r="Y117" s="468">
        <v>25732.299</v>
      </c>
      <c r="Z117" s="468">
        <v>5413.500000000002</v>
      </c>
      <c r="AA117" s="468">
        <v>9574.439999999999</v>
      </c>
      <c r="AB117" s="468">
        <v>10590.599999999999</v>
      </c>
      <c r="AC117" s="468">
        <v>2.3</v>
      </c>
      <c r="AD117" s="468">
        <v>0</v>
      </c>
      <c r="AE117" s="468">
        <v>832.48</v>
      </c>
      <c r="AF117" s="468">
        <v>9053.659999999998</v>
      </c>
      <c r="AG117" s="468">
        <v>0</v>
      </c>
    </row>
    <row r="118" spans="2:33" ht="15">
      <c r="B118" s="81" t="s">
        <v>50</v>
      </c>
      <c r="C118" s="468">
        <v>0</v>
      </c>
      <c r="D118" s="468">
        <v>716568</v>
      </c>
      <c r="E118" s="468">
        <v>45827</v>
      </c>
      <c r="F118" s="468">
        <v>227037</v>
      </c>
      <c r="G118" s="468">
        <v>38992.99999999999</v>
      </c>
      <c r="H118" s="468">
        <v>54420</v>
      </c>
      <c r="I118" s="468">
        <v>1036</v>
      </c>
      <c r="J118" s="468">
        <v>3760</v>
      </c>
      <c r="K118" s="468">
        <v>553</v>
      </c>
      <c r="L118" s="468">
        <v>0</v>
      </c>
      <c r="M118" s="468">
        <v>0</v>
      </c>
      <c r="N118" s="468">
        <v>9269</v>
      </c>
      <c r="O118" s="468">
        <v>6354</v>
      </c>
      <c r="P118" s="468">
        <v>0</v>
      </c>
      <c r="Q118" s="468">
        <v>15583.000000000002</v>
      </c>
      <c r="R118" s="468">
        <v>1111</v>
      </c>
      <c r="S118" s="468">
        <v>11218</v>
      </c>
      <c r="T118" s="468">
        <v>9017</v>
      </c>
      <c r="U118" s="468">
        <v>31942</v>
      </c>
      <c r="V118" s="468">
        <v>11699</v>
      </c>
      <c r="W118" s="468">
        <v>13403</v>
      </c>
      <c r="X118" s="468">
        <v>24460</v>
      </c>
      <c r="Y118" s="468">
        <v>14563</v>
      </c>
      <c r="Z118" s="468">
        <v>1131</v>
      </c>
      <c r="AA118" s="468">
        <v>4505</v>
      </c>
      <c r="AB118" s="468">
        <v>3303</v>
      </c>
      <c r="AC118" s="468">
        <v>0</v>
      </c>
      <c r="AD118" s="468">
        <v>0</v>
      </c>
      <c r="AE118" s="468">
        <v>1251</v>
      </c>
      <c r="AF118" s="468">
        <v>6116</v>
      </c>
      <c r="AG118" s="468">
        <v>0</v>
      </c>
    </row>
    <row r="119" spans="2:33" ht="15">
      <c r="B119" s="81" t="s">
        <v>51</v>
      </c>
      <c r="C119" s="468">
        <v>0</v>
      </c>
      <c r="D119" s="468">
        <v>134428.308</v>
      </c>
      <c r="E119" s="468">
        <v>0</v>
      </c>
      <c r="F119" s="468">
        <v>2779.7</v>
      </c>
      <c r="G119" s="468">
        <v>200175.03199999998</v>
      </c>
      <c r="H119" s="468">
        <v>10214</v>
      </c>
      <c r="I119" s="468">
        <v>142565.832</v>
      </c>
      <c r="J119" s="468">
        <v>37966.94</v>
      </c>
      <c r="K119" s="468">
        <v>52.2</v>
      </c>
      <c r="L119" s="468">
        <v>38586</v>
      </c>
      <c r="M119" s="468">
        <v>32203.674000000003</v>
      </c>
      <c r="N119" s="468">
        <v>0</v>
      </c>
      <c r="O119" s="468">
        <v>20019.48</v>
      </c>
      <c r="P119" s="468">
        <v>183108.19</v>
      </c>
      <c r="Q119" s="468">
        <v>339.05</v>
      </c>
      <c r="R119" s="468">
        <v>110486.39000000001</v>
      </c>
      <c r="S119" s="468">
        <v>41.86</v>
      </c>
      <c r="T119" s="468">
        <v>112</v>
      </c>
      <c r="U119" s="468">
        <v>0</v>
      </c>
      <c r="V119" s="468">
        <v>0</v>
      </c>
      <c r="W119" s="468">
        <v>0</v>
      </c>
      <c r="X119" s="468">
        <v>131676.393</v>
      </c>
      <c r="Y119" s="468">
        <v>264.55800000000005</v>
      </c>
      <c r="Z119" s="468">
        <v>0</v>
      </c>
      <c r="AA119" s="468">
        <v>271.90999999999997</v>
      </c>
      <c r="AB119" s="468">
        <v>0</v>
      </c>
      <c r="AC119" s="468">
        <v>3382.4199999999996</v>
      </c>
      <c r="AD119" s="468">
        <v>489.248</v>
      </c>
      <c r="AE119" s="468">
        <v>0</v>
      </c>
      <c r="AF119" s="468">
        <v>160.38</v>
      </c>
      <c r="AG119" s="468">
        <v>0</v>
      </c>
    </row>
    <row r="120" spans="2:33" ht="15">
      <c r="B120" s="81" t="s">
        <v>52</v>
      </c>
      <c r="C120" s="468">
        <v>0</v>
      </c>
      <c r="D120" s="468">
        <v>395298.57</v>
      </c>
      <c r="E120" s="468">
        <v>2176.2000000000003</v>
      </c>
      <c r="F120" s="468">
        <v>206894.18</v>
      </c>
      <c r="G120" s="468">
        <v>25076.210000000003</v>
      </c>
      <c r="H120" s="468">
        <v>120683.15500000001</v>
      </c>
      <c r="I120" s="468">
        <v>3771.26</v>
      </c>
      <c r="J120" s="468">
        <v>0</v>
      </c>
      <c r="K120" s="468">
        <v>3469.5690000000013</v>
      </c>
      <c r="L120" s="468">
        <v>4296.65</v>
      </c>
      <c r="M120" s="468">
        <v>0</v>
      </c>
      <c r="N120" s="468">
        <v>436768.42400000006</v>
      </c>
      <c r="O120" s="468">
        <v>75193.29999999999</v>
      </c>
      <c r="P120" s="468">
        <v>0</v>
      </c>
      <c r="Q120" s="468">
        <v>12638.939999999999</v>
      </c>
      <c r="R120" s="468">
        <v>167</v>
      </c>
      <c r="S120" s="468">
        <v>7829.219999999999</v>
      </c>
      <c r="T120" s="468">
        <v>16859.219999999998</v>
      </c>
      <c r="U120" s="468">
        <v>0</v>
      </c>
      <c r="V120" s="468">
        <v>80429.53</v>
      </c>
      <c r="W120" s="468">
        <v>25560.083000000002</v>
      </c>
      <c r="X120" s="468">
        <v>135339.12</v>
      </c>
      <c r="Y120" s="468">
        <v>27088.87</v>
      </c>
      <c r="Z120" s="468">
        <v>1323.4499999999998</v>
      </c>
      <c r="AA120" s="468">
        <v>4270.13</v>
      </c>
      <c r="AB120" s="468">
        <v>2753.19</v>
      </c>
      <c r="AC120" s="468">
        <v>0</v>
      </c>
      <c r="AD120" s="468">
        <v>0</v>
      </c>
      <c r="AE120" s="468">
        <v>650.8100000000002</v>
      </c>
      <c r="AF120" s="468">
        <v>18914.83</v>
      </c>
      <c r="AG120" s="468">
        <v>56.69999999999999</v>
      </c>
    </row>
    <row r="121" spans="2:33" ht="15">
      <c r="B121" s="81" t="s">
        <v>53</v>
      </c>
      <c r="C121" s="468">
        <v>5514277.914000001</v>
      </c>
      <c r="D121" s="468">
        <v>542349.979</v>
      </c>
      <c r="E121" s="468">
        <v>328797.1</v>
      </c>
      <c r="F121" s="468">
        <v>10879.434000000001</v>
      </c>
      <c r="G121" s="468">
        <v>123421.60999999999</v>
      </c>
      <c r="H121" s="468">
        <v>17552.899999999998</v>
      </c>
      <c r="I121" s="468">
        <v>26661.05</v>
      </c>
      <c r="J121" s="468">
        <v>6182.000000000001</v>
      </c>
      <c r="K121" s="468">
        <v>1489.08</v>
      </c>
      <c r="L121" s="468">
        <v>16084</v>
      </c>
      <c r="M121" s="468">
        <v>205</v>
      </c>
      <c r="N121" s="468">
        <v>22902.65</v>
      </c>
      <c r="O121" s="468">
        <v>13819.550000000001</v>
      </c>
      <c r="P121" s="468">
        <v>137619.45</v>
      </c>
      <c r="Q121" s="468">
        <v>25107.700000000004</v>
      </c>
      <c r="R121" s="468">
        <v>6378.2</v>
      </c>
      <c r="S121" s="468">
        <v>61858.5</v>
      </c>
      <c r="T121" s="468">
        <v>57852.69999999999</v>
      </c>
      <c r="U121" s="468">
        <v>0</v>
      </c>
      <c r="V121" s="468">
        <v>226.40699999999998</v>
      </c>
      <c r="W121" s="468">
        <v>30.1</v>
      </c>
      <c r="X121" s="468">
        <v>231099.01500000004</v>
      </c>
      <c r="Y121" s="468">
        <v>5212.16</v>
      </c>
      <c r="Z121" s="468">
        <v>10194.05</v>
      </c>
      <c r="AA121" s="468">
        <v>3484.8599999999997</v>
      </c>
      <c r="AB121" s="468">
        <v>7098.629999999999</v>
      </c>
      <c r="AC121" s="468">
        <v>96</v>
      </c>
      <c r="AD121" s="468">
        <v>102.15899999999999</v>
      </c>
      <c r="AE121" s="468">
        <v>5802.77</v>
      </c>
      <c r="AF121" s="468">
        <v>1288.8999999999999</v>
      </c>
      <c r="AG121" s="468">
        <v>0</v>
      </c>
    </row>
    <row r="122" spans="2:33" ht="15">
      <c r="B122" s="81" t="s">
        <v>54</v>
      </c>
      <c r="C122" s="468">
        <v>2566492.046</v>
      </c>
      <c r="D122" s="468">
        <v>960</v>
      </c>
      <c r="E122" s="468">
        <v>328520</v>
      </c>
      <c r="F122" s="468">
        <v>15615</v>
      </c>
      <c r="G122" s="468">
        <v>83156.5</v>
      </c>
      <c r="H122" s="468">
        <v>7891</v>
      </c>
      <c r="I122" s="468">
        <v>21582</v>
      </c>
      <c r="J122" s="468">
        <v>30617.5</v>
      </c>
      <c r="K122" s="468">
        <v>123</v>
      </c>
      <c r="L122" s="468">
        <v>0</v>
      </c>
      <c r="M122" s="468">
        <v>7115.8</v>
      </c>
      <c r="N122" s="468">
        <v>0</v>
      </c>
      <c r="O122" s="468">
        <v>19523.800000000003</v>
      </c>
      <c r="P122" s="468">
        <v>2097</v>
      </c>
      <c r="Q122" s="468">
        <v>5585.2</v>
      </c>
      <c r="R122" s="468">
        <v>2008</v>
      </c>
      <c r="S122" s="468">
        <v>817</v>
      </c>
      <c r="T122" s="468">
        <v>33.3</v>
      </c>
      <c r="U122" s="468">
        <v>0</v>
      </c>
      <c r="V122" s="468">
        <v>2009</v>
      </c>
      <c r="W122" s="468">
        <v>169.5</v>
      </c>
      <c r="X122" s="468">
        <v>49982</v>
      </c>
      <c r="Y122" s="468">
        <v>2164</v>
      </c>
      <c r="Z122" s="468">
        <v>307.2</v>
      </c>
      <c r="AA122" s="468">
        <v>708.8</v>
      </c>
      <c r="AB122" s="468">
        <v>127</v>
      </c>
      <c r="AC122" s="468">
        <v>4220.4</v>
      </c>
      <c r="AD122" s="468">
        <v>1271.4</v>
      </c>
      <c r="AE122" s="468">
        <v>0</v>
      </c>
      <c r="AF122" s="468">
        <v>0</v>
      </c>
      <c r="AG122" s="468">
        <v>0</v>
      </c>
    </row>
    <row r="123" spans="2:41" s="232" customFormat="1" ht="15">
      <c r="B123" s="82" t="s">
        <v>55</v>
      </c>
      <c r="C123" s="468">
        <v>1525063.7899999998</v>
      </c>
      <c r="D123" s="468">
        <v>143939.447</v>
      </c>
      <c r="E123" s="468"/>
      <c r="F123" s="468">
        <v>3094.39</v>
      </c>
      <c r="G123" s="468">
        <v>140207.12</v>
      </c>
      <c r="H123" s="468">
        <v>38053.31</v>
      </c>
      <c r="I123" s="468">
        <v>18527.538</v>
      </c>
      <c r="J123" s="468">
        <v>157768.31999999998</v>
      </c>
      <c r="K123" s="468">
        <v>24.67</v>
      </c>
      <c r="L123" s="468">
        <v>4847.599999999999</v>
      </c>
      <c r="M123" s="468">
        <v>2772.3500000000004</v>
      </c>
      <c r="N123" s="468">
        <v>0</v>
      </c>
      <c r="O123" s="468">
        <v>52648.96</v>
      </c>
      <c r="P123" s="468">
        <v>19971.92</v>
      </c>
      <c r="Q123" s="468">
        <v>891.52</v>
      </c>
      <c r="R123" s="468">
        <v>20588.2</v>
      </c>
      <c r="S123" s="468">
        <v>279.21999999999997</v>
      </c>
      <c r="T123" s="468">
        <v>258.05</v>
      </c>
      <c r="U123" s="468">
        <v>0</v>
      </c>
      <c r="V123" s="468">
        <v>0</v>
      </c>
      <c r="W123" s="468">
        <v>0</v>
      </c>
      <c r="X123" s="468">
        <v>235603.486</v>
      </c>
      <c r="Y123" s="468">
        <v>3143.01</v>
      </c>
      <c r="Z123" s="468">
        <v>2.7</v>
      </c>
      <c r="AA123" s="468">
        <v>3003.375</v>
      </c>
      <c r="AB123" s="468">
        <v>196.9</v>
      </c>
      <c r="AC123" s="468">
        <v>85.5</v>
      </c>
      <c r="AD123" s="468">
        <v>3075.6499999999996</v>
      </c>
      <c r="AE123" s="468">
        <v>0</v>
      </c>
      <c r="AF123" s="468">
        <v>1633.0000000000002</v>
      </c>
      <c r="AG123" s="468">
        <v>0</v>
      </c>
      <c r="AH123" s="53"/>
      <c r="AI123" s="53"/>
      <c r="AJ123" s="53"/>
      <c r="AK123" s="53"/>
      <c r="AL123" s="53"/>
      <c r="AM123" s="58"/>
      <c r="AN123" s="53"/>
      <c r="AO123" s="53"/>
    </row>
    <row r="124" spans="2:33" ht="15">
      <c r="B124" s="83" t="s">
        <v>56</v>
      </c>
      <c r="C124" s="468">
        <v>0</v>
      </c>
      <c r="D124" s="468">
        <v>0</v>
      </c>
      <c r="E124" s="468">
        <v>103958</v>
      </c>
      <c r="F124" s="468">
        <v>278415</v>
      </c>
      <c r="G124" s="468">
        <v>108565</v>
      </c>
      <c r="H124" s="468">
        <v>432666</v>
      </c>
      <c r="I124" s="468">
        <v>0</v>
      </c>
      <c r="J124" s="468">
        <v>0</v>
      </c>
      <c r="K124" s="468">
        <v>0</v>
      </c>
      <c r="L124" s="468">
        <v>0</v>
      </c>
      <c r="M124" s="468">
        <v>0</v>
      </c>
      <c r="N124" s="468">
        <v>17778.97</v>
      </c>
      <c r="O124" s="468">
        <v>15306</v>
      </c>
      <c r="P124" s="468">
        <v>0</v>
      </c>
      <c r="Q124" s="468">
        <v>0</v>
      </c>
      <c r="R124" s="468">
        <v>1447</v>
      </c>
      <c r="S124" s="468">
        <v>0</v>
      </c>
      <c r="T124" s="468">
        <v>0</v>
      </c>
      <c r="U124" s="468">
        <v>113800</v>
      </c>
      <c r="V124" s="468">
        <v>182.5</v>
      </c>
      <c r="W124" s="468">
        <v>899.4000000000001</v>
      </c>
      <c r="X124" s="468">
        <v>0</v>
      </c>
      <c r="Y124" s="468">
        <v>0</v>
      </c>
      <c r="Z124" s="468">
        <v>0</v>
      </c>
      <c r="AA124" s="468">
        <v>4795</v>
      </c>
      <c r="AB124" s="468">
        <v>0</v>
      </c>
      <c r="AC124" s="468">
        <v>0</v>
      </c>
      <c r="AD124" s="468">
        <v>6215</v>
      </c>
      <c r="AE124" s="468">
        <v>0</v>
      </c>
      <c r="AF124" s="468">
        <v>0</v>
      </c>
      <c r="AG124" s="468">
        <v>0</v>
      </c>
    </row>
    <row r="125" spans="2:33" ht="15">
      <c r="B125" s="83" t="s">
        <v>57</v>
      </c>
      <c r="C125" s="468">
        <v>0</v>
      </c>
      <c r="D125" s="468">
        <v>0</v>
      </c>
      <c r="E125" s="468">
        <v>6648.75</v>
      </c>
      <c r="F125" s="468">
        <v>34258</v>
      </c>
      <c r="G125" s="468">
        <v>19937.3</v>
      </c>
      <c r="H125" s="468">
        <v>18008</v>
      </c>
      <c r="I125" s="468">
        <v>0</v>
      </c>
      <c r="J125" s="468">
        <v>468.6</v>
      </c>
      <c r="K125" s="468">
        <v>0</v>
      </c>
      <c r="L125" s="468">
        <v>0</v>
      </c>
      <c r="M125" s="468">
        <v>0</v>
      </c>
      <c r="N125" s="468">
        <v>5839.050000000001</v>
      </c>
      <c r="O125" s="468">
        <v>0</v>
      </c>
      <c r="P125" s="468">
        <v>0</v>
      </c>
      <c r="Q125" s="468">
        <v>0</v>
      </c>
      <c r="R125" s="468">
        <v>14.6</v>
      </c>
      <c r="S125" s="468">
        <v>0</v>
      </c>
      <c r="T125" s="468">
        <v>0</v>
      </c>
      <c r="U125" s="468">
        <v>0</v>
      </c>
      <c r="V125" s="468">
        <v>12.4</v>
      </c>
      <c r="W125" s="468">
        <v>1172.08</v>
      </c>
      <c r="X125" s="468">
        <v>0</v>
      </c>
      <c r="Y125" s="468">
        <v>0</v>
      </c>
      <c r="Z125" s="468">
        <v>0</v>
      </c>
      <c r="AA125" s="468">
        <v>201.8</v>
      </c>
      <c r="AB125" s="468">
        <v>0</v>
      </c>
      <c r="AC125" s="468">
        <v>0</v>
      </c>
      <c r="AD125" s="468">
        <v>0</v>
      </c>
      <c r="AE125" s="468">
        <v>0</v>
      </c>
      <c r="AF125" s="468">
        <v>0</v>
      </c>
      <c r="AG125" s="468">
        <v>0</v>
      </c>
    </row>
    <row r="126" spans="2:33" ht="15">
      <c r="B126" s="83" t="s">
        <v>58</v>
      </c>
      <c r="C126" s="468">
        <v>0</v>
      </c>
      <c r="D126" s="468">
        <v>6951.056000000002</v>
      </c>
      <c r="E126" s="468">
        <v>0</v>
      </c>
      <c r="F126" s="468">
        <v>6.95</v>
      </c>
      <c r="G126" s="468">
        <v>199.36100000000002</v>
      </c>
      <c r="H126" s="468">
        <v>0</v>
      </c>
      <c r="I126" s="468">
        <v>1763.7899999999997</v>
      </c>
      <c r="J126" s="468">
        <v>8.35</v>
      </c>
      <c r="K126" s="468">
        <v>39.919999999999995</v>
      </c>
      <c r="L126" s="468">
        <v>0</v>
      </c>
      <c r="M126" s="468">
        <v>0</v>
      </c>
      <c r="N126" s="468">
        <v>0</v>
      </c>
      <c r="O126" s="468">
        <v>753.375</v>
      </c>
      <c r="P126" s="468">
        <v>0</v>
      </c>
      <c r="Q126" s="468">
        <v>795.0759999999999</v>
      </c>
      <c r="R126" s="468">
        <v>130.769</v>
      </c>
      <c r="S126" s="468">
        <v>83.098</v>
      </c>
      <c r="T126" s="468">
        <v>110.51200000000001</v>
      </c>
      <c r="U126" s="468">
        <v>0</v>
      </c>
      <c r="V126" s="468"/>
      <c r="W126" s="468">
        <v>0</v>
      </c>
      <c r="X126" s="468">
        <v>623303.3500000001</v>
      </c>
      <c r="Y126" s="468">
        <v>148.74699999999999</v>
      </c>
      <c r="Z126" s="468">
        <v>0</v>
      </c>
      <c r="AA126" s="468">
        <v>6.04</v>
      </c>
      <c r="AB126" s="468">
        <v>173.49</v>
      </c>
      <c r="AC126" s="468">
        <v>0</v>
      </c>
      <c r="AD126" s="468">
        <v>0</v>
      </c>
      <c r="AE126" s="468">
        <v>0</v>
      </c>
      <c r="AF126" s="468">
        <v>341.686</v>
      </c>
      <c r="AG126" s="468">
        <v>0</v>
      </c>
    </row>
    <row r="127" spans="2:33" ht="15">
      <c r="B127" s="83" t="s">
        <v>59</v>
      </c>
      <c r="C127" s="468">
        <v>0</v>
      </c>
      <c r="D127" s="468">
        <v>170959.62600000002</v>
      </c>
      <c r="E127" s="468">
        <v>1824.8899999999999</v>
      </c>
      <c r="F127" s="468">
        <v>72732.78600000001</v>
      </c>
      <c r="G127" s="468">
        <v>5992.657000000001</v>
      </c>
      <c r="H127" s="468">
        <v>59415.55799999999</v>
      </c>
      <c r="I127" s="468">
        <v>0</v>
      </c>
      <c r="J127" s="468">
        <v>0</v>
      </c>
      <c r="K127" s="468">
        <v>0</v>
      </c>
      <c r="L127" s="468">
        <v>0</v>
      </c>
      <c r="M127" s="468">
        <v>0</v>
      </c>
      <c r="N127" s="468">
        <v>938.5100000000001</v>
      </c>
      <c r="O127" s="468">
        <v>12178.579</v>
      </c>
      <c r="P127" s="468">
        <v>0</v>
      </c>
      <c r="Q127" s="468">
        <v>1910.3999999999999</v>
      </c>
      <c r="R127" s="468">
        <v>0</v>
      </c>
      <c r="S127" s="468">
        <v>324.67</v>
      </c>
      <c r="T127" s="468">
        <v>223.57</v>
      </c>
      <c r="U127" s="468">
        <v>0</v>
      </c>
      <c r="V127" s="468">
        <v>11483.969000000001</v>
      </c>
      <c r="W127" s="468">
        <v>4406.679</v>
      </c>
      <c r="X127" s="468">
        <v>3484.053</v>
      </c>
      <c r="Y127" s="468">
        <v>2419.2999999999997</v>
      </c>
      <c r="Z127" s="468">
        <v>60.72</v>
      </c>
      <c r="AA127" s="468">
        <v>887.2189999999999</v>
      </c>
      <c r="AB127" s="468">
        <v>643.895</v>
      </c>
      <c r="AC127" s="468">
        <v>0</v>
      </c>
      <c r="AD127" s="468">
        <v>0</v>
      </c>
      <c r="AE127" s="468">
        <v>0</v>
      </c>
      <c r="AF127" s="468">
        <v>1163.4</v>
      </c>
      <c r="AG127" s="468">
        <v>0</v>
      </c>
    </row>
    <row r="128" spans="2:33" ht="15">
      <c r="B128" s="83" t="s">
        <v>60</v>
      </c>
      <c r="C128" s="468">
        <v>274977.76999999996</v>
      </c>
      <c r="D128" s="468">
        <v>21931</v>
      </c>
      <c r="E128" s="468">
        <v>397493</v>
      </c>
      <c r="F128" s="468">
        <v>379212</v>
      </c>
      <c r="G128" s="468">
        <v>60088</v>
      </c>
      <c r="H128" s="468">
        <v>7087</v>
      </c>
      <c r="I128" s="468">
        <v>5120</v>
      </c>
      <c r="J128" s="468">
        <v>10881</v>
      </c>
      <c r="K128" s="468">
        <v>0</v>
      </c>
      <c r="L128" s="468">
        <v>0</v>
      </c>
      <c r="M128" s="468">
        <v>9070</v>
      </c>
      <c r="N128" s="468">
        <v>0</v>
      </c>
      <c r="O128" s="468">
        <v>1959</v>
      </c>
      <c r="P128" s="468">
        <v>0</v>
      </c>
      <c r="Q128" s="468">
        <v>14814</v>
      </c>
      <c r="R128" s="468">
        <v>2557</v>
      </c>
      <c r="S128" s="468">
        <v>9019</v>
      </c>
      <c r="T128" s="468">
        <v>302</v>
      </c>
      <c r="U128" s="468">
        <v>0</v>
      </c>
      <c r="V128" s="468">
        <v>4731</v>
      </c>
      <c r="W128" s="468">
        <v>1438</v>
      </c>
      <c r="X128" s="468">
        <v>4844</v>
      </c>
      <c r="Y128" s="468">
        <v>832</v>
      </c>
      <c r="Z128" s="468">
        <v>3239</v>
      </c>
      <c r="AA128" s="468">
        <v>3991</v>
      </c>
      <c r="AB128" s="468">
        <v>329</v>
      </c>
      <c r="AC128" s="468">
        <v>0</v>
      </c>
      <c r="AD128" s="468">
        <v>8510</v>
      </c>
      <c r="AE128" s="468">
        <v>0</v>
      </c>
      <c r="AF128" s="468">
        <v>0</v>
      </c>
      <c r="AG128" s="468">
        <v>495</v>
      </c>
    </row>
    <row r="129" spans="2:33" ht="15">
      <c r="B129" s="83" t="s">
        <v>61</v>
      </c>
      <c r="C129" s="468">
        <v>0</v>
      </c>
      <c r="D129" s="309">
        <v>838776.67</v>
      </c>
      <c r="E129" s="468">
        <v>207.9</v>
      </c>
      <c r="F129" s="468">
        <v>11905</v>
      </c>
      <c r="G129" s="468">
        <v>4316.029</v>
      </c>
      <c r="H129" s="468">
        <v>24210.1</v>
      </c>
      <c r="I129" s="468">
        <v>7806.800000000001</v>
      </c>
      <c r="J129" s="468">
        <v>2274.9</v>
      </c>
      <c r="K129" s="468">
        <v>39539.36899999999</v>
      </c>
      <c r="L129" s="468">
        <v>0</v>
      </c>
      <c r="M129" s="468">
        <v>0</v>
      </c>
      <c r="N129" s="468">
        <v>19472</v>
      </c>
      <c r="O129" s="468">
        <v>0</v>
      </c>
      <c r="P129" s="468">
        <v>0</v>
      </c>
      <c r="Q129" s="468">
        <v>6456.76</v>
      </c>
      <c r="R129" s="468"/>
      <c r="S129" s="468">
        <v>1613.1400000000003</v>
      </c>
      <c r="T129" s="468">
        <v>27741.752</v>
      </c>
      <c r="U129" s="468">
        <v>0</v>
      </c>
      <c r="V129" s="468">
        <v>8121.8</v>
      </c>
      <c r="W129" s="468">
        <v>682.5</v>
      </c>
      <c r="X129" s="468">
        <v>1420433.5</v>
      </c>
      <c r="Y129" s="468">
        <v>0</v>
      </c>
      <c r="Z129" s="468">
        <v>1167.8100000000002</v>
      </c>
      <c r="AA129" s="468">
        <v>628.2</v>
      </c>
      <c r="AB129" s="468">
        <v>12386.765000000001</v>
      </c>
      <c r="AC129" s="468">
        <v>0</v>
      </c>
      <c r="AD129" s="468">
        <v>0</v>
      </c>
      <c r="AE129" s="468">
        <v>1410.9000000000003</v>
      </c>
      <c r="AF129" s="468">
        <v>2354</v>
      </c>
      <c r="AG129" s="468">
        <v>43</v>
      </c>
    </row>
    <row r="130" spans="2:33" ht="15">
      <c r="B130" s="83" t="s">
        <v>62</v>
      </c>
      <c r="C130" s="468">
        <v>0</v>
      </c>
      <c r="D130" s="468">
        <v>0</v>
      </c>
      <c r="E130" s="468">
        <v>764953.95</v>
      </c>
      <c r="F130" s="468">
        <v>392916.8</v>
      </c>
      <c r="G130" s="468">
        <v>110909.15000000001</v>
      </c>
      <c r="H130" s="468">
        <v>86023.8</v>
      </c>
      <c r="I130" s="468">
        <v>0</v>
      </c>
      <c r="J130" s="468">
        <v>0</v>
      </c>
      <c r="K130" s="468">
        <v>0</v>
      </c>
      <c r="L130" s="468">
        <v>0</v>
      </c>
      <c r="M130" s="468">
        <v>0</v>
      </c>
      <c r="N130" s="468">
        <v>8711.4</v>
      </c>
      <c r="O130" s="468">
        <v>0</v>
      </c>
      <c r="P130" s="468">
        <v>0</v>
      </c>
      <c r="Q130" s="468">
        <v>0</v>
      </c>
      <c r="R130" s="468">
        <v>2776.9</v>
      </c>
      <c r="S130" s="468">
        <v>0</v>
      </c>
      <c r="T130" s="468">
        <v>0</v>
      </c>
      <c r="U130" s="468">
        <v>431902.79000000004</v>
      </c>
      <c r="V130" s="468">
        <v>85439.39</v>
      </c>
      <c r="W130" s="468">
        <v>54183.80000000001</v>
      </c>
      <c r="X130" s="468">
        <v>0</v>
      </c>
      <c r="Y130" s="468">
        <v>0</v>
      </c>
      <c r="Z130" s="468">
        <v>0</v>
      </c>
      <c r="AA130" s="468">
        <v>3039.018</v>
      </c>
      <c r="AB130" s="468">
        <v>0</v>
      </c>
      <c r="AC130" s="468">
        <v>0</v>
      </c>
      <c r="AD130" s="468">
        <v>1098.5699999999997</v>
      </c>
      <c r="AE130" s="468">
        <v>0</v>
      </c>
      <c r="AF130" s="468">
        <v>0</v>
      </c>
      <c r="AG130" s="468">
        <v>190.64999999999998</v>
      </c>
    </row>
    <row r="131" spans="2:33" ht="15">
      <c r="B131" s="83" t="s">
        <v>63</v>
      </c>
      <c r="C131" s="468">
        <v>0</v>
      </c>
      <c r="D131" s="468">
        <v>7927</v>
      </c>
      <c r="E131" s="468">
        <v>0</v>
      </c>
      <c r="F131" s="468">
        <v>25</v>
      </c>
      <c r="G131" s="468">
        <v>14</v>
      </c>
      <c r="H131" s="468">
        <v>0</v>
      </c>
      <c r="I131" s="468">
        <v>13050</v>
      </c>
      <c r="J131" s="468">
        <v>2388</v>
      </c>
      <c r="K131" s="468">
        <v>1086</v>
      </c>
      <c r="L131" s="468">
        <v>0</v>
      </c>
      <c r="M131" s="468">
        <v>0</v>
      </c>
      <c r="N131" s="468">
        <v>0</v>
      </c>
      <c r="O131" s="468">
        <v>1453</v>
      </c>
      <c r="P131" s="468">
        <v>0</v>
      </c>
      <c r="Q131" s="468">
        <v>2201</v>
      </c>
      <c r="R131" s="468">
        <v>7701</v>
      </c>
      <c r="S131" s="468">
        <v>9</v>
      </c>
      <c r="T131" s="468">
        <v>0</v>
      </c>
      <c r="U131" s="468">
        <v>0</v>
      </c>
      <c r="V131" s="468">
        <v>0</v>
      </c>
      <c r="W131" s="468">
        <v>0</v>
      </c>
      <c r="X131" s="468">
        <v>236162</v>
      </c>
      <c r="Y131" s="468">
        <v>112</v>
      </c>
      <c r="Z131" s="468">
        <v>0</v>
      </c>
      <c r="AA131" s="468">
        <v>0</v>
      </c>
      <c r="AB131" s="468">
        <v>0</v>
      </c>
      <c r="AC131" s="468">
        <v>0</v>
      </c>
      <c r="AD131" s="468">
        <v>0</v>
      </c>
      <c r="AE131" s="468">
        <v>0</v>
      </c>
      <c r="AF131" s="468">
        <v>570</v>
      </c>
      <c r="AG131" s="468">
        <v>0</v>
      </c>
    </row>
    <row r="132" spans="2:33" ht="15">
      <c r="B132" s="83" t="s">
        <v>64</v>
      </c>
      <c r="C132" s="468">
        <v>0</v>
      </c>
      <c r="D132" s="468">
        <v>0</v>
      </c>
      <c r="E132" s="468">
        <v>122489.01000000001</v>
      </c>
      <c r="F132" s="468">
        <v>133161.59600000002</v>
      </c>
      <c r="G132" s="468">
        <v>3737.6750000000006</v>
      </c>
      <c r="H132" s="468">
        <v>2475.578</v>
      </c>
      <c r="I132" s="468">
        <v>12.7</v>
      </c>
      <c r="J132" s="468">
        <v>11.597999999999999</v>
      </c>
      <c r="K132" s="468">
        <v>0</v>
      </c>
      <c r="L132" s="468">
        <v>0</v>
      </c>
      <c r="M132" s="468">
        <v>0</v>
      </c>
      <c r="N132" s="468">
        <v>0</v>
      </c>
      <c r="O132" s="468">
        <v>2422.416</v>
      </c>
      <c r="P132" s="468">
        <v>0</v>
      </c>
      <c r="Q132" s="468">
        <v>0</v>
      </c>
      <c r="R132" s="468">
        <v>21.75</v>
      </c>
      <c r="S132" s="468">
        <v>0</v>
      </c>
      <c r="T132" s="468">
        <v>0</v>
      </c>
      <c r="U132" s="468">
        <v>0</v>
      </c>
      <c r="V132" s="468">
        <v>0</v>
      </c>
      <c r="W132" s="468">
        <v>658.1769999999999</v>
      </c>
      <c r="X132" s="468">
        <v>0</v>
      </c>
      <c r="Y132" s="468">
        <v>0</v>
      </c>
      <c r="Z132" s="468">
        <v>0</v>
      </c>
      <c r="AA132" s="468">
        <v>0.66</v>
      </c>
      <c r="AB132" s="468">
        <v>0</v>
      </c>
      <c r="AC132" s="468">
        <v>0</v>
      </c>
      <c r="AD132" s="468">
        <v>142.81900000000002</v>
      </c>
      <c r="AE132" s="468">
        <v>0</v>
      </c>
      <c r="AF132" s="468">
        <v>0</v>
      </c>
      <c r="AG132" s="468">
        <v>12.369</v>
      </c>
    </row>
    <row r="133" spans="2:33" ht="15">
      <c r="B133" s="83" t="s">
        <v>65</v>
      </c>
      <c r="C133" s="468">
        <v>0</v>
      </c>
      <c r="D133" s="468">
        <v>0</v>
      </c>
      <c r="E133" s="468">
        <v>89454.357</v>
      </c>
      <c r="F133" s="468">
        <v>284167.696</v>
      </c>
      <c r="G133" s="468">
        <v>25511.574</v>
      </c>
      <c r="H133" s="468">
        <v>92903.15100000001</v>
      </c>
      <c r="I133" s="468">
        <v>0</v>
      </c>
      <c r="J133" s="468">
        <v>501.0899999999999</v>
      </c>
      <c r="K133" s="468">
        <v>0</v>
      </c>
      <c r="L133" s="468">
        <v>0</v>
      </c>
      <c r="M133" s="468">
        <v>213.467</v>
      </c>
      <c r="N133" s="468">
        <v>9803.659</v>
      </c>
      <c r="O133" s="468">
        <v>0</v>
      </c>
      <c r="P133" s="468">
        <v>0</v>
      </c>
      <c r="Q133" s="468">
        <v>0</v>
      </c>
      <c r="R133" s="468">
        <v>138.188</v>
      </c>
      <c r="S133" s="468">
        <v>0</v>
      </c>
      <c r="T133" s="468">
        <v>0</v>
      </c>
      <c r="U133" s="468">
        <v>354565.49899999995</v>
      </c>
      <c r="V133" s="468">
        <v>13622.006000000001</v>
      </c>
      <c r="W133" s="468">
        <v>17031.115999999998</v>
      </c>
      <c r="X133" s="468">
        <v>0</v>
      </c>
      <c r="Y133" s="468">
        <v>0</v>
      </c>
      <c r="Z133" s="468">
        <v>0</v>
      </c>
      <c r="AA133" s="468">
        <v>1008.909</v>
      </c>
      <c r="AB133" s="468">
        <v>0</v>
      </c>
      <c r="AC133" s="468">
        <v>0</v>
      </c>
      <c r="AD133" s="468">
        <v>632.428</v>
      </c>
      <c r="AE133" s="468">
        <v>0</v>
      </c>
      <c r="AF133" s="468">
        <v>0</v>
      </c>
      <c r="AG133" s="468">
        <v>85.34799999999998</v>
      </c>
    </row>
    <row r="134" spans="3:9" ht="15">
      <c r="C134" s="232"/>
      <c r="D134" s="232"/>
      <c r="E134" s="232"/>
      <c r="F134" s="232"/>
      <c r="G134" s="232"/>
      <c r="H134" s="232"/>
      <c r="I134" s="232"/>
    </row>
    <row r="135" spans="2:9" ht="15">
      <c r="B135" s="348" t="s">
        <v>1116</v>
      </c>
      <c r="C135" s="348"/>
      <c r="D135" s="348"/>
      <c r="E135" s="348"/>
      <c r="F135" s="348"/>
      <c r="G135" s="348"/>
      <c r="H135" s="348"/>
      <c r="I135" s="348"/>
    </row>
    <row r="136" spans="3:9" ht="13.5" thickBot="1">
      <c r="C136" s="232"/>
      <c r="D136" s="232"/>
      <c r="E136" s="232"/>
      <c r="F136" s="232"/>
      <c r="G136" s="232"/>
      <c r="H136" s="232"/>
      <c r="I136" s="232"/>
    </row>
    <row r="137" spans="2:10" ht="15">
      <c r="B137" s="293" t="s">
        <v>1462</v>
      </c>
      <c r="C137" s="1258">
        <v>4</v>
      </c>
      <c r="D137" s="1258"/>
      <c r="E137" s="1258"/>
      <c r="F137" s="1258"/>
      <c r="G137" s="1258"/>
      <c r="H137" s="1258"/>
      <c r="I137" s="1258"/>
      <c r="J137" s="1259"/>
    </row>
    <row r="138" spans="2:10" ht="15">
      <c r="B138" s="294" t="s">
        <v>1461</v>
      </c>
      <c r="C138" s="1180" t="s">
        <v>1460</v>
      </c>
      <c r="D138" s="1180"/>
      <c r="E138" s="1180"/>
      <c r="F138" s="1180"/>
      <c r="G138" s="1180"/>
      <c r="H138" s="1180"/>
      <c r="I138" s="1180"/>
      <c r="J138" s="1181"/>
    </row>
    <row r="139" spans="2:10" ht="15" customHeight="1">
      <c r="B139" s="294" t="s">
        <v>73</v>
      </c>
      <c r="C139" s="1227" t="s">
        <v>1586</v>
      </c>
      <c r="D139" s="1227"/>
      <c r="E139" s="1227"/>
      <c r="F139" s="1227"/>
      <c r="G139" s="1227"/>
      <c r="H139" s="1227"/>
      <c r="I139" s="1227"/>
      <c r="J139" s="1228"/>
    </row>
    <row r="140" spans="2:10" ht="15" customHeight="1">
      <c r="B140" s="294" t="s">
        <v>1010</v>
      </c>
      <c r="C140" s="1234" t="s">
        <v>1459</v>
      </c>
      <c r="D140" s="1234"/>
      <c r="E140" s="1234"/>
      <c r="F140" s="1234"/>
      <c r="G140" s="1234"/>
      <c r="H140" s="1234"/>
      <c r="I140" s="1234"/>
      <c r="J140" s="1235"/>
    </row>
    <row r="141" spans="2:10" ht="15">
      <c r="B141" s="294" t="s">
        <v>74</v>
      </c>
      <c r="C141" s="1162">
        <v>44858</v>
      </c>
      <c r="D141" s="1162"/>
      <c r="E141" s="1162"/>
      <c r="F141" s="1162"/>
      <c r="G141" s="1162"/>
      <c r="H141" s="1162"/>
      <c r="I141" s="1162"/>
      <c r="J141" s="1229"/>
    </row>
    <row r="142" spans="2:10" ht="30" customHeight="1" thickBot="1">
      <c r="B142" s="295" t="s">
        <v>75</v>
      </c>
      <c r="C142" s="1183" t="s">
        <v>1583</v>
      </c>
      <c r="D142" s="1183"/>
      <c r="E142" s="1183"/>
      <c r="F142" s="1183"/>
      <c r="G142" s="1183"/>
      <c r="H142" s="1183"/>
      <c r="I142" s="1183"/>
      <c r="J142" s="1184"/>
    </row>
    <row r="144" spans="2:9" ht="15">
      <c r="B144" s="54" t="s">
        <v>70</v>
      </c>
      <c r="C144" s="55" t="s">
        <v>36</v>
      </c>
      <c r="D144" s="54" t="s">
        <v>37</v>
      </c>
      <c r="E144" s="54" t="s">
        <v>38</v>
      </c>
      <c r="F144" s="54" t="s">
        <v>39</v>
      </c>
      <c r="G144" s="54" t="s">
        <v>40</v>
      </c>
      <c r="H144" s="54" t="s">
        <v>41</v>
      </c>
      <c r="I144" s="54" t="s">
        <v>42</v>
      </c>
    </row>
    <row r="145" spans="2:9" ht="15">
      <c r="B145" s="354" t="s">
        <v>2</v>
      </c>
      <c r="C145" s="1037">
        <f>SUM(C146:C169)</f>
        <v>168172635</v>
      </c>
      <c r="D145" s="1037">
        <f aca="true" t="shared" si="2" ref="D145:I145">SUM(D146:D169)</f>
        <v>4456049</v>
      </c>
      <c r="E145" s="1037">
        <f t="shared" si="2"/>
        <v>1095921</v>
      </c>
      <c r="F145" s="1037">
        <f t="shared" si="2"/>
        <v>1801882</v>
      </c>
      <c r="G145" s="1037">
        <f t="shared" si="2"/>
        <v>11371639</v>
      </c>
      <c r="H145" s="1037">
        <f t="shared" si="2"/>
        <v>3269538</v>
      </c>
      <c r="I145" s="1037">
        <f t="shared" si="2"/>
        <v>5599893</v>
      </c>
    </row>
    <row r="146" spans="2:9" ht="15">
      <c r="B146" s="81" t="s">
        <v>43</v>
      </c>
      <c r="C146" s="470">
        <f>+'IB 3A1_3A2_3C6'!C16</f>
        <v>1525969</v>
      </c>
      <c r="D146" s="470">
        <f>+'IB 3A1_3A2_3C6'!D16</f>
        <v>0</v>
      </c>
      <c r="E146" s="470">
        <f>+'IB 3A1_3A2_3C6'!E16</f>
        <v>0</v>
      </c>
      <c r="F146" s="470">
        <f>+'IB 3A1_3A2_3C6'!F16</f>
        <v>13975</v>
      </c>
      <c r="G146" s="470">
        <f>+'IB 3A1_3A2_3C6'!G16</f>
        <v>23047</v>
      </c>
      <c r="H146" s="470">
        <f>+'IB 3A1_3A2_3C6'!H16</f>
        <v>88090</v>
      </c>
      <c r="I146" s="470">
        <f>+'IB 3A1_3A2_3C6'!I16</f>
        <v>247855</v>
      </c>
    </row>
    <row r="147" spans="2:9" ht="15">
      <c r="B147" s="81" t="s">
        <v>223</v>
      </c>
      <c r="C147" s="470">
        <f>+'IB 3A1_3A2_3C6'!C17</f>
        <v>2632858</v>
      </c>
      <c r="D147" s="470">
        <f>+'IB 3A1_3A2_3C6'!D17</f>
        <v>10200</v>
      </c>
      <c r="E147" s="470">
        <f>+'IB 3A1_3A2_3C6'!E17</f>
        <v>0</v>
      </c>
      <c r="F147" s="470">
        <f>+'IB 3A1_3A2_3C6'!F17</f>
        <v>169697</v>
      </c>
      <c r="G147" s="470">
        <f>+'IB 3A1_3A2_3C6'!G17</f>
        <v>671829</v>
      </c>
      <c r="H147" s="470">
        <f>+'IB 3A1_3A2_3C6'!H17</f>
        <v>171477</v>
      </c>
      <c r="I147" s="470">
        <f>+'IB 3A1_3A2_3C6'!I17</f>
        <v>306065</v>
      </c>
    </row>
    <row r="148" spans="2:9" ht="15">
      <c r="B148" s="81" t="s">
        <v>44</v>
      </c>
      <c r="C148" s="470">
        <f>+'IB 3A1_3A2_3C6'!C18</f>
        <v>309739</v>
      </c>
      <c r="D148" s="470">
        <f>+'IB 3A1_3A2_3C6'!D18</f>
        <v>215340</v>
      </c>
      <c r="E148" s="470">
        <f>+'IB 3A1_3A2_3C6'!E18</f>
        <v>72611</v>
      </c>
      <c r="F148" s="470">
        <f>+'IB 3A1_3A2_3C6'!F18</f>
        <v>109518</v>
      </c>
      <c r="G148" s="470">
        <f>+'IB 3A1_3A2_3C6'!G18</f>
        <v>456405</v>
      </c>
      <c r="H148" s="470">
        <f>+'IB 3A1_3A2_3C6'!H18</f>
        <v>133036.5</v>
      </c>
      <c r="I148" s="470">
        <f>+'IB 3A1_3A2_3C6'!I18</f>
        <v>296567</v>
      </c>
    </row>
    <row r="149" spans="2:9" ht="15">
      <c r="B149" s="81" t="s">
        <v>45</v>
      </c>
      <c r="C149" s="470">
        <f>+'IB 3A1_3A2_3C6'!C19</f>
        <v>17146598</v>
      </c>
      <c r="D149" s="470">
        <f>+'IB 3A1_3A2_3C6'!D19</f>
        <v>430134</v>
      </c>
      <c r="E149" s="470">
        <f>+'IB 3A1_3A2_3C6'!E19</f>
        <v>88209</v>
      </c>
      <c r="F149" s="470">
        <f>+'IB 3A1_3A2_3C6'!F19</f>
        <v>16611</v>
      </c>
      <c r="G149" s="470">
        <f>+'IB 3A1_3A2_3C6'!G19</f>
        <v>188221</v>
      </c>
      <c r="H149" s="470">
        <f>+'IB 3A1_3A2_3C6'!H19</f>
        <v>107120</v>
      </c>
      <c r="I149" s="470">
        <f>+'IB 3A1_3A2_3C6'!I19</f>
        <v>212744</v>
      </c>
    </row>
    <row r="150" spans="2:9" ht="15">
      <c r="B150" s="81" t="s">
        <v>46</v>
      </c>
      <c r="C150" s="470">
        <f>+'IB 3A1_3A2_3C6'!C20</f>
        <v>664511</v>
      </c>
      <c r="D150" s="470">
        <f>+'IB 3A1_3A2_3C6'!D20</f>
        <v>309833</v>
      </c>
      <c r="E150" s="470">
        <f>+'IB 3A1_3A2_3C6'!E20</f>
        <v>79754</v>
      </c>
      <c r="F150" s="470">
        <f>+'IB 3A1_3A2_3C6'!F20</f>
        <v>192115</v>
      </c>
      <c r="G150" s="470">
        <f>+'IB 3A1_3A2_3C6'!G20</f>
        <v>617461</v>
      </c>
      <c r="H150" s="470">
        <f>+'IB 3A1_3A2_3C6'!H20</f>
        <v>118454</v>
      </c>
      <c r="I150" s="470">
        <f>+'IB 3A1_3A2_3C6'!I20</f>
        <v>453426</v>
      </c>
    </row>
    <row r="151" spans="2:9" ht="15">
      <c r="B151" s="81" t="s">
        <v>47</v>
      </c>
      <c r="C151" s="470">
        <f>+'IB 3A1_3A2_3C6'!C21</f>
        <v>870494</v>
      </c>
      <c r="D151" s="470">
        <f>+'IB 3A1_3A2_3C6'!D21</f>
        <v>1190</v>
      </c>
      <c r="E151" s="470">
        <f>+'IB 3A1_3A2_3C6'!E21</f>
        <v>0</v>
      </c>
      <c r="F151" s="470">
        <f>+'IB 3A1_3A2_3C6'!F21</f>
        <v>107350</v>
      </c>
      <c r="G151" s="470">
        <f>+'IB 3A1_3A2_3C6'!G21</f>
        <v>480072</v>
      </c>
      <c r="H151" s="470">
        <f>+'IB 3A1_3A2_3C6'!H21</f>
        <v>288252</v>
      </c>
      <c r="I151" s="470">
        <f>+'IB 3A1_3A2_3C6'!I21</f>
        <v>655840</v>
      </c>
    </row>
    <row r="152" spans="2:9" ht="15">
      <c r="B152" s="81" t="s">
        <v>48</v>
      </c>
      <c r="C152" s="470">
        <f>+'IB 3A1_3A2_3C6'!C22</f>
        <v>1201279</v>
      </c>
      <c r="D152" s="470">
        <f>+'IB 3A1_3A2_3C6'!D22</f>
        <v>669365</v>
      </c>
      <c r="E152" s="470">
        <f>+'IB 3A1_3A2_3C6'!E22</f>
        <v>150801</v>
      </c>
      <c r="F152" s="470">
        <f>+'IB 3A1_3A2_3C6'!F22</f>
        <v>34907</v>
      </c>
      <c r="G152" s="470">
        <f>+'IB 3A1_3A2_3C6'!G22</f>
        <v>1443471</v>
      </c>
      <c r="H152" s="470">
        <f>+'IB 3A1_3A2_3C6'!H22</f>
        <v>127738</v>
      </c>
      <c r="I152" s="470">
        <f>+'IB 3A1_3A2_3C6'!I22</f>
        <v>439168</v>
      </c>
    </row>
    <row r="153" spans="2:9" ht="15">
      <c r="B153" s="81" t="s">
        <v>49</v>
      </c>
      <c r="C153" s="470">
        <f>+'IB 3A1_3A2_3C6'!C23</f>
        <v>389033</v>
      </c>
      <c r="D153" s="470">
        <f>+'IB 3A1_3A2_3C6'!D23</f>
        <v>270053</v>
      </c>
      <c r="E153" s="470">
        <f>+'IB 3A1_3A2_3C6'!E23</f>
        <v>131322</v>
      </c>
      <c r="F153" s="470">
        <f>+'IB 3A1_3A2_3C6'!F23</f>
        <v>181228</v>
      </c>
      <c r="G153" s="470">
        <f>+'IB 3A1_3A2_3C6'!G23</f>
        <v>625574</v>
      </c>
      <c r="H153" s="470">
        <f>+'IB 3A1_3A2_3C6'!H23</f>
        <v>157545</v>
      </c>
      <c r="I153" s="470">
        <f>+'IB 3A1_3A2_3C6'!I23</f>
        <v>182010</v>
      </c>
    </row>
    <row r="154" spans="2:9" ht="15">
      <c r="B154" s="81" t="s">
        <v>50</v>
      </c>
      <c r="C154" s="470">
        <f>+'IB 3A1_3A2_3C6'!C24</f>
        <v>1761432</v>
      </c>
      <c r="D154" s="470">
        <f>+'IB 3A1_3A2_3C6'!D24</f>
        <v>6760</v>
      </c>
      <c r="E154" s="470">
        <f>+'IB 3A1_3A2_3C6'!E24</f>
        <v>3512</v>
      </c>
      <c r="F154" s="470">
        <f>+'IB 3A1_3A2_3C6'!F24</f>
        <v>102260</v>
      </c>
      <c r="G154" s="470">
        <f>+'IB 3A1_3A2_3C6'!G24</f>
        <v>529832</v>
      </c>
      <c r="H154" s="470">
        <f>+'IB 3A1_3A2_3C6'!H24</f>
        <v>405725</v>
      </c>
      <c r="I154" s="470">
        <f>+'IB 3A1_3A2_3C6'!I24</f>
        <v>292866</v>
      </c>
    </row>
    <row r="155" spans="2:9" ht="15">
      <c r="B155" s="81" t="s">
        <v>51</v>
      </c>
      <c r="C155" s="470">
        <f>+'IB 3A1_3A2_3C6'!C25</f>
        <v>17467343</v>
      </c>
      <c r="D155" s="470">
        <f>+'IB 3A1_3A2_3C6'!D25</f>
        <v>0</v>
      </c>
      <c r="E155" s="470">
        <f>+'IB 3A1_3A2_3C6'!E25</f>
        <v>0</v>
      </c>
      <c r="F155" s="470">
        <f>+'IB 3A1_3A2_3C6'!F25</f>
        <v>75880</v>
      </c>
      <c r="G155" s="470">
        <f>+'IB 3A1_3A2_3C6'!G25</f>
        <v>26695</v>
      </c>
      <c r="H155" s="470">
        <f>+'IB 3A1_3A2_3C6'!H25</f>
        <v>102767</v>
      </c>
      <c r="I155" s="470">
        <f>+'IB 3A1_3A2_3C6'!I25</f>
        <v>50530</v>
      </c>
    </row>
    <row r="156" spans="2:9" ht="15">
      <c r="B156" s="81" t="s">
        <v>52</v>
      </c>
      <c r="C156" s="470">
        <f>+'IB 3A1_3A2_3C6'!C26</f>
        <v>3562423</v>
      </c>
      <c r="D156" s="470">
        <f>+'IB 3A1_3A2_3C6'!D26</f>
        <v>100532</v>
      </c>
      <c r="E156" s="470">
        <f>+'IB 3A1_3A2_3C6'!E26</f>
        <v>67302</v>
      </c>
      <c r="F156" s="470">
        <f>+'IB 3A1_3A2_3C6'!F26</f>
        <v>12015</v>
      </c>
      <c r="G156" s="470">
        <f>+'IB 3A1_3A2_3C6'!G26</f>
        <v>1614094</v>
      </c>
      <c r="H156" s="470">
        <f>+'IB 3A1_3A2_3C6'!H26</f>
        <v>171904</v>
      </c>
      <c r="I156" s="470">
        <f>+'IB 3A1_3A2_3C6'!I26</f>
        <v>326506</v>
      </c>
    </row>
    <row r="157" spans="2:9" ht="15">
      <c r="B157" s="81" t="s">
        <v>53</v>
      </c>
      <c r="C157" s="470">
        <f>+'IB 3A1_3A2_3C6'!C27</f>
        <v>24963293</v>
      </c>
      <c r="D157" s="470">
        <f>+'IB 3A1_3A2_3C6'!D27</f>
        <v>7710</v>
      </c>
      <c r="E157" s="470">
        <f>+'IB 3A1_3A2_3C6'!E27</f>
        <v>0</v>
      </c>
      <c r="F157" s="470">
        <f>+'IB 3A1_3A2_3C6'!F27</f>
        <v>82812</v>
      </c>
      <c r="G157" s="470">
        <f>+'IB 3A1_3A2_3C6'!G27</f>
        <v>360982</v>
      </c>
      <c r="H157" s="470">
        <f>+'IB 3A1_3A2_3C6'!H27</f>
        <v>114462</v>
      </c>
      <c r="I157" s="470">
        <f>+'IB 3A1_3A2_3C6'!I27</f>
        <v>235457</v>
      </c>
    </row>
    <row r="158" spans="2:9" ht="15">
      <c r="B158" s="81" t="s">
        <v>54</v>
      </c>
      <c r="C158" s="470">
        <f>+'IB 3A1_3A2_3C6'!C28</f>
        <v>2489462</v>
      </c>
      <c r="D158" s="470">
        <f>+'IB 3A1_3A2_3C6'!D28</f>
        <v>0</v>
      </c>
      <c r="E158" s="470">
        <f>+'IB 3A1_3A2_3C6'!E28</f>
        <v>0</v>
      </c>
      <c r="F158" s="470">
        <f>+'IB 3A1_3A2_3C6'!F28</f>
        <v>106151</v>
      </c>
      <c r="G158" s="470">
        <f>+'IB 3A1_3A2_3C6'!G28</f>
        <v>68325</v>
      </c>
      <c r="H158" s="470">
        <f>+'IB 3A1_3A2_3C6'!H28</f>
        <v>73428</v>
      </c>
      <c r="I158" s="470">
        <f>+'IB 3A1_3A2_3C6'!I28</f>
        <v>113602</v>
      </c>
    </row>
    <row r="159" spans="2:9" ht="15">
      <c r="B159" s="82" t="s">
        <v>55</v>
      </c>
      <c r="C159" s="470">
        <f>+'IB 3A1_3A2_3C6'!C29</f>
        <v>68879430</v>
      </c>
      <c r="D159" s="470">
        <f>+'IB 3A1_3A2_3C6'!D29</f>
        <v>46747.5</v>
      </c>
      <c r="E159" s="470">
        <f>+'IB 3A1_3A2_3C6'!E29</f>
        <v>21780</v>
      </c>
      <c r="F159" s="470">
        <f>+'IB 3A1_3A2_3C6'!F29</f>
        <v>169383</v>
      </c>
      <c r="G159" s="470">
        <f>+'IB 3A1_3A2_3C6'!G29</f>
        <v>315962</v>
      </c>
      <c r="H159" s="470">
        <f>+'IB 3A1_3A2_3C6'!H29</f>
        <v>464899.5</v>
      </c>
      <c r="I159" s="470">
        <f>+'IB 3A1_3A2_3C6'!I29</f>
        <v>250851</v>
      </c>
    </row>
    <row r="160" spans="2:9" ht="15">
      <c r="B160" s="83" t="s">
        <v>56</v>
      </c>
      <c r="C160" s="470">
        <f>+'IB 3A1_3A2_3C6'!C30</f>
        <v>4183526</v>
      </c>
      <c r="D160" s="470">
        <f>+'IB 3A1_3A2_3C6'!D30</f>
        <v>0</v>
      </c>
      <c r="E160" s="470">
        <f>+'IB 3A1_3A2_3C6'!E30</f>
        <v>0</v>
      </c>
      <c r="F160" s="470">
        <f>+'IB 3A1_3A2_3C6'!F30</f>
        <v>291</v>
      </c>
      <c r="G160" s="470">
        <f>+'IB 3A1_3A2_3C6'!G30</f>
        <v>11303</v>
      </c>
      <c r="H160" s="470">
        <f>+'IB 3A1_3A2_3C6'!H30</f>
        <v>95430</v>
      </c>
      <c r="I160" s="470">
        <f>+'IB 3A1_3A2_3C6'!I30</f>
        <v>46190</v>
      </c>
    </row>
    <row r="161" spans="2:9" ht="15">
      <c r="B161" s="83" t="s">
        <v>57</v>
      </c>
      <c r="C161" s="470">
        <f>+'IB 3A1_3A2_3C6'!C31</f>
        <v>486548</v>
      </c>
      <c r="D161" s="470">
        <f>+'IB 3A1_3A2_3C6'!D31</f>
        <v>0</v>
      </c>
      <c r="E161" s="470">
        <f>+'IB 3A1_3A2_3C6'!E31</f>
        <v>0</v>
      </c>
      <c r="F161" s="470">
        <f>+'IB 3A1_3A2_3C6'!F31</f>
        <v>220</v>
      </c>
      <c r="G161" s="470">
        <f>+'IB 3A1_3A2_3C6'!G31</f>
        <v>8287</v>
      </c>
      <c r="H161" s="470">
        <f>+'IB 3A1_3A2_3C6'!H31</f>
        <v>10715</v>
      </c>
      <c r="I161" s="470">
        <f>+'IB 3A1_3A2_3C6'!I31</f>
        <v>56880</v>
      </c>
    </row>
    <row r="162" spans="2:9" ht="15">
      <c r="B162" s="83" t="s">
        <v>58</v>
      </c>
      <c r="C162" s="470">
        <f>+'IB 3A1_3A2_3C6'!C32</f>
        <v>60034</v>
      </c>
      <c r="D162" s="470">
        <f>+'IB 3A1_3A2_3C6'!D32</f>
        <v>144970</v>
      </c>
      <c r="E162" s="470">
        <f>+'IB 3A1_3A2_3C6'!E32</f>
        <v>38655</v>
      </c>
      <c r="F162" s="470">
        <f>+'IB 3A1_3A2_3C6'!F32</f>
        <v>8333</v>
      </c>
      <c r="G162" s="470">
        <f>+'IB 3A1_3A2_3C6'!G32</f>
        <v>49291</v>
      </c>
      <c r="H162" s="470">
        <f>+'IB 3A1_3A2_3C6'!H32</f>
        <v>13225</v>
      </c>
      <c r="I162" s="470">
        <f>+'IB 3A1_3A2_3C6'!I32</f>
        <v>23721</v>
      </c>
    </row>
    <row r="163" spans="2:9" ht="15">
      <c r="B163" s="83" t="s">
        <v>59</v>
      </c>
      <c r="C163" s="470">
        <f>+'IB 3A1_3A2_3C6'!C33</f>
        <v>139895</v>
      </c>
      <c r="D163" s="470">
        <f>+'IB 3A1_3A2_3C6'!D33</f>
        <v>130777.5</v>
      </c>
      <c r="E163" s="470">
        <f>+'IB 3A1_3A2_3C6'!E33</f>
        <v>43880</v>
      </c>
      <c r="F163" s="470">
        <f>+'IB 3A1_3A2_3C6'!F33</f>
        <v>6345</v>
      </c>
      <c r="G163" s="470">
        <f>+'IB 3A1_3A2_3C6'!G33</f>
        <v>691923</v>
      </c>
      <c r="H163" s="470">
        <f>+'IB 3A1_3A2_3C6'!H33</f>
        <v>53567</v>
      </c>
      <c r="I163" s="470">
        <f>+'IB 3A1_3A2_3C6'!I33</f>
        <v>119542</v>
      </c>
    </row>
    <row r="164" spans="2:9" ht="15">
      <c r="B164" s="83" t="s">
        <v>60</v>
      </c>
      <c r="C164" s="470">
        <f>+'IB 3A1_3A2_3C6'!C34</f>
        <v>5858230</v>
      </c>
      <c r="D164" s="470">
        <f>+'IB 3A1_3A2_3C6'!D34</f>
        <v>100</v>
      </c>
      <c r="E164" s="470">
        <f>+'IB 3A1_3A2_3C6'!E34</f>
        <v>0</v>
      </c>
      <c r="F164" s="470">
        <f>+'IB 3A1_3A2_3C6'!F34</f>
        <v>330221</v>
      </c>
      <c r="G164" s="470">
        <f>+'IB 3A1_3A2_3C6'!G34</f>
        <v>274350</v>
      </c>
      <c r="H164" s="470">
        <f>+'IB 3A1_3A2_3C6'!H34</f>
        <v>167980</v>
      </c>
      <c r="I164" s="470">
        <f>+'IB 3A1_3A2_3C6'!I34</f>
        <v>258181</v>
      </c>
    </row>
    <row r="165" spans="2:9" ht="15">
      <c r="B165" s="83" t="s">
        <v>61</v>
      </c>
      <c r="C165" s="470">
        <f>+'IB 3A1_3A2_3C6'!C35</f>
        <v>1698765</v>
      </c>
      <c r="D165" s="470">
        <f>+'IB 3A1_3A2_3C6'!D35</f>
        <v>2035280</v>
      </c>
      <c r="E165" s="470">
        <f>+'IB 3A1_3A2_3C6'!E35</f>
        <v>369690</v>
      </c>
      <c r="F165" s="470">
        <f>+'IB 3A1_3A2_3C6'!F35</f>
        <v>0</v>
      </c>
      <c r="G165" s="470">
        <f>+'IB 3A1_3A2_3C6'!G35</f>
        <v>2852165</v>
      </c>
      <c r="H165" s="470">
        <f>+'IB 3A1_3A2_3C6'!H35</f>
        <v>119760</v>
      </c>
      <c r="I165" s="470">
        <f>+'IB 3A1_3A2_3C6'!I35</f>
        <v>733260</v>
      </c>
    </row>
    <row r="166" spans="2:9" ht="15">
      <c r="B166" s="83" t="s">
        <v>62</v>
      </c>
      <c r="C166" s="470">
        <f>+'IB 3A1_3A2_3C6'!C36</f>
        <v>4536966</v>
      </c>
      <c r="D166" s="470">
        <f>+'IB 3A1_3A2_3C6'!D36</f>
        <v>0</v>
      </c>
      <c r="E166" s="470">
        <f>+'IB 3A1_3A2_3C6'!E36</f>
        <v>0</v>
      </c>
      <c r="F166" s="470">
        <f>+'IB 3A1_3A2_3C6'!F36</f>
        <v>0</v>
      </c>
      <c r="G166" s="470">
        <f>+'IB 3A1_3A2_3C6'!G36</f>
        <v>9269</v>
      </c>
      <c r="H166" s="470">
        <f>+'IB 3A1_3A2_3C6'!H36</f>
        <v>170291</v>
      </c>
      <c r="I166" s="470">
        <f>+'IB 3A1_3A2_3C6'!I36</f>
        <v>211843</v>
      </c>
    </row>
    <row r="167" spans="2:9" ht="15">
      <c r="B167" s="83" t="s">
        <v>63</v>
      </c>
      <c r="C167" s="470">
        <f>+'IB 3A1_3A2_3C6'!C37</f>
        <v>1185038</v>
      </c>
      <c r="D167" s="470">
        <f>+'IB 3A1_3A2_3C6'!D37</f>
        <v>77057</v>
      </c>
      <c r="E167" s="470">
        <f>+'IB 3A1_3A2_3C6'!E37</f>
        <v>28405</v>
      </c>
      <c r="F167" s="470">
        <f>+'IB 3A1_3A2_3C6'!F37</f>
        <v>17080</v>
      </c>
      <c r="G167" s="470">
        <f>+'IB 3A1_3A2_3C6'!G37</f>
        <v>36005</v>
      </c>
      <c r="H167" s="470">
        <f>+'IB 3A1_3A2_3C6'!H37</f>
        <v>36232</v>
      </c>
      <c r="I167" s="470">
        <f>+'IB 3A1_3A2_3C6'!I37</f>
        <v>18884</v>
      </c>
    </row>
    <row r="168" spans="2:9" ht="15">
      <c r="B168" s="83" t="s">
        <v>64</v>
      </c>
      <c r="C168" s="470">
        <f>+'IB 3A1_3A2_3C6'!C38</f>
        <v>157220</v>
      </c>
      <c r="D168" s="470">
        <f>+'IB 3A1_3A2_3C6'!D38</f>
        <v>0</v>
      </c>
      <c r="E168" s="470">
        <f>+'IB 3A1_3A2_3C6'!E38</f>
        <v>0</v>
      </c>
      <c r="F168" s="470">
        <f>+'IB 3A1_3A2_3C6'!F38</f>
        <v>65320</v>
      </c>
      <c r="G168" s="470">
        <f>+'IB 3A1_3A2_3C6'!G38</f>
        <v>7515</v>
      </c>
      <c r="H168" s="470">
        <f>+'IB 3A1_3A2_3C6'!H38</f>
        <v>30010</v>
      </c>
      <c r="I168" s="470">
        <f>+'IB 3A1_3A2_3C6'!I38</f>
        <v>22200</v>
      </c>
    </row>
    <row r="169" spans="2:9" ht="15">
      <c r="B169" s="83" t="s">
        <v>65</v>
      </c>
      <c r="C169" s="470">
        <f>+'IB 3A1_3A2_3C6'!C39</f>
        <v>6002549</v>
      </c>
      <c r="D169" s="470">
        <f>+'IB 3A1_3A2_3C6'!D39</f>
        <v>0</v>
      </c>
      <c r="E169" s="470">
        <f>+'IB 3A1_3A2_3C6'!E39</f>
        <v>0</v>
      </c>
      <c r="F169" s="470">
        <f>+'IB 3A1_3A2_3C6'!F39</f>
        <v>170</v>
      </c>
      <c r="G169" s="470">
        <f>+'IB 3A1_3A2_3C6'!G39</f>
        <v>9561</v>
      </c>
      <c r="H169" s="470">
        <f>+'IB 3A1_3A2_3C6'!H39</f>
        <v>47430</v>
      </c>
      <c r="I169" s="470">
        <f>+'IB 3A1_3A2_3C6'!I39</f>
        <v>45705</v>
      </c>
    </row>
    <row r="170" ht="13.5" thickBot="1"/>
    <row r="171" spans="2:16" ht="15">
      <c r="B171" s="293" t="s">
        <v>1462</v>
      </c>
      <c r="C171" s="1192">
        <v>5</v>
      </c>
      <c r="D171" s="1192"/>
      <c r="E171" s="1192"/>
      <c r="F171" s="1192"/>
      <c r="G171" s="1192"/>
      <c r="H171" s="1192"/>
      <c r="I171" s="1193"/>
      <c r="K171" s="111"/>
      <c r="L171" s="111"/>
      <c r="M171" s="111"/>
      <c r="N171" s="111"/>
      <c r="O171" s="111"/>
      <c r="P171" s="111"/>
    </row>
    <row r="172" spans="2:16" ht="15">
      <c r="B172" s="294" t="s">
        <v>1461</v>
      </c>
      <c r="C172" s="1160" t="s">
        <v>1470</v>
      </c>
      <c r="D172" s="1160"/>
      <c r="E172" s="1160"/>
      <c r="F172" s="1160"/>
      <c r="G172" s="1160"/>
      <c r="H172" s="1160"/>
      <c r="I172" s="1161"/>
      <c r="K172" s="111"/>
      <c r="L172" s="111"/>
      <c r="M172" s="111"/>
      <c r="N172" s="111"/>
      <c r="O172" s="111"/>
      <c r="P172" s="111"/>
    </row>
    <row r="173" spans="2:16" ht="24" customHeight="1">
      <c r="B173" s="294" t="s">
        <v>73</v>
      </c>
      <c r="C173" s="1180" t="s">
        <v>1471</v>
      </c>
      <c r="D173" s="1160"/>
      <c r="E173" s="1160"/>
      <c r="F173" s="1160"/>
      <c r="G173" s="1160"/>
      <c r="H173" s="1160"/>
      <c r="I173" s="1161"/>
      <c r="K173" s="111"/>
      <c r="L173" s="111"/>
      <c r="M173" s="111"/>
      <c r="N173" s="111"/>
      <c r="O173" s="111"/>
      <c r="P173" s="111"/>
    </row>
    <row r="174" spans="2:16" ht="15">
      <c r="B174" s="294" t="s">
        <v>1010</v>
      </c>
      <c r="C174" s="1160" t="s">
        <v>1012</v>
      </c>
      <c r="D174" s="1160"/>
      <c r="E174" s="1160"/>
      <c r="F174" s="1160"/>
      <c r="G174" s="1160"/>
      <c r="H174" s="1160"/>
      <c r="I174" s="1161"/>
      <c r="K174" s="111"/>
      <c r="L174" s="111"/>
      <c r="M174" s="111"/>
      <c r="N174" s="111"/>
      <c r="O174" s="111"/>
      <c r="P174" s="111"/>
    </row>
    <row r="175" spans="2:9" ht="15">
      <c r="B175" s="294" t="s">
        <v>74</v>
      </c>
      <c r="C175" s="1160" t="s">
        <v>1013</v>
      </c>
      <c r="D175" s="1160"/>
      <c r="E175" s="1160"/>
      <c r="F175" s="1160"/>
      <c r="G175" s="1160"/>
      <c r="H175" s="1160"/>
      <c r="I175" s="1161"/>
    </row>
    <row r="176" spans="2:9" ht="13.5" thickBot="1">
      <c r="B176" s="295" t="s">
        <v>75</v>
      </c>
      <c r="C176" s="1190" t="s">
        <v>106</v>
      </c>
      <c r="D176" s="1190"/>
      <c r="E176" s="1190"/>
      <c r="F176" s="1190"/>
      <c r="G176" s="1190"/>
      <c r="H176" s="1190"/>
      <c r="I176" s="1191"/>
    </row>
    <row r="178" spans="2:9" ht="15">
      <c r="B178" s="54" t="s">
        <v>70</v>
      </c>
      <c r="C178" s="54" t="s">
        <v>66</v>
      </c>
      <c r="D178" s="54" t="s">
        <v>67</v>
      </c>
      <c r="E178" s="54" t="s">
        <v>68</v>
      </c>
      <c r="F178" s="59"/>
      <c r="G178" s="59"/>
      <c r="H178" s="60"/>
      <c r="I178" s="60"/>
    </row>
    <row r="179" spans="2:9" ht="15">
      <c r="B179" s="301" t="s">
        <v>69</v>
      </c>
      <c r="C179" s="456">
        <f>SUM(C180:C203)</f>
        <v>478241.719092125</v>
      </c>
      <c r="D179" s="456">
        <f>SUM(D180:D203)</f>
        <v>541066.206435821</v>
      </c>
      <c r="E179" s="456">
        <f>SUM(E180:E203)</f>
        <v>16105514.897488747</v>
      </c>
      <c r="F179" s="59"/>
      <c r="G179" s="59"/>
      <c r="H179" s="61"/>
      <c r="I179" s="59"/>
    </row>
    <row r="180" spans="2:9" ht="15">
      <c r="B180" s="81" t="s">
        <v>43</v>
      </c>
      <c r="C180" s="452">
        <f>+'IB 3A1_3A2_3C6'!C51</f>
        <v>25615.077959647682</v>
      </c>
      <c r="D180" s="452">
        <f>+'IB 3A1_3A2_3C6'!D51</f>
        <v>9408.722519228751</v>
      </c>
      <c r="E180" s="452">
        <f>+'IB 3A1_3A2_3C6'!E51</f>
        <v>383690.61903015873</v>
      </c>
      <c r="F180" s="59"/>
      <c r="G180" s="59"/>
      <c r="H180" s="61"/>
      <c r="I180" s="59"/>
    </row>
    <row r="181" spans="2:9" ht="15">
      <c r="B181" s="81" t="s">
        <v>223</v>
      </c>
      <c r="C181" s="452">
        <f>+'IB 3A1_3A2_3C6'!C52</f>
        <v>37856.28055453067</v>
      </c>
      <c r="D181" s="452">
        <f>+'IB 3A1_3A2_3C6'!D52</f>
        <v>74674.60345095719</v>
      </c>
      <c r="E181" s="452">
        <f>+'IB 3A1_3A2_3C6'!E52</f>
        <v>2159847.7127638645</v>
      </c>
      <c r="F181" s="59"/>
      <c r="G181" s="59"/>
      <c r="H181" s="61"/>
      <c r="I181" s="59"/>
    </row>
    <row r="182" spans="2:9" ht="15">
      <c r="B182" s="81" t="s">
        <v>44</v>
      </c>
      <c r="C182" s="452">
        <f>+'IB 3A1_3A2_3C6'!C53</f>
        <v>77426.97075067766</v>
      </c>
      <c r="D182" s="452">
        <f>+'IB 3A1_3A2_3C6'!D53</f>
        <v>9867.788047153295</v>
      </c>
      <c r="E182" s="452">
        <f>+'IB 3A1_3A2_3C6'!E53</f>
        <v>1369223.1887895176</v>
      </c>
      <c r="F182" s="59"/>
      <c r="G182" s="59"/>
      <c r="H182" s="61"/>
      <c r="I182" s="59"/>
    </row>
    <row r="183" spans="2:9" ht="15">
      <c r="B183" s="81" t="s">
        <v>45</v>
      </c>
      <c r="C183" s="452">
        <f>+'IB 3A1_3A2_3C6'!C54</f>
        <v>7099.007884987785</v>
      </c>
      <c r="D183" s="452">
        <f>+'IB 3A1_3A2_3C6'!D54</f>
        <v>16670.757714447962</v>
      </c>
      <c r="E183" s="452">
        <f>+'IB 3A1_3A2_3C6'!E54</f>
        <v>542266.0149298765</v>
      </c>
      <c r="F183" s="59"/>
      <c r="G183" s="59"/>
      <c r="H183" s="61"/>
      <c r="I183" s="59"/>
    </row>
    <row r="184" spans="2:9" ht="15">
      <c r="B184" s="81" t="s">
        <v>46</v>
      </c>
      <c r="C184" s="452">
        <f>+'IB 3A1_3A2_3C6'!C55</f>
        <v>31550.383273089355</v>
      </c>
      <c r="D184" s="452">
        <f>+'IB 3A1_3A2_3C6'!D55</f>
        <v>34774.37916881522</v>
      </c>
      <c r="E184" s="452">
        <f>+'IB 3A1_3A2_3C6'!E55</f>
        <v>750496.2709323597</v>
      </c>
      <c r="F184" s="59"/>
      <c r="G184" s="59"/>
      <c r="H184" s="61"/>
      <c r="I184" s="59"/>
    </row>
    <row r="185" spans="2:9" ht="15">
      <c r="B185" s="81" t="s">
        <v>47</v>
      </c>
      <c r="C185" s="452">
        <f>+'IB 3A1_3A2_3C6'!C56</f>
        <v>37064.52473953978</v>
      </c>
      <c r="D185" s="452">
        <f>+'IB 3A1_3A2_3C6'!D56</f>
        <v>72778.5231095049</v>
      </c>
      <c r="E185" s="452">
        <f>+'IB 3A1_3A2_3C6'!E56</f>
        <v>3169965.7138434746</v>
      </c>
      <c r="F185" s="59"/>
      <c r="G185" s="59"/>
      <c r="H185" s="61"/>
      <c r="I185" s="59"/>
    </row>
    <row r="186" spans="2:9" ht="15">
      <c r="B186" s="81" t="s">
        <v>48</v>
      </c>
      <c r="C186" s="452">
        <f>+'IB 3A1_3A2_3C6'!C57</f>
        <v>58571.872552577224</v>
      </c>
      <c r="D186" s="452">
        <f>+'IB 3A1_3A2_3C6'!D57</f>
        <v>39727.49450796316</v>
      </c>
      <c r="E186" s="554">
        <f>+'IB 3A1_3A2_3C6'!E57</f>
        <v>2236183.8797627296</v>
      </c>
      <c r="F186" s="59"/>
      <c r="G186" s="59"/>
      <c r="H186" s="61"/>
      <c r="I186" s="59"/>
    </row>
    <row r="187" spans="2:9" ht="15">
      <c r="B187" s="81" t="s">
        <v>49</v>
      </c>
      <c r="C187" s="452">
        <f>+'IB 3A1_3A2_3C6'!C58</f>
        <v>18583.956095116257</v>
      </c>
      <c r="D187" s="452">
        <f>+'IB 3A1_3A2_3C6'!D58</f>
        <v>14725.932336110338</v>
      </c>
      <c r="E187" s="452">
        <f>+'IB 3A1_3A2_3C6'!E58</f>
        <v>385761.48105713626</v>
      </c>
      <c r="F187" s="59"/>
      <c r="G187" s="59"/>
      <c r="H187" s="61"/>
      <c r="I187" s="59"/>
    </row>
    <row r="188" spans="2:9" ht="15">
      <c r="B188" s="81" t="s">
        <v>50</v>
      </c>
      <c r="C188" s="452">
        <f>+'IB 3A1_3A2_3C6'!C59</f>
        <v>37791.71395585299</v>
      </c>
      <c r="D188" s="452">
        <f>+'IB 3A1_3A2_3C6'!D59</f>
        <v>33805.80778811709</v>
      </c>
      <c r="E188" s="452">
        <f>+'IB 3A1_3A2_3C6'!E59</f>
        <v>735794.9400582679</v>
      </c>
      <c r="F188" s="59"/>
      <c r="G188" s="59"/>
      <c r="H188" s="61"/>
      <c r="I188" s="59"/>
    </row>
    <row r="189" spans="2:9" ht="15">
      <c r="B189" s="81" t="s">
        <v>51</v>
      </c>
      <c r="C189" s="452">
        <f>+'IB 3A1_3A2_3C6'!C60</f>
        <v>2472.9665991333277</v>
      </c>
      <c r="D189" s="452">
        <f>+'IB 3A1_3A2_3C6'!D60</f>
        <v>2931.0347569631176</v>
      </c>
      <c r="E189" s="452">
        <f>+'IB 3A1_3A2_3C6'!E60</f>
        <v>69150.44687060703</v>
      </c>
      <c r="F189" s="59"/>
      <c r="G189" s="59"/>
      <c r="H189" s="61"/>
      <c r="I189" s="59"/>
    </row>
    <row r="190" spans="2:9" ht="15">
      <c r="B190" s="81" t="s">
        <v>52</v>
      </c>
      <c r="C190" s="452">
        <f>+'IB 3A1_3A2_3C6'!C61</f>
        <v>9245.912355763136</v>
      </c>
      <c r="D190" s="452">
        <f>+'IB 3A1_3A2_3C6'!D61</f>
        <v>26919.990550398994</v>
      </c>
      <c r="E190" s="452">
        <f>+'IB 3A1_3A2_3C6'!E61</f>
        <v>1081243.283304724</v>
      </c>
      <c r="F190" s="59"/>
      <c r="G190" s="59"/>
      <c r="H190" s="61"/>
      <c r="I190" s="59"/>
    </row>
    <row r="191" spans="2:9" ht="15">
      <c r="B191" s="81" t="s">
        <v>53</v>
      </c>
      <c r="C191" s="452">
        <f>+'IB 3A1_3A2_3C6'!C62</f>
        <v>38999.2212157126</v>
      </c>
      <c r="D191" s="452">
        <f>+'IB 3A1_3A2_3C6'!D62</f>
        <v>49061.71287720886</v>
      </c>
      <c r="E191" s="452">
        <f>+'IB 3A1_3A2_3C6'!E62</f>
        <v>833800.6945264561</v>
      </c>
      <c r="F191" s="59"/>
      <c r="G191" s="59"/>
      <c r="H191" s="61"/>
      <c r="I191" s="59"/>
    </row>
    <row r="192" spans="2:9" ht="15">
      <c r="B192" s="81" t="s">
        <v>54</v>
      </c>
      <c r="C192" s="452">
        <f>+'IB 3A1_3A2_3C6'!C63</f>
        <v>6265.0782971701165</v>
      </c>
      <c r="D192" s="452">
        <f>+'IB 3A1_3A2_3C6'!D63</f>
        <v>10753.666558466482</v>
      </c>
      <c r="E192" s="452">
        <f>+'IB 3A1_3A2_3C6'!E63</f>
        <v>301889.95778411906</v>
      </c>
      <c r="F192" s="59"/>
      <c r="G192" s="59"/>
      <c r="H192" s="61"/>
      <c r="I192" s="59"/>
    </row>
    <row r="193" spans="2:9" ht="15">
      <c r="B193" s="82" t="s">
        <v>55</v>
      </c>
      <c r="C193" s="452">
        <f>+'IB 3A1_3A2_3C6'!C64</f>
        <v>11378.6201932818</v>
      </c>
      <c r="D193" s="452">
        <f>+'IB 3A1_3A2_3C6'!D64</f>
        <v>21480.8984773847</v>
      </c>
      <c r="E193" s="452">
        <f>+'IB 3A1_3A2_3C6'!E64</f>
        <v>1009917.31436426</v>
      </c>
      <c r="F193" s="59"/>
      <c r="G193" s="59"/>
      <c r="H193" s="59"/>
      <c r="I193" s="60"/>
    </row>
    <row r="194" spans="2:9" ht="15">
      <c r="B194" s="83" t="s">
        <v>56</v>
      </c>
      <c r="C194" s="62">
        <f>+'IB 3A1_3A2_3C6'!C65</f>
        <v>4092.9268734528137</v>
      </c>
      <c r="D194" s="62">
        <f>+'IB 3A1_3A2_3C6'!D65</f>
        <v>616.811331477455</v>
      </c>
      <c r="E194" s="62">
        <f>+'IB 3A1_3A2_3C6'!E65</f>
        <v>18600.14838166944</v>
      </c>
      <c r="F194" s="59"/>
      <c r="G194" s="59"/>
      <c r="H194" s="59"/>
      <c r="I194" s="60"/>
    </row>
    <row r="195" spans="2:9" ht="15">
      <c r="B195" s="83" t="s">
        <v>57</v>
      </c>
      <c r="C195" s="62">
        <f>+'IB 3A1_3A2_3C6'!C66</f>
        <v>501.0085943960365</v>
      </c>
      <c r="D195" s="62">
        <f>+'IB 3A1_3A2_3C6'!D66</f>
        <v>21.48672611728187</v>
      </c>
      <c r="E195" s="62">
        <f>+'IB 3A1_3A2_3C6'!E66</f>
        <v>2557.8100698323988</v>
      </c>
      <c r="F195" s="59"/>
      <c r="G195" s="59"/>
      <c r="H195" s="59"/>
      <c r="I195" s="60"/>
    </row>
    <row r="196" spans="2:9" ht="15">
      <c r="B196" s="83" t="s">
        <v>58</v>
      </c>
      <c r="C196" s="62">
        <f>+'IB 3A1_3A2_3C6'!C67</f>
        <v>583.3496439396521</v>
      </c>
      <c r="D196" s="62">
        <f>+'IB 3A1_3A2_3C6'!D67</f>
        <v>5301.483979346992</v>
      </c>
      <c r="E196" s="62">
        <f>+'IB 3A1_3A2_3C6'!E67</f>
        <v>177926.05513951773</v>
      </c>
      <c r="F196" s="59"/>
      <c r="G196" s="59"/>
      <c r="H196" s="59"/>
      <c r="I196" s="60"/>
    </row>
    <row r="197" spans="2:9" ht="15">
      <c r="B197" s="83" t="s">
        <v>59</v>
      </c>
      <c r="C197" s="62">
        <f>+'IB 3A1_3A2_3C6'!C68</f>
        <v>9107.869899540408</v>
      </c>
      <c r="D197" s="62">
        <f>+'IB 3A1_3A2_3C6'!D68</f>
        <v>8494.05231804396</v>
      </c>
      <c r="E197" s="62">
        <f>+'IB 3A1_3A2_3C6'!E68</f>
        <v>94594.61074041708</v>
      </c>
      <c r="F197" s="59"/>
      <c r="G197" s="59"/>
      <c r="H197" s="59"/>
      <c r="I197" s="60"/>
    </row>
    <row r="198" spans="2:9" ht="15">
      <c r="B198" s="83" t="s">
        <v>60</v>
      </c>
      <c r="C198" s="62">
        <f>+'IB 3A1_3A2_3C6'!C69</f>
        <v>27998.4746045075</v>
      </c>
      <c r="D198" s="62">
        <f>+'IB 3A1_3A2_3C6'!D69</f>
        <v>38789.43598582466</v>
      </c>
      <c r="E198" s="62">
        <f>+'IB 3A1_3A2_3C6'!E69</f>
        <v>113159.17119395298</v>
      </c>
      <c r="F198" s="59"/>
      <c r="G198" s="59"/>
      <c r="H198" s="59"/>
      <c r="I198" s="60"/>
    </row>
    <row r="199" spans="2:9" ht="15">
      <c r="B199" s="83" t="s">
        <v>61</v>
      </c>
      <c r="C199" s="62">
        <f>+'IB 3A1_3A2_3C6'!C70</f>
        <v>8117.6214525417145</v>
      </c>
      <c r="D199" s="62">
        <f>+'IB 3A1_3A2_3C6'!D70</f>
        <v>53525.787022586934</v>
      </c>
      <c r="E199" s="62">
        <f>+'IB 3A1_3A2_3C6'!E70</f>
        <v>118628.00232627365</v>
      </c>
      <c r="F199" s="59"/>
      <c r="G199" s="59"/>
      <c r="H199" s="59"/>
      <c r="I199" s="60"/>
    </row>
    <row r="200" spans="2:9" ht="15">
      <c r="B200" s="83" t="s">
        <v>62</v>
      </c>
      <c r="C200" s="62">
        <f>+'IB 3A1_3A2_3C6'!C71</f>
        <v>22871.138932304264</v>
      </c>
      <c r="D200" s="62">
        <f>+'IB 3A1_3A2_3C6'!D71</f>
        <v>13088.068736036012</v>
      </c>
      <c r="E200" s="62">
        <f>+'IB 3A1_3A2_3C6'!E71</f>
        <v>407394.734834256</v>
      </c>
      <c r="F200" s="59"/>
      <c r="G200" s="59"/>
      <c r="H200" s="59"/>
      <c r="I200" s="60"/>
    </row>
    <row r="201" spans="2:9" ht="15">
      <c r="B201" s="83" t="s">
        <v>63</v>
      </c>
      <c r="C201" s="62">
        <f>+'IB 3A1_3A2_3C6'!C72</f>
        <v>615.3548408338808</v>
      </c>
      <c r="D201" s="62">
        <f>+'IB 3A1_3A2_3C6'!D72</f>
        <v>1257.4098721983403</v>
      </c>
      <c r="E201" s="62">
        <f>+'IB 3A1_3A2_3C6'!E72</f>
        <v>127940.51222990174</v>
      </c>
      <c r="F201" s="59"/>
      <c r="G201" s="59"/>
      <c r="H201" s="59"/>
      <c r="I201" s="60"/>
    </row>
    <row r="202" spans="2:9" ht="15">
      <c r="B202" s="83" t="s">
        <v>64</v>
      </c>
      <c r="C202" s="62">
        <f>+'IB 3A1_3A2_3C6'!C73</f>
        <v>2165.5475110619936</v>
      </c>
      <c r="D202" s="62">
        <f>+'IB 3A1_3A2_3C6'!D73</f>
        <v>2202.886171174328</v>
      </c>
      <c r="E202" s="62">
        <f>+'IB 3A1_3A2_3C6'!E73</f>
        <v>2571.529384598459</v>
      </c>
      <c r="F202" s="59"/>
      <c r="G202" s="59"/>
      <c r="H202" s="59"/>
      <c r="I202" s="60"/>
    </row>
    <row r="203" spans="2:9" ht="15">
      <c r="B203" s="83" t="s">
        <v>65</v>
      </c>
      <c r="C203" s="62">
        <f>+'IB 3A1_3A2_3C6'!C74</f>
        <v>2266.8403124664146</v>
      </c>
      <c r="D203" s="62">
        <f>+'IB 3A1_3A2_3C6'!D74</f>
        <v>187.47243029484102</v>
      </c>
      <c r="E203" s="62">
        <f>+'IB 3A1_3A2_3C6'!E74</f>
        <v>12910.805170773625</v>
      </c>
      <c r="F203" s="59"/>
      <c r="G203" s="59"/>
      <c r="H203" s="59"/>
      <c r="I203" s="60"/>
    </row>
    <row r="204" ht="13.5" thickBot="1"/>
    <row r="205" spans="2:16" ht="15">
      <c r="B205" s="293" t="s">
        <v>1462</v>
      </c>
      <c r="C205" s="1272">
        <v>6</v>
      </c>
      <c r="D205" s="1272"/>
      <c r="E205" s="1272"/>
      <c r="F205" s="1272"/>
      <c r="G205" s="1272"/>
      <c r="H205" s="1272"/>
      <c r="I205" s="1273"/>
      <c r="K205" s="111"/>
      <c r="L205" s="111"/>
      <c r="M205" s="111"/>
      <c r="N205" s="111"/>
      <c r="O205" s="111"/>
      <c r="P205" s="111"/>
    </row>
    <row r="206" spans="2:16" ht="15">
      <c r="B206" s="294" t="s">
        <v>1461</v>
      </c>
      <c r="C206" s="1206" t="s">
        <v>1463</v>
      </c>
      <c r="D206" s="1207"/>
      <c r="E206" s="1207"/>
      <c r="F206" s="1207"/>
      <c r="G206" s="1207"/>
      <c r="H206" s="1207"/>
      <c r="I206" s="1208"/>
      <c r="K206" s="111"/>
      <c r="L206" s="111"/>
      <c r="M206" s="111"/>
      <c r="N206" s="111"/>
      <c r="O206" s="111"/>
      <c r="P206" s="111"/>
    </row>
    <row r="207" spans="2:16" ht="12.75" customHeight="1">
      <c r="B207" s="294" t="s">
        <v>73</v>
      </c>
      <c r="C207" s="1274" t="s">
        <v>1262</v>
      </c>
      <c r="D207" s="1275"/>
      <c r="E207" s="1275"/>
      <c r="F207" s="1275"/>
      <c r="G207" s="1275"/>
      <c r="H207" s="1275"/>
      <c r="I207" s="1276"/>
      <c r="K207" s="111"/>
      <c r="L207" s="111"/>
      <c r="M207" s="111"/>
      <c r="N207" s="111"/>
      <c r="O207" s="111"/>
      <c r="P207" s="111"/>
    </row>
    <row r="208" spans="2:16" ht="12.75" customHeight="1">
      <c r="B208" s="294" t="s">
        <v>1010</v>
      </c>
      <c r="C208" s="1277" t="s">
        <v>1459</v>
      </c>
      <c r="D208" s="1278"/>
      <c r="E208" s="1278"/>
      <c r="F208" s="1278"/>
      <c r="G208" s="1278"/>
      <c r="H208" s="1278"/>
      <c r="I208" s="1279"/>
      <c r="K208" s="111"/>
      <c r="L208" s="111"/>
      <c r="M208" s="111"/>
      <c r="N208" s="111"/>
      <c r="O208" s="111"/>
      <c r="P208" s="111"/>
    </row>
    <row r="209" spans="2:9" ht="15">
      <c r="B209" s="294" t="s">
        <v>74</v>
      </c>
      <c r="C209" s="1269">
        <v>44858</v>
      </c>
      <c r="D209" s="1270"/>
      <c r="E209" s="1270"/>
      <c r="F209" s="1270"/>
      <c r="G209" s="1270"/>
      <c r="H209" s="1270"/>
      <c r="I209" s="1271"/>
    </row>
    <row r="210" spans="2:9" ht="24.75" customHeight="1" thickBot="1">
      <c r="B210" s="295" t="s">
        <v>75</v>
      </c>
      <c r="C210" s="1164" t="s">
        <v>1583</v>
      </c>
      <c r="D210" s="1165"/>
      <c r="E210" s="1165"/>
      <c r="F210" s="1165"/>
      <c r="G210" s="1165"/>
      <c r="H210" s="1165"/>
      <c r="I210" s="1166"/>
    </row>
    <row r="212" spans="2:9" ht="27" customHeight="1">
      <c r="B212" s="308" t="s">
        <v>70</v>
      </c>
      <c r="C212" s="308" t="s">
        <v>1472</v>
      </c>
      <c r="D212" s="59"/>
      <c r="E212" s="59"/>
      <c r="F212" s="59"/>
      <c r="G212" s="59"/>
      <c r="H212" s="59"/>
      <c r="I212" s="59"/>
    </row>
    <row r="213" spans="2:9" ht="15">
      <c r="B213" s="354" t="s">
        <v>69</v>
      </c>
      <c r="C213" s="1036">
        <f>SUM(C214:C237)</f>
        <v>905818</v>
      </c>
      <c r="D213" s="59"/>
      <c r="E213" s="59"/>
      <c r="F213" s="59"/>
      <c r="G213" s="59"/>
      <c r="H213" s="59"/>
      <c r="I213" s="59"/>
    </row>
    <row r="214" spans="2:9" ht="15">
      <c r="B214" s="81" t="s">
        <v>43</v>
      </c>
      <c r="C214" s="101">
        <f>'IB 3A1_3A2_3C6'!C85</f>
        <v>79623</v>
      </c>
      <c r="G214" s="59"/>
      <c r="H214" s="59"/>
      <c r="I214" s="59"/>
    </row>
    <row r="215" spans="2:9" ht="15">
      <c r="B215" s="81" t="s">
        <v>223</v>
      </c>
      <c r="C215" s="101">
        <f>'IB 3A1_3A2_3C6'!C86</f>
        <v>14847</v>
      </c>
      <c r="D215" s="59"/>
      <c r="E215" s="64"/>
      <c r="G215" s="59"/>
      <c r="H215" s="59"/>
      <c r="I215" s="59"/>
    </row>
    <row r="216" spans="2:9" ht="15">
      <c r="B216" s="81" t="s">
        <v>44</v>
      </c>
      <c r="C216" s="101">
        <f>'IB 3A1_3A2_3C6'!C87</f>
        <v>31825</v>
      </c>
      <c r="D216" s="59"/>
      <c r="E216" s="64"/>
      <c r="G216" s="59"/>
      <c r="H216" s="59"/>
      <c r="I216" s="59"/>
    </row>
    <row r="217" spans="2:9" ht="15">
      <c r="B217" s="81" t="s">
        <v>45</v>
      </c>
      <c r="C217" s="101">
        <f>'IB 3A1_3A2_3C6'!C88</f>
        <v>75737</v>
      </c>
      <c r="D217" s="59"/>
      <c r="E217" s="64"/>
      <c r="G217" s="59"/>
      <c r="H217" s="59"/>
      <c r="I217" s="59"/>
    </row>
    <row r="218" spans="2:9" ht="15">
      <c r="B218" s="81" t="s">
        <v>46</v>
      </c>
      <c r="C218" s="101">
        <f>'IB 3A1_3A2_3C6'!C89</f>
        <v>33695</v>
      </c>
      <c r="D218" s="59"/>
      <c r="E218" s="64"/>
      <c r="G218" s="59"/>
      <c r="H218" s="59"/>
      <c r="I218" s="59"/>
    </row>
    <row r="219" spans="2:9" ht="15">
      <c r="B219" s="81" t="s">
        <v>47</v>
      </c>
      <c r="C219" s="101">
        <f>'IB 3A1_3A2_3C6'!C90</f>
        <v>164222</v>
      </c>
      <c r="D219" s="59"/>
      <c r="E219" s="64"/>
      <c r="G219" s="59"/>
      <c r="H219" s="59"/>
      <c r="I219" s="59"/>
    </row>
    <row r="220" spans="2:9" ht="15">
      <c r="B220" s="81" t="s">
        <v>48</v>
      </c>
      <c r="C220" s="101">
        <f>'IB 3A1_3A2_3C6'!C91</f>
        <v>80570</v>
      </c>
      <c r="D220" s="59"/>
      <c r="E220" s="64"/>
      <c r="G220" s="59"/>
      <c r="H220" s="59"/>
      <c r="I220" s="59"/>
    </row>
    <row r="221" spans="2:9" ht="15">
      <c r="B221" s="81" t="s">
        <v>49</v>
      </c>
      <c r="C221" s="101">
        <f>'IB 3A1_3A2_3C6'!C92</f>
        <v>12120</v>
      </c>
      <c r="D221" s="59"/>
      <c r="E221" s="64"/>
      <c r="G221" s="59"/>
      <c r="H221" s="59"/>
      <c r="I221" s="59"/>
    </row>
    <row r="222" spans="2:9" ht="15">
      <c r="B222" s="81" t="s">
        <v>50</v>
      </c>
      <c r="C222" s="101">
        <f>'IB 3A1_3A2_3C6'!C93</f>
        <v>34916</v>
      </c>
      <c r="D222" s="59"/>
      <c r="E222" s="64"/>
      <c r="G222" s="59"/>
      <c r="H222" s="59"/>
      <c r="I222" s="59"/>
    </row>
    <row r="223" spans="2:9" ht="15">
      <c r="B223" s="81" t="s">
        <v>51</v>
      </c>
      <c r="C223" s="101">
        <f>'IB 3A1_3A2_3C6'!C94</f>
        <v>12537</v>
      </c>
      <c r="D223" s="59"/>
      <c r="E223" s="64"/>
      <c r="G223" s="59"/>
      <c r="H223" s="59"/>
      <c r="I223" s="59"/>
    </row>
    <row r="224" spans="2:9" ht="15">
      <c r="B224" s="81" t="s">
        <v>52</v>
      </c>
      <c r="C224" s="101">
        <f>'IB 3A1_3A2_3C6'!C95</f>
        <v>40669</v>
      </c>
      <c r="D224" s="59"/>
      <c r="E224" s="64"/>
      <c r="G224" s="59"/>
      <c r="H224" s="59"/>
      <c r="I224" s="59"/>
    </row>
    <row r="225" spans="2:9" ht="15">
      <c r="B225" s="81" t="s">
        <v>53</v>
      </c>
      <c r="C225" s="101">
        <f>'IB 3A1_3A2_3C6'!C96</f>
        <v>48823</v>
      </c>
      <c r="D225" s="59"/>
      <c r="E225" s="64"/>
      <c r="G225" s="59"/>
      <c r="H225" s="59"/>
      <c r="I225" s="59"/>
    </row>
    <row r="226" spans="2:9" ht="15">
      <c r="B226" s="81" t="s">
        <v>54</v>
      </c>
      <c r="C226" s="101">
        <f>'IB 3A1_3A2_3C6'!C97</f>
        <v>17837</v>
      </c>
      <c r="D226" s="59"/>
      <c r="E226" s="64"/>
      <c r="G226" s="59"/>
      <c r="H226" s="59"/>
      <c r="I226" s="59"/>
    </row>
    <row r="227" spans="2:9" ht="15">
      <c r="B227" s="82" t="s">
        <v>55</v>
      </c>
      <c r="C227" s="101">
        <f>'IB 3A1_3A2_3C6'!C98</f>
        <v>71092</v>
      </c>
      <c r="D227" s="59"/>
      <c r="E227" s="64"/>
      <c r="G227" s="59"/>
      <c r="H227" s="59"/>
      <c r="I227" s="59"/>
    </row>
    <row r="228" spans="2:9" ht="15">
      <c r="B228" s="83" t="s">
        <v>56</v>
      </c>
      <c r="C228" s="101">
        <f>'IB 3A1_3A2_3C6'!C99</f>
        <v>1228</v>
      </c>
      <c r="D228" s="59"/>
      <c r="E228" s="64"/>
      <c r="G228" s="59"/>
      <c r="H228" s="59"/>
      <c r="I228" s="59"/>
    </row>
    <row r="229" spans="2:9" ht="15">
      <c r="B229" s="83" t="s">
        <v>57</v>
      </c>
      <c r="C229" s="101">
        <f>'IB 3A1_3A2_3C6'!C100</f>
        <v>1354</v>
      </c>
      <c r="D229" s="59"/>
      <c r="E229" s="64"/>
      <c r="G229" s="59"/>
      <c r="H229" s="59"/>
      <c r="I229" s="59"/>
    </row>
    <row r="230" spans="2:9" ht="15">
      <c r="B230" s="83" t="s">
        <v>58</v>
      </c>
      <c r="C230" s="101">
        <f>'IB 3A1_3A2_3C6'!C101</f>
        <v>5671</v>
      </c>
      <c r="D230" s="59"/>
      <c r="E230" s="64"/>
      <c r="G230" s="59"/>
      <c r="H230" s="59"/>
      <c r="I230" s="59"/>
    </row>
    <row r="231" spans="2:9" ht="15">
      <c r="B231" s="83" t="s">
        <v>59</v>
      </c>
      <c r="C231" s="101">
        <f>'IB 3A1_3A2_3C6'!C102</f>
        <v>29614</v>
      </c>
      <c r="D231" s="59"/>
      <c r="E231" s="64"/>
      <c r="G231" s="59"/>
      <c r="H231" s="59"/>
      <c r="I231" s="59"/>
    </row>
    <row r="232" spans="2:9" ht="15">
      <c r="B232" s="83" t="s">
        <v>60</v>
      </c>
      <c r="C232" s="101">
        <f>'IB 3A1_3A2_3C6'!C103</f>
        <v>24072</v>
      </c>
      <c r="D232" s="59"/>
      <c r="E232" s="64"/>
      <c r="G232" s="59"/>
      <c r="H232" s="59"/>
      <c r="I232" s="59"/>
    </row>
    <row r="233" spans="2:9" ht="15">
      <c r="B233" s="83" t="s">
        <v>61</v>
      </c>
      <c r="C233" s="101">
        <f>'IB 3A1_3A2_3C6'!C104</f>
        <v>95949</v>
      </c>
      <c r="D233" s="59"/>
      <c r="E233" s="64"/>
      <c r="G233" s="59"/>
      <c r="H233" s="59"/>
      <c r="I233" s="59"/>
    </row>
    <row r="234" spans="2:9" ht="15">
      <c r="B234" s="83" t="s">
        <v>62</v>
      </c>
      <c r="C234" s="101">
        <f>'IB 3A1_3A2_3C6'!C105</f>
        <v>19732</v>
      </c>
      <c r="D234" s="59"/>
      <c r="E234" s="64"/>
      <c r="G234" s="59"/>
      <c r="H234" s="59"/>
      <c r="I234" s="59"/>
    </row>
    <row r="235" spans="2:9" ht="15">
      <c r="B235" s="83" t="s">
        <v>63</v>
      </c>
      <c r="C235" s="101">
        <f>'IB 3A1_3A2_3C6'!C106</f>
        <v>5692</v>
      </c>
      <c r="D235" s="59"/>
      <c r="E235" s="64"/>
      <c r="G235" s="59"/>
      <c r="H235" s="59"/>
      <c r="I235" s="59"/>
    </row>
    <row r="236" spans="2:9" ht="15">
      <c r="B236" s="83" t="s">
        <v>64</v>
      </c>
      <c r="C236" s="101">
        <f>'IB 3A1_3A2_3C6'!C107</f>
        <v>362</v>
      </c>
      <c r="D236" s="59"/>
      <c r="E236" s="64"/>
      <c r="G236" s="59"/>
      <c r="H236" s="59"/>
      <c r="I236" s="59"/>
    </row>
    <row r="237" spans="2:9" ht="15">
      <c r="B237" s="83" t="s">
        <v>65</v>
      </c>
      <c r="C237" s="101">
        <f>'IB 3A1_3A2_3C6'!C108</f>
        <v>3631</v>
      </c>
      <c r="D237" s="59"/>
      <c r="E237" s="64"/>
      <c r="G237" s="59"/>
      <c r="H237" s="59"/>
      <c r="I237" s="59"/>
    </row>
    <row r="239" spans="2:10" ht="15">
      <c r="B239" s="348" t="s">
        <v>1117</v>
      </c>
      <c r="C239" s="348"/>
      <c r="D239" s="348"/>
      <c r="E239" s="348"/>
      <c r="F239" s="348"/>
      <c r="G239" s="348"/>
      <c r="H239" s="348"/>
      <c r="I239" s="348"/>
      <c r="J239" s="348"/>
    </row>
    <row r="240" ht="13.5" thickBot="1"/>
    <row r="241" spans="2:16" ht="15">
      <c r="B241" s="293" t="s">
        <v>1462</v>
      </c>
      <c r="C241" s="1167">
        <v>7</v>
      </c>
      <c r="D241" s="1167"/>
      <c r="E241" s="1167"/>
      <c r="F241" s="1167"/>
      <c r="G241" s="1167"/>
      <c r="H241" s="1167"/>
      <c r="I241" s="1168"/>
      <c r="K241" s="111"/>
      <c r="L241" s="111"/>
      <c r="M241" s="111"/>
      <c r="N241" s="111"/>
      <c r="O241" s="111"/>
      <c r="P241" s="111"/>
    </row>
    <row r="242" spans="2:16" ht="15">
      <c r="B242" s="294" t="s">
        <v>1461</v>
      </c>
      <c r="C242" s="1206" t="s">
        <v>713</v>
      </c>
      <c r="D242" s="1207"/>
      <c r="E242" s="1207"/>
      <c r="F242" s="1207"/>
      <c r="G242" s="1207"/>
      <c r="H242" s="1207"/>
      <c r="I242" s="1208"/>
      <c r="K242" s="111"/>
      <c r="L242" s="111"/>
      <c r="M242" s="111"/>
      <c r="N242" s="111"/>
      <c r="O242" s="111"/>
      <c r="P242" s="111"/>
    </row>
    <row r="243" spans="2:16" ht="15">
      <c r="B243" s="294" t="s">
        <v>73</v>
      </c>
      <c r="C243" s="1176" t="s">
        <v>1572</v>
      </c>
      <c r="D243" s="1176"/>
      <c r="E243" s="1176"/>
      <c r="F243" s="1176"/>
      <c r="G243" s="1176"/>
      <c r="H243" s="1176"/>
      <c r="I243" s="1177"/>
      <c r="K243" s="111"/>
      <c r="L243" s="111"/>
      <c r="M243" s="111"/>
      <c r="N243" s="111"/>
      <c r="O243" s="111"/>
      <c r="P243" s="111"/>
    </row>
    <row r="244" spans="2:16" ht="15">
      <c r="B244" s="294" t="s">
        <v>1010</v>
      </c>
      <c r="C244" s="1178"/>
      <c r="D244" s="1169"/>
      <c r="E244" s="1169"/>
      <c r="F244" s="1169"/>
      <c r="G244" s="1169"/>
      <c r="H244" s="1169"/>
      <c r="I244" s="1170"/>
      <c r="K244" s="111"/>
      <c r="L244" s="111"/>
      <c r="M244" s="111"/>
      <c r="N244" s="111"/>
      <c r="O244" s="111"/>
      <c r="P244" s="111"/>
    </row>
    <row r="245" spans="2:11" ht="15">
      <c r="B245" s="294" t="s">
        <v>74</v>
      </c>
      <c r="C245" s="1243"/>
      <c r="D245" s="1169"/>
      <c r="E245" s="1169"/>
      <c r="F245" s="1169"/>
      <c r="G245" s="1169"/>
      <c r="H245" s="1169"/>
      <c r="I245" s="1170"/>
      <c r="K245" s="111"/>
    </row>
    <row r="246" spans="2:9" ht="66.75" customHeight="1" thickBot="1">
      <c r="B246" s="295" t="s">
        <v>75</v>
      </c>
      <c r="C246" s="1252" t="s">
        <v>1575</v>
      </c>
      <c r="D246" s="1267"/>
      <c r="E246" s="1267"/>
      <c r="F246" s="1267"/>
      <c r="G246" s="1267"/>
      <c r="H246" s="1267"/>
      <c r="I246" s="1268"/>
    </row>
    <row r="247" ht="9" customHeight="1"/>
    <row r="248" spans="2:4" ht="27.75">
      <c r="B248" s="1224" t="s">
        <v>1473</v>
      </c>
      <c r="C248" s="1224"/>
      <c r="D248" s="139" t="s">
        <v>1121</v>
      </c>
    </row>
    <row r="249" spans="2:4" ht="24" customHeight="1">
      <c r="B249" s="1257" t="s">
        <v>1576</v>
      </c>
      <c r="C249" s="1257"/>
      <c r="D249" s="517">
        <v>0</v>
      </c>
    </row>
    <row r="250" spans="2:4" ht="15">
      <c r="B250" s="1257" t="s">
        <v>288</v>
      </c>
      <c r="C250" s="1257"/>
      <c r="D250" s="517">
        <v>0</v>
      </c>
    </row>
    <row r="251" spans="2:4" ht="27" customHeight="1">
      <c r="B251" s="1257" t="s">
        <v>1577</v>
      </c>
      <c r="C251" s="1257"/>
      <c r="D251" s="517">
        <v>0</v>
      </c>
    </row>
    <row r="252" spans="2:4" ht="24.75" customHeight="1">
      <c r="B252" s="1257" t="s">
        <v>1578</v>
      </c>
      <c r="C252" s="1257"/>
      <c r="D252" s="517">
        <v>42.88180376641197</v>
      </c>
    </row>
    <row r="253" spans="2:4" ht="24" customHeight="1">
      <c r="B253" s="1257" t="s">
        <v>287</v>
      </c>
      <c r="C253" s="1257"/>
      <c r="D253" s="517">
        <v>0</v>
      </c>
    </row>
    <row r="254" spans="2:4" ht="15">
      <c r="B254" s="1257" t="s">
        <v>1579</v>
      </c>
      <c r="C254" s="1257"/>
      <c r="D254" s="517">
        <v>0</v>
      </c>
    </row>
    <row r="255" spans="2:4" ht="15">
      <c r="B255" s="1257" t="s">
        <v>283</v>
      </c>
      <c r="C255" s="1257"/>
      <c r="D255" s="517">
        <v>0</v>
      </c>
    </row>
    <row r="256" spans="2:4" ht="15">
      <c r="B256" s="1257" t="s">
        <v>1580</v>
      </c>
      <c r="C256" s="1257"/>
      <c r="D256" s="517">
        <v>0</v>
      </c>
    </row>
  </sheetData>
  <mergeCells count="63">
    <mergeCell ref="C142:J142"/>
    <mergeCell ref="C137:J137"/>
    <mergeCell ref="C209:I209"/>
    <mergeCell ref="C176:I176"/>
    <mergeCell ref="C205:I205"/>
    <mergeCell ref="C206:I206"/>
    <mergeCell ref="C207:I207"/>
    <mergeCell ref="C208:I208"/>
    <mergeCell ref="C138:J138"/>
    <mergeCell ref="C139:J139"/>
    <mergeCell ref="C140:J140"/>
    <mergeCell ref="C141:J141"/>
    <mergeCell ref="C6:J6"/>
    <mergeCell ref="C7:J7"/>
    <mergeCell ref="C8:J8"/>
    <mergeCell ref="C9:J9"/>
    <mergeCell ref="C246:I246"/>
    <mergeCell ref="C241:I241"/>
    <mergeCell ref="C242:I242"/>
    <mergeCell ref="C243:I243"/>
    <mergeCell ref="C244:I244"/>
    <mergeCell ref="C245:I245"/>
    <mergeCell ref="C210:I210"/>
    <mergeCell ref="C171:I171"/>
    <mergeCell ref="C172:I172"/>
    <mergeCell ref="C173:I173"/>
    <mergeCell ref="C174:I174"/>
    <mergeCell ref="C175:I175"/>
    <mergeCell ref="C106:J106"/>
    <mergeCell ref="C101:J101"/>
    <mergeCell ref="C102:J102"/>
    <mergeCell ref="C103:J103"/>
    <mergeCell ref="C104:J104"/>
    <mergeCell ref="C105:J105"/>
    <mergeCell ref="C10:J10"/>
    <mergeCell ref="C11:J11"/>
    <mergeCell ref="C67:J67"/>
    <mergeCell ref="C68:J68"/>
    <mergeCell ref="C69:J69"/>
    <mergeCell ref="C70:J70"/>
    <mergeCell ref="C71:J71"/>
    <mergeCell ref="C72:J72"/>
    <mergeCell ref="C19:J19"/>
    <mergeCell ref="C20:J20"/>
    <mergeCell ref="C21:J21"/>
    <mergeCell ref="C22:J22"/>
    <mergeCell ref="C23:J23"/>
    <mergeCell ref="C24:J24"/>
    <mergeCell ref="C32:J32"/>
    <mergeCell ref="C33:J33"/>
    <mergeCell ref="C34:J34"/>
    <mergeCell ref="C35:J35"/>
    <mergeCell ref="C36:J36"/>
    <mergeCell ref="C37:J37"/>
    <mergeCell ref="B253:C253"/>
    <mergeCell ref="B254:C254"/>
    <mergeCell ref="B255:C255"/>
    <mergeCell ref="B256:C256"/>
    <mergeCell ref="B248:C248"/>
    <mergeCell ref="B249:C249"/>
    <mergeCell ref="B250:C250"/>
    <mergeCell ref="B251:C251"/>
    <mergeCell ref="B252:C252"/>
  </mergeCells>
  <hyperlinks>
    <hyperlink ref="C22" r:id="rId1" display="http://www.fao.org/3/a-x4781s.pdf"/>
    <hyperlink ref="C140" r:id="rId2" display="https://siea.midagri.gob.pe/portal/publicaciones/datos-estadisticas/anuarios/category/27-produccion-pecuaria"/>
    <hyperlink ref="C9" r:id="rId3" display="http://siea.minagri.gob.pe/siea/?q=publicaciones/anuario-estadistico-de-insumos-y-servicios-agrarios"/>
    <hyperlink ref="C70" r:id="rId4" display="https://siea.midagri.gob.pe/portal/publicacion/boletines-anuales/4-agricola"/>
    <hyperlink ref="C208" r:id="rId5" display="https://siea.midagri.gob.pe/portal/publicacion/boletines-anuales/5-ganadera-avicola"/>
    <hyperlink ref="C104" r:id="rId6" display="https://siea.midagri.gob.pe/portal/publicacion/boletines-anuales/4-agricola"/>
  </hyperlinks>
  <printOptions/>
  <pageMargins left="0.7" right="0.7" top="0.75" bottom="0.75" header="0.3" footer="0.3"/>
  <pageSetup horizontalDpi="600" verticalDpi="600" orientation="portrait" r:id="rId8"/>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EC3E6"/>
  </sheetPr>
  <dimension ref="B1:CK68"/>
  <sheetViews>
    <sheetView workbookViewId="0" topLeftCell="A40">
      <selection activeCell="J59" sqref="J59"/>
    </sheetView>
  </sheetViews>
  <sheetFormatPr defaultColWidth="11.421875" defaultRowHeight="15"/>
  <cols>
    <col min="1" max="1" width="2.8515625" style="1" customWidth="1"/>
    <col min="2" max="2" width="19.421875" style="316" customWidth="1"/>
    <col min="3" max="3" width="17.8515625" style="53" customWidth="1"/>
    <col min="4" max="4" width="16.421875" style="53" customWidth="1"/>
    <col min="5" max="10" width="12.00390625" style="53" customWidth="1"/>
    <col min="11" max="12" width="11.421875" style="53" customWidth="1"/>
    <col min="13" max="13" width="31.57421875" style="53" customWidth="1"/>
    <col min="14" max="20" width="11.421875" style="53" customWidth="1"/>
    <col min="21" max="16384" width="11.421875" style="1" customWidth="1"/>
  </cols>
  <sheetData>
    <row r="1" spans="2:42" ht="17.45" customHeight="1">
      <c r="B1" s="315" t="s">
        <v>1031</v>
      </c>
      <c r="C1" s="302"/>
      <c r="D1" s="302"/>
      <c r="E1" s="314"/>
      <c r="F1" s="314"/>
      <c r="G1" s="314"/>
      <c r="H1" s="314"/>
      <c r="I1" s="314"/>
      <c r="J1" s="314"/>
      <c r="K1" s="53"/>
      <c r="L1" s="3" t="s">
        <v>695</v>
      </c>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row>
    <row r="2" ht="13.5" thickBot="1"/>
    <row r="3" spans="2:10" ht="15">
      <c r="B3" s="293" t="s">
        <v>1462</v>
      </c>
      <c r="C3" s="1258">
        <v>1</v>
      </c>
      <c r="D3" s="1258"/>
      <c r="E3" s="1258"/>
      <c r="F3" s="1258"/>
      <c r="G3" s="1258"/>
      <c r="H3" s="1258"/>
      <c r="I3" s="1258"/>
      <c r="J3" s="1259"/>
    </row>
    <row r="4" spans="2:13" ht="12.75">
      <c r="B4" s="305" t="s">
        <v>72</v>
      </c>
      <c r="C4" s="1293" t="s">
        <v>1474</v>
      </c>
      <c r="D4" s="1293"/>
      <c r="E4" s="1293"/>
      <c r="F4" s="1293"/>
      <c r="G4" s="1293"/>
      <c r="H4" s="1293"/>
      <c r="I4" s="1293"/>
      <c r="J4" s="1294"/>
      <c r="L4" s="1"/>
      <c r="M4" s="3"/>
    </row>
    <row r="5" spans="2:13" ht="12.75" customHeight="1">
      <c r="B5" s="305" t="s">
        <v>73</v>
      </c>
      <c r="C5" s="1227" t="s">
        <v>1568</v>
      </c>
      <c r="D5" s="1227"/>
      <c r="E5" s="1227"/>
      <c r="F5" s="1227"/>
      <c r="G5" s="1227"/>
      <c r="H5" s="1227"/>
      <c r="I5" s="1227"/>
      <c r="J5" s="1228"/>
      <c r="L5" s="3"/>
      <c r="M5" s="3"/>
    </row>
    <row r="6" spans="2:13" ht="15" customHeight="1">
      <c r="B6" s="305" t="s">
        <v>1010</v>
      </c>
      <c r="C6" s="1234" t="s">
        <v>1466</v>
      </c>
      <c r="D6" s="1234"/>
      <c r="E6" s="1234"/>
      <c r="F6" s="1234"/>
      <c r="G6" s="1234"/>
      <c r="H6" s="1234"/>
      <c r="I6" s="1234"/>
      <c r="J6" s="1235"/>
      <c r="L6" s="3"/>
      <c r="M6" s="3"/>
    </row>
    <row r="7" spans="2:13" ht="12.75">
      <c r="B7" s="305" t="s">
        <v>74</v>
      </c>
      <c r="C7" s="1162">
        <v>44858</v>
      </c>
      <c r="D7" s="1162"/>
      <c r="E7" s="1162"/>
      <c r="F7" s="1162"/>
      <c r="G7" s="1162"/>
      <c r="H7" s="1162"/>
      <c r="I7" s="1162"/>
      <c r="J7" s="1229"/>
      <c r="L7" s="3"/>
      <c r="M7" s="3"/>
    </row>
    <row r="8" spans="2:10" ht="24.75" customHeight="1" thickBot="1">
      <c r="B8" s="306" t="s">
        <v>75</v>
      </c>
      <c r="C8" s="1183" t="s">
        <v>1583</v>
      </c>
      <c r="D8" s="1183"/>
      <c r="E8" s="1183"/>
      <c r="F8" s="1183"/>
      <c r="G8" s="1183"/>
      <c r="H8" s="1183"/>
      <c r="I8" s="1183"/>
      <c r="J8" s="1184"/>
    </row>
    <row r="9" spans="2:3" ht="15">
      <c r="B9" s="317"/>
      <c r="C9" s="1"/>
    </row>
    <row r="10" spans="2:3" ht="18.75" customHeight="1">
      <c r="B10" s="308" t="s">
        <v>70</v>
      </c>
      <c r="C10" s="308" t="s">
        <v>249</v>
      </c>
    </row>
    <row r="11" spans="2:3" ht="15">
      <c r="B11" s="318" t="s">
        <v>142</v>
      </c>
      <c r="C11" s="467">
        <f>SUM(C12:C35)</f>
        <v>414401.30000000005</v>
      </c>
    </row>
    <row r="12" spans="2:3" ht="15">
      <c r="B12" s="81" t="s">
        <v>43</v>
      </c>
      <c r="C12" s="468">
        <f>+'IB 3C4_3C5'!E76</f>
        <v>52156</v>
      </c>
    </row>
    <row r="13" spans="2:3" ht="15">
      <c r="B13" s="81" t="s">
        <v>223</v>
      </c>
      <c r="C13" s="468">
        <f>+'IB 3C4_3C5'!E77</f>
        <v>5520</v>
      </c>
    </row>
    <row r="14" spans="2:3" ht="15">
      <c r="B14" s="81" t="s">
        <v>44</v>
      </c>
      <c r="C14" s="468">
        <f>+'IB 3C4_3C5'!E78</f>
        <v>0</v>
      </c>
    </row>
    <row r="15" spans="2:3" ht="15">
      <c r="B15" s="81" t="s">
        <v>45</v>
      </c>
      <c r="C15" s="468">
        <f>+'IB 3C4_3C5'!E79</f>
        <v>20147</v>
      </c>
    </row>
    <row r="16" spans="2:3" ht="15">
      <c r="B16" s="81" t="s">
        <v>46</v>
      </c>
      <c r="C16" s="468">
        <f>+'IB 3C4_3C5'!E80</f>
        <v>32</v>
      </c>
    </row>
    <row r="17" spans="2:3" ht="15">
      <c r="B17" s="81" t="s">
        <v>47</v>
      </c>
      <c r="C17" s="468">
        <f>+'IB 3C4_3C5'!E81</f>
        <v>22944</v>
      </c>
    </row>
    <row r="18" spans="2:3" ht="15">
      <c r="B18" s="81" t="s">
        <v>48</v>
      </c>
      <c r="C18" s="468">
        <f>+'IB 3C4_3C5'!E82</f>
        <v>1029</v>
      </c>
    </row>
    <row r="19" spans="2:3" ht="15">
      <c r="B19" s="81" t="s">
        <v>49</v>
      </c>
      <c r="C19" s="468">
        <f>+'IB 3C4_3C5'!E83</f>
        <v>0</v>
      </c>
    </row>
    <row r="20" spans="2:3" ht="15">
      <c r="B20" s="81" t="s">
        <v>50</v>
      </c>
      <c r="C20" s="468">
        <f>+'IB 3C4_3C5'!E84</f>
        <v>7518.5</v>
      </c>
    </row>
    <row r="21" spans="2:3" ht="15">
      <c r="B21" s="81" t="s">
        <v>51</v>
      </c>
      <c r="C21" s="468">
        <f>+'IB 3C4_3C5'!E85</f>
        <v>0</v>
      </c>
    </row>
    <row r="22" spans="2:3" ht="15">
      <c r="B22" s="81" t="s">
        <v>52</v>
      </c>
      <c r="C22" s="468">
        <f>+'IB 3C4_3C5'!E86</f>
        <v>663.15</v>
      </c>
    </row>
    <row r="23" spans="2:3" ht="15">
      <c r="B23" s="81" t="s">
        <v>53</v>
      </c>
      <c r="C23" s="468">
        <f>+'IB 3C4_3C5'!E87</f>
        <v>32621.5</v>
      </c>
    </row>
    <row r="24" spans="2:3" ht="15">
      <c r="B24" s="81" t="s">
        <v>54</v>
      </c>
      <c r="C24" s="468">
        <f>+'IB 3C4_3C5'!E88</f>
        <v>47936</v>
      </c>
    </row>
    <row r="25" spans="2:3" ht="15">
      <c r="B25" s="81" t="s">
        <v>55</v>
      </c>
      <c r="C25" s="468">
        <f>+'IB 3C4_3C5'!E89</f>
        <v>0</v>
      </c>
    </row>
    <row r="26" spans="2:3" ht="15">
      <c r="B26" s="81" t="s">
        <v>56</v>
      </c>
      <c r="C26" s="468">
        <f>+'IB 3C4_3C5'!E90</f>
        <v>35542</v>
      </c>
    </row>
    <row r="27" spans="2:3" ht="15">
      <c r="B27" s="81" t="s">
        <v>57</v>
      </c>
      <c r="C27" s="468">
        <f>+'IB 3C4_3C5'!E91</f>
        <v>2277.5</v>
      </c>
    </row>
    <row r="28" spans="2:3" ht="15">
      <c r="B28" s="81" t="s">
        <v>58</v>
      </c>
      <c r="C28" s="468">
        <f>+'IB 3C4_3C5'!E92</f>
        <v>0</v>
      </c>
    </row>
    <row r="29" spans="2:3" ht="15">
      <c r="B29" s="81" t="s">
        <v>59</v>
      </c>
      <c r="C29" s="469">
        <f>+'IB 3C4_3C5'!E93</f>
        <v>1261</v>
      </c>
    </row>
    <row r="30" spans="2:3" ht="15">
      <c r="B30" s="81" t="s">
        <v>60</v>
      </c>
      <c r="C30" s="469">
        <f>+'IB 3C4_3C5'!E94</f>
        <v>49199</v>
      </c>
    </row>
    <row r="31" spans="2:3" ht="15">
      <c r="B31" s="81" t="s">
        <v>61</v>
      </c>
      <c r="C31" s="469">
        <f>+'IB 3C4_3C5'!E95</f>
        <v>114</v>
      </c>
    </row>
    <row r="32" spans="2:3" ht="15">
      <c r="B32" s="81" t="s">
        <v>62</v>
      </c>
      <c r="C32" s="469">
        <f>+'IB 3C4_3C5'!E96</f>
        <v>101488</v>
      </c>
    </row>
    <row r="33" spans="2:3" ht="15">
      <c r="B33" s="81" t="s">
        <v>63</v>
      </c>
      <c r="C33" s="469">
        <f>+'IB 3C4_3C5'!E97</f>
        <v>0</v>
      </c>
    </row>
    <row r="34" spans="2:3" ht="15">
      <c r="B34" s="81" t="s">
        <v>64</v>
      </c>
      <c r="C34" s="469">
        <f>+'IB 3C4_3C5'!E98</f>
        <v>14232.65</v>
      </c>
    </row>
    <row r="35" spans="2:3" ht="15">
      <c r="B35" s="81" t="s">
        <v>65</v>
      </c>
      <c r="C35" s="469">
        <f>+'IB 3C4_3C5'!E99</f>
        <v>19720</v>
      </c>
    </row>
    <row r="36" ht="13.5" thickBot="1"/>
    <row r="37" spans="2:10" ht="15">
      <c r="B37" s="293" t="s">
        <v>1462</v>
      </c>
      <c r="C37" s="1258">
        <v>2</v>
      </c>
      <c r="D37" s="1258"/>
      <c r="E37" s="1258"/>
      <c r="F37" s="1258"/>
      <c r="G37" s="1258"/>
      <c r="H37" s="1258"/>
      <c r="I37" s="1258"/>
      <c r="J37" s="1259"/>
    </row>
    <row r="38" spans="2:20" ht="15" customHeight="1">
      <c r="B38" s="305" t="s">
        <v>72</v>
      </c>
      <c r="C38" s="1227" t="s">
        <v>1133</v>
      </c>
      <c r="D38" s="1227"/>
      <c r="E38" s="1227"/>
      <c r="F38" s="1227"/>
      <c r="G38" s="1227"/>
      <c r="H38" s="1227"/>
      <c r="I38" s="1227"/>
      <c r="J38" s="1228"/>
      <c r="L38" s="1"/>
      <c r="M38" s="1"/>
      <c r="N38" s="1"/>
      <c r="Q38" s="1"/>
      <c r="R38" s="1"/>
      <c r="S38" s="1"/>
      <c r="T38" s="1"/>
    </row>
    <row r="39" spans="2:20" ht="12.75" customHeight="1">
      <c r="B39" s="305" t="s">
        <v>73</v>
      </c>
      <c r="C39" s="1227" t="s">
        <v>1673</v>
      </c>
      <c r="D39" s="1227"/>
      <c r="E39" s="1227"/>
      <c r="F39" s="1227"/>
      <c r="G39" s="1227"/>
      <c r="H39" s="1227"/>
      <c r="I39" s="1227"/>
      <c r="J39" s="1228"/>
      <c r="L39" s="1"/>
      <c r="M39" s="1"/>
      <c r="N39" s="1"/>
      <c r="Q39" s="1"/>
      <c r="R39" s="1"/>
      <c r="S39" s="1"/>
      <c r="T39" s="1"/>
    </row>
    <row r="40" spans="2:20" ht="15">
      <c r="B40" s="305" t="s">
        <v>1010</v>
      </c>
      <c r="C40" s="1234" t="s">
        <v>1571</v>
      </c>
      <c r="D40" s="1234"/>
      <c r="E40" s="1234"/>
      <c r="F40" s="1234"/>
      <c r="G40" s="1234"/>
      <c r="H40" s="1234"/>
      <c r="I40" s="1234"/>
      <c r="J40" s="1235"/>
      <c r="L40" s="1"/>
      <c r="M40" s="1"/>
      <c r="N40" s="1"/>
      <c r="O40" s="1"/>
      <c r="P40" s="1"/>
      <c r="Q40" s="1"/>
      <c r="R40" s="1"/>
      <c r="S40" s="1"/>
      <c r="T40" s="1"/>
    </row>
    <row r="41" spans="2:20" ht="12.75" customHeight="1">
      <c r="B41" s="305" t="s">
        <v>74</v>
      </c>
      <c r="C41" s="1162"/>
      <c r="D41" s="1162"/>
      <c r="E41" s="1162"/>
      <c r="F41" s="1162"/>
      <c r="G41" s="1162"/>
      <c r="H41" s="1162"/>
      <c r="I41" s="1162"/>
      <c r="J41" s="1229"/>
      <c r="L41" s="1"/>
      <c r="M41" s="1"/>
      <c r="N41" s="1"/>
      <c r="Q41" s="1"/>
      <c r="R41" s="1"/>
      <c r="S41" s="1"/>
      <c r="T41" s="1"/>
    </row>
    <row r="42" spans="2:20" ht="25.5" customHeight="1" thickBot="1">
      <c r="B42" s="306" t="s">
        <v>75</v>
      </c>
      <c r="C42" s="1183" t="s">
        <v>1448</v>
      </c>
      <c r="D42" s="1183"/>
      <c r="E42" s="1183"/>
      <c r="F42" s="1183"/>
      <c r="G42" s="1183"/>
      <c r="H42" s="1183"/>
      <c r="I42" s="1183"/>
      <c r="J42" s="1184"/>
      <c r="L42" s="1"/>
      <c r="M42" s="1"/>
      <c r="N42" s="1"/>
      <c r="O42" s="1"/>
      <c r="P42" s="1"/>
      <c r="Q42" s="1"/>
      <c r="R42" s="1"/>
      <c r="S42" s="1"/>
      <c r="T42" s="1"/>
    </row>
    <row r="43" spans="2:20" ht="15">
      <c r="B43" s="53"/>
      <c r="L43" s="1"/>
      <c r="M43" s="1"/>
      <c r="N43" s="1"/>
      <c r="O43" s="1"/>
      <c r="P43" s="1"/>
      <c r="Q43" s="1"/>
      <c r="R43" s="1"/>
      <c r="S43" s="1"/>
      <c r="T43" s="1"/>
    </row>
    <row r="44" spans="2:20" ht="25.5">
      <c r="B44" s="291" t="s">
        <v>1134</v>
      </c>
      <c r="C44" s="291" t="s">
        <v>1135</v>
      </c>
      <c r="L44" s="1"/>
      <c r="M44" s="1"/>
      <c r="N44" s="1"/>
      <c r="O44" s="1"/>
      <c r="P44" s="1"/>
      <c r="Q44" s="1"/>
      <c r="R44" s="1"/>
      <c r="S44" s="1"/>
      <c r="T44" s="1"/>
    </row>
    <row r="45" spans="2:89" s="3" customFormat="1" ht="12.75" customHeight="1">
      <c r="B45" s="283" t="s">
        <v>359</v>
      </c>
      <c r="C45" s="459">
        <v>130</v>
      </c>
      <c r="D45" s="53"/>
      <c r="E45" s="53"/>
      <c r="F45" s="53"/>
      <c r="G45" s="53"/>
      <c r="H45" s="53"/>
      <c r="I45" s="53"/>
      <c r="J45" s="53"/>
      <c r="K45" s="53"/>
      <c r="L45" s="53"/>
      <c r="M45" s="53"/>
      <c r="N45" s="53"/>
      <c r="O45" s="1"/>
      <c r="P45" s="1"/>
      <c r="Q45" s="53"/>
      <c r="R45" s="53"/>
      <c r="S45" s="53"/>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row>
    <row r="46" spans="2:89" s="3" customFormat="1" ht="15">
      <c r="B46" s="283" t="s">
        <v>360</v>
      </c>
      <c r="C46" s="459">
        <v>130</v>
      </c>
      <c r="D46" s="53"/>
      <c r="E46" s="53"/>
      <c r="F46" s="53"/>
      <c r="G46" s="53"/>
      <c r="H46" s="53"/>
      <c r="I46" s="53"/>
      <c r="J46" s="53"/>
      <c r="K46" s="53"/>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row>
    <row r="47" spans="2:89" s="3" customFormat="1" ht="15">
      <c r="B47" s="283" t="s">
        <v>361</v>
      </c>
      <c r="C47" s="459">
        <v>139</v>
      </c>
      <c r="D47" s="53"/>
      <c r="E47" s="53"/>
      <c r="F47" s="53"/>
      <c r="G47" s="53"/>
      <c r="H47" s="53"/>
      <c r="I47" s="53"/>
      <c r="J47" s="53"/>
      <c r="K47" s="53"/>
      <c r="L47" s="53"/>
      <c r="M47" s="53"/>
      <c r="N47" s="53"/>
      <c r="O47" s="1"/>
      <c r="P47" s="1"/>
      <c r="Q47" s="53"/>
      <c r="R47" s="53"/>
      <c r="S47" s="53"/>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row>
    <row r="48" spans="2:89" s="3" customFormat="1" ht="15">
      <c r="B48" s="283" t="s">
        <v>362</v>
      </c>
      <c r="C48" s="459">
        <v>138</v>
      </c>
      <c r="D48" s="556"/>
      <c r="E48" s="53"/>
      <c r="F48" s="53"/>
      <c r="G48" s="53"/>
      <c r="H48" s="53"/>
      <c r="I48" s="53"/>
      <c r="J48" s="53"/>
      <c r="K48" s="53"/>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row>
    <row r="49" spans="2:20" ht="13.5" thickBot="1">
      <c r="B49" s="53"/>
      <c r="C49" s="232"/>
      <c r="D49" s="556"/>
      <c r="L49" s="1"/>
      <c r="M49" s="1"/>
      <c r="N49" s="1"/>
      <c r="O49" s="1"/>
      <c r="P49" s="1"/>
      <c r="Q49" s="1"/>
      <c r="R49" s="1"/>
      <c r="S49" s="1"/>
      <c r="T49" s="1"/>
    </row>
    <row r="50" spans="2:20" ht="15">
      <c r="B50" s="293" t="s">
        <v>1462</v>
      </c>
      <c r="C50" s="1258">
        <v>3</v>
      </c>
      <c r="D50" s="1258"/>
      <c r="E50" s="1258"/>
      <c r="F50" s="1258"/>
      <c r="G50" s="1258"/>
      <c r="H50" s="1258"/>
      <c r="I50" s="1258"/>
      <c r="J50" s="1259"/>
      <c r="L50" s="1"/>
      <c r="M50" s="1"/>
      <c r="N50" s="1"/>
      <c r="O50" s="1"/>
      <c r="P50" s="1"/>
      <c r="Q50" s="1"/>
      <c r="R50" s="1"/>
      <c r="S50" s="1"/>
      <c r="T50" s="1"/>
    </row>
    <row r="51" spans="2:20" ht="15" customHeight="1">
      <c r="B51" s="305" t="s">
        <v>72</v>
      </c>
      <c r="C51" s="1227" t="s">
        <v>1136</v>
      </c>
      <c r="D51" s="1227"/>
      <c r="E51" s="1227"/>
      <c r="F51" s="1227"/>
      <c r="G51" s="1227"/>
      <c r="H51" s="1227"/>
      <c r="I51" s="1227"/>
      <c r="J51" s="1228"/>
      <c r="L51" s="1"/>
      <c r="M51" s="1"/>
      <c r="N51" s="1"/>
      <c r="O51" s="1"/>
      <c r="P51" s="1"/>
      <c r="Q51" s="1"/>
      <c r="R51" s="1"/>
      <c r="S51" s="1"/>
      <c r="T51" s="1"/>
    </row>
    <row r="52" spans="2:20" ht="12.75" customHeight="1">
      <c r="B52" s="305" t="s">
        <v>73</v>
      </c>
      <c r="C52" s="1227" t="s">
        <v>1673</v>
      </c>
      <c r="D52" s="1227"/>
      <c r="E52" s="1227"/>
      <c r="F52" s="1227"/>
      <c r="G52" s="1227"/>
      <c r="H52" s="1227"/>
      <c r="I52" s="1227"/>
      <c r="J52" s="1228"/>
      <c r="L52" s="1"/>
      <c r="M52" s="1"/>
      <c r="N52" s="1"/>
      <c r="O52"/>
      <c r="P52"/>
      <c r="Q52" s="1"/>
      <c r="R52" s="1"/>
      <c r="S52" s="1"/>
      <c r="T52" s="1"/>
    </row>
    <row r="53" spans="2:20" ht="15">
      <c r="B53" s="305" t="s">
        <v>1010</v>
      </c>
      <c r="C53" s="1234" t="s">
        <v>1571</v>
      </c>
      <c r="D53" s="1234"/>
      <c r="E53" s="1234"/>
      <c r="F53" s="1234"/>
      <c r="G53" s="1234"/>
      <c r="H53" s="1234"/>
      <c r="I53" s="1234"/>
      <c r="J53" s="1235"/>
      <c r="L53" s="1"/>
      <c r="M53" s="1"/>
      <c r="N53" s="1"/>
      <c r="O53"/>
      <c r="P53"/>
      <c r="Q53" s="1"/>
      <c r="R53" s="1"/>
      <c r="S53" s="1"/>
      <c r="T53" s="1"/>
    </row>
    <row r="54" spans="2:20" ht="12.75" customHeight="1">
      <c r="B54" s="305" t="s">
        <v>74</v>
      </c>
      <c r="C54" s="1162"/>
      <c r="D54" s="1162"/>
      <c r="E54" s="1162"/>
      <c r="F54" s="1162"/>
      <c r="G54" s="1162"/>
      <c r="H54" s="1162"/>
      <c r="I54" s="1162"/>
      <c r="J54" s="1229"/>
      <c r="L54" s="1"/>
      <c r="M54" s="1"/>
      <c r="N54" s="1"/>
      <c r="O54"/>
      <c r="P54"/>
      <c r="Q54" s="1"/>
      <c r="R54" s="1"/>
      <c r="S54" s="1"/>
      <c r="T54" s="1"/>
    </row>
    <row r="55" spans="2:20" ht="28.5" customHeight="1" thickBot="1">
      <c r="B55" s="306" t="s">
        <v>75</v>
      </c>
      <c r="C55" s="1183" t="s">
        <v>1448</v>
      </c>
      <c r="D55" s="1183"/>
      <c r="E55" s="1183"/>
      <c r="F55" s="1183"/>
      <c r="G55" s="1183"/>
      <c r="H55" s="1183"/>
      <c r="I55" s="1183"/>
      <c r="J55" s="1184"/>
      <c r="L55" s="1"/>
      <c r="M55" s="1"/>
      <c r="N55" s="1"/>
      <c r="O55"/>
      <c r="P55"/>
      <c r="Q55" s="1"/>
      <c r="R55" s="1"/>
      <c r="S55" s="1"/>
      <c r="T55" s="1"/>
    </row>
    <row r="56" spans="2:20" ht="15">
      <c r="B56" s="53"/>
      <c r="L56" s="1"/>
      <c r="M56" s="1"/>
      <c r="N56" s="1"/>
      <c r="O56"/>
      <c r="P56"/>
      <c r="Q56" s="1"/>
      <c r="R56" s="1"/>
      <c r="S56" s="1"/>
      <c r="T56" s="1"/>
    </row>
    <row r="57" spans="2:20" ht="15" customHeight="1">
      <c r="B57" s="1284" t="s">
        <v>1138</v>
      </c>
      <c r="C57" s="1285"/>
      <c r="D57" s="1286"/>
      <c r="E57" s="1238" t="s">
        <v>1137</v>
      </c>
      <c r="F57" s="1238"/>
      <c r="G57" s="1238"/>
      <c r="H57" s="1238"/>
      <c r="L57" s="1"/>
      <c r="M57" s="1"/>
      <c r="N57" s="1"/>
      <c r="O57"/>
      <c r="P57"/>
      <c r="Q57" s="1"/>
      <c r="R57" s="1"/>
      <c r="S57" s="1"/>
      <c r="T57" s="1"/>
    </row>
    <row r="58" spans="2:89" ht="15">
      <c r="B58" s="1287"/>
      <c r="C58" s="1288"/>
      <c r="D58" s="1289"/>
      <c r="E58" s="291" t="s">
        <v>359</v>
      </c>
      <c r="F58" s="291" t="s">
        <v>360</v>
      </c>
      <c r="G58" s="291" t="s">
        <v>361</v>
      </c>
      <c r="H58" s="291" t="s">
        <v>362</v>
      </c>
      <c r="I58" s="53"/>
      <c r="J58" s="53"/>
      <c r="L58" s="1"/>
      <c r="M58" s="1"/>
      <c r="N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row>
    <row r="59" spans="2:89" ht="15" customHeight="1">
      <c r="B59" s="1290" t="s">
        <v>332</v>
      </c>
      <c r="C59" s="1291"/>
      <c r="D59" s="1292"/>
      <c r="E59" s="948">
        <v>0</v>
      </c>
      <c r="F59" s="948">
        <v>0</v>
      </c>
      <c r="G59" s="948">
        <v>0</v>
      </c>
      <c r="H59" s="948">
        <v>0</v>
      </c>
      <c r="I59" s="53"/>
      <c r="J59" s="53"/>
      <c r="M59" s="1"/>
      <c r="N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row>
    <row r="60" spans="2:89" ht="15">
      <c r="B60" s="1280" t="s">
        <v>333</v>
      </c>
      <c r="C60" s="1283" t="s">
        <v>334</v>
      </c>
      <c r="D60" s="1283"/>
      <c r="E60" s="949">
        <v>0.45</v>
      </c>
      <c r="F60" s="949">
        <v>0.5</v>
      </c>
      <c r="G60" s="949">
        <v>0.34</v>
      </c>
      <c r="H60" s="949">
        <v>0.5</v>
      </c>
      <c r="I60" s="53"/>
      <c r="J60" s="53"/>
      <c r="M60" s="1"/>
      <c r="N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row>
    <row r="61" spans="2:89" ht="15">
      <c r="B61" s="1281"/>
      <c r="C61" s="1283" t="s">
        <v>335</v>
      </c>
      <c r="D61" s="458" t="s">
        <v>336</v>
      </c>
      <c r="E61" s="949">
        <v>0.017</v>
      </c>
      <c r="F61" s="949">
        <v>0</v>
      </c>
      <c r="G61" s="949">
        <v>0.078</v>
      </c>
      <c r="H61" s="949">
        <v>0</v>
      </c>
      <c r="I61" s="53"/>
      <c r="J61" s="53"/>
      <c r="M61" s="1"/>
      <c r="N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row>
    <row r="62" spans="2:89" ht="15">
      <c r="B62" s="1282"/>
      <c r="C62" s="1283"/>
      <c r="D62" s="458" t="s">
        <v>337</v>
      </c>
      <c r="E62" s="949">
        <v>0.53</v>
      </c>
      <c r="F62" s="949">
        <v>0.5</v>
      </c>
      <c r="G62" s="949">
        <v>0.58</v>
      </c>
      <c r="H62" s="949">
        <v>0.5</v>
      </c>
      <c r="I62" s="53"/>
      <c r="J62" s="53"/>
      <c r="M62" s="1"/>
      <c r="N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row>
    <row r="63" spans="2:19" ht="15">
      <c r="B63" s="1280" t="s">
        <v>338</v>
      </c>
      <c r="C63" s="1283" t="s">
        <v>308</v>
      </c>
      <c r="D63" s="1283"/>
      <c r="E63" s="949">
        <v>0.008</v>
      </c>
      <c r="F63" s="949">
        <v>0</v>
      </c>
      <c r="G63" s="949">
        <v>0</v>
      </c>
      <c r="H63" s="949">
        <v>0</v>
      </c>
      <c r="I63" s="53"/>
      <c r="J63" s="53"/>
      <c r="M63" s="1"/>
      <c r="N63" s="1"/>
      <c r="Q63" s="1"/>
      <c r="R63" s="1"/>
      <c r="S63" s="1"/>
    </row>
    <row r="64" spans="2:19" ht="15" customHeight="1">
      <c r="B64" s="1282"/>
      <c r="C64" s="1283" t="s">
        <v>309</v>
      </c>
      <c r="D64" s="1283"/>
      <c r="E64" s="949">
        <v>0</v>
      </c>
      <c r="F64" s="949">
        <v>0</v>
      </c>
      <c r="G64" s="949">
        <v>0</v>
      </c>
      <c r="H64" s="949">
        <v>0</v>
      </c>
      <c r="I64" s="53"/>
      <c r="J64" s="53"/>
      <c r="M64" s="1"/>
      <c r="N64" s="1"/>
      <c r="Q64" s="1"/>
      <c r="R64" s="1"/>
      <c r="S64" s="1"/>
    </row>
    <row r="65" spans="2:19" ht="15">
      <c r="B65" s="1280" t="s">
        <v>310</v>
      </c>
      <c r="C65" s="1283" t="s">
        <v>339</v>
      </c>
      <c r="D65" s="1283"/>
      <c r="E65" s="949">
        <v>0</v>
      </c>
      <c r="F65" s="949">
        <v>0</v>
      </c>
      <c r="G65" s="949">
        <v>0</v>
      </c>
      <c r="H65" s="949">
        <v>0</v>
      </c>
      <c r="I65" s="53"/>
      <c r="J65" s="53"/>
      <c r="M65" s="1"/>
      <c r="N65" s="1"/>
      <c r="Q65" s="1"/>
      <c r="R65" s="1"/>
      <c r="S65" s="1"/>
    </row>
    <row r="66" spans="2:19" ht="15">
      <c r="B66" s="1282"/>
      <c r="C66" s="1283" t="s">
        <v>340</v>
      </c>
      <c r="D66" s="1283"/>
      <c r="E66" s="949">
        <v>0</v>
      </c>
      <c r="F66" s="949">
        <v>0</v>
      </c>
      <c r="G66" s="949">
        <v>0</v>
      </c>
      <c r="H66" s="949">
        <v>0</v>
      </c>
      <c r="I66" s="53"/>
      <c r="J66" s="53"/>
      <c r="M66" s="1"/>
      <c r="N66" s="1"/>
      <c r="Q66" s="1"/>
      <c r="R66" s="1"/>
      <c r="S66" s="1"/>
    </row>
    <row r="67" spans="13:19" ht="15">
      <c r="M67" s="1"/>
      <c r="N67" s="1"/>
      <c r="O67"/>
      <c r="P67"/>
      <c r="Q67" s="1"/>
      <c r="R67" s="1"/>
      <c r="S67" s="1"/>
    </row>
    <row r="68" spans="13:19" ht="15">
      <c r="M68" s="1"/>
      <c r="N68" s="1"/>
      <c r="O68"/>
      <c r="P68"/>
      <c r="Q68" s="1"/>
      <c r="R68" s="1"/>
      <c r="S68" s="1"/>
    </row>
  </sheetData>
  <mergeCells count="30">
    <mergeCell ref="C3:J3"/>
    <mergeCell ref="C37:J37"/>
    <mergeCell ref="C50:J50"/>
    <mergeCell ref="B60:B62"/>
    <mergeCell ref="B65:B66"/>
    <mergeCell ref="C65:D65"/>
    <mergeCell ref="C66:D66"/>
    <mergeCell ref="B57:D58"/>
    <mergeCell ref="B59:D59"/>
    <mergeCell ref="C63:D63"/>
    <mergeCell ref="C64:D64"/>
    <mergeCell ref="C61:C62"/>
    <mergeCell ref="B63:B64"/>
    <mergeCell ref="C60:D60"/>
    <mergeCell ref="E57:H57"/>
    <mergeCell ref="C4:J4"/>
    <mergeCell ref="C5:J5"/>
    <mergeCell ref="C6:J6"/>
    <mergeCell ref="C7:J7"/>
    <mergeCell ref="C8:J8"/>
    <mergeCell ref="C38:J38"/>
    <mergeCell ref="C39:J39"/>
    <mergeCell ref="C40:J40"/>
    <mergeCell ref="C41:J41"/>
    <mergeCell ref="C42:J42"/>
    <mergeCell ref="C55:J55"/>
    <mergeCell ref="C51:J51"/>
    <mergeCell ref="C52:J52"/>
    <mergeCell ref="C53:J53"/>
    <mergeCell ref="C54:J54"/>
  </mergeCells>
  <hyperlinks>
    <hyperlink ref="C6" r:id="rId1" display="https://siea.midagri.gob.pe/portal/publicacion/boletines-anuales/4-agricola"/>
  </hyperlinks>
  <printOptions/>
  <pageMargins left="0.7" right="0.7" top="0.75" bottom="0.75" header="0.3" footer="0.3"/>
  <pageSetup horizontalDpi="600" verticalDpi="600" orientation="portrait" r:id="rId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36699"/>
  </sheetPr>
  <dimension ref="B1:AS177"/>
  <sheetViews>
    <sheetView workbookViewId="0" topLeftCell="A157">
      <selection activeCell="F110" sqref="F110"/>
    </sheetView>
  </sheetViews>
  <sheetFormatPr defaultColWidth="10.8515625" defaultRowHeight="15"/>
  <cols>
    <col min="1" max="1" width="2.421875" style="0" customWidth="1"/>
    <col min="2" max="2" width="17.140625" style="53" customWidth="1"/>
    <col min="3" max="3" width="18.140625" style="171" customWidth="1"/>
    <col min="4" max="4" width="18.7109375" style="171" bestFit="1" customWidth="1"/>
    <col min="5" max="5" width="17.140625" style="171" bestFit="1" customWidth="1"/>
    <col min="6" max="6" width="13.421875" style="171" bestFit="1" customWidth="1"/>
    <col min="7" max="7" width="12.421875" style="171" bestFit="1" customWidth="1"/>
    <col min="8" max="8" width="11.8515625" style="171" bestFit="1" customWidth="1"/>
    <col min="9" max="9" width="12.421875" style="171" bestFit="1" customWidth="1"/>
    <col min="10" max="10" width="12.140625" style="171" bestFit="1" customWidth="1"/>
    <col min="11" max="11" width="13.8515625" style="171" bestFit="1" customWidth="1"/>
    <col min="12" max="12" width="12.8515625" style="171" bestFit="1" customWidth="1"/>
    <col min="13" max="13" width="13.28125" style="53" bestFit="1" customWidth="1"/>
    <col min="14" max="14" width="12.28125" style="53" bestFit="1" customWidth="1"/>
    <col min="15" max="30" width="10.8515625" style="53" customWidth="1"/>
  </cols>
  <sheetData>
    <row r="1" spans="14:30" ht="15">
      <c r="N1" t="s">
        <v>695</v>
      </c>
      <c r="AC1"/>
      <c r="AD1"/>
    </row>
    <row r="2" spans="2:42" ht="17.45" customHeight="1">
      <c r="B2" s="302" t="s">
        <v>1061</v>
      </c>
      <c r="C2" s="1065"/>
      <c r="D2" s="1065"/>
      <c r="E2" s="1065"/>
      <c r="F2" s="1065"/>
      <c r="G2" s="1065"/>
      <c r="H2" s="1065"/>
      <c r="I2" s="1065"/>
      <c r="J2" s="1065"/>
      <c r="K2" s="1065"/>
      <c r="L2" s="1065"/>
      <c r="AE2" s="53"/>
      <c r="AF2" s="53"/>
      <c r="AG2" s="53"/>
      <c r="AH2" s="53"/>
      <c r="AI2" s="53"/>
      <c r="AJ2" s="53"/>
      <c r="AK2" s="53"/>
      <c r="AL2" s="53"/>
      <c r="AM2" s="53"/>
      <c r="AN2" s="53"/>
      <c r="AO2" s="53"/>
      <c r="AP2" s="53"/>
    </row>
    <row r="3" spans="2:30" ht="15">
      <c r="B3" s="63"/>
      <c r="C3" s="982"/>
      <c r="D3" s="982"/>
      <c r="E3" s="982"/>
      <c r="F3" s="982"/>
      <c r="G3" s="982"/>
      <c r="H3" s="982"/>
      <c r="I3" s="982"/>
      <c r="J3" s="982"/>
      <c r="K3" s="982"/>
      <c r="AC3"/>
      <c r="AD3"/>
    </row>
    <row r="4" spans="2:45" ht="15">
      <c r="B4" s="303" t="s">
        <v>1062</v>
      </c>
      <c r="C4" s="1066"/>
      <c r="D4" s="1066"/>
      <c r="E4" s="1066"/>
      <c r="F4" s="1066"/>
      <c r="G4" s="1066"/>
      <c r="H4" s="1066"/>
      <c r="I4" s="1066"/>
      <c r="J4" s="1066"/>
      <c r="K4" s="1066"/>
      <c r="L4" s="1066"/>
      <c r="AE4" s="53"/>
      <c r="AF4" s="53"/>
      <c r="AG4" s="53"/>
      <c r="AH4" s="53"/>
      <c r="AI4" s="53"/>
      <c r="AJ4" s="53"/>
      <c r="AK4" s="53"/>
      <c r="AL4" s="53"/>
      <c r="AM4" s="53"/>
      <c r="AN4" s="53"/>
      <c r="AO4" s="53"/>
      <c r="AP4" s="53"/>
      <c r="AQ4" s="53"/>
      <c r="AR4" s="53"/>
      <c r="AS4" s="53"/>
    </row>
    <row r="5" spans="2:13" ht="12.75">
      <c r="B5" s="1297"/>
      <c r="C5" s="1297"/>
      <c r="D5" s="1297"/>
      <c r="E5" s="1297"/>
      <c r="F5" s="1297"/>
      <c r="G5" s="1297"/>
      <c r="H5" s="1297"/>
      <c r="I5" s="1297"/>
      <c r="J5" s="1297"/>
      <c r="K5" s="1297"/>
      <c r="L5" s="1297"/>
      <c r="M5" s="80"/>
    </row>
    <row r="6" spans="2:13" ht="12.75">
      <c r="B6" s="1224" t="s">
        <v>35</v>
      </c>
      <c r="C6" s="1312" t="s">
        <v>1080</v>
      </c>
      <c r="D6" s="1312"/>
      <c r="E6" s="1312"/>
      <c r="F6" s="1312"/>
      <c r="G6" s="1312"/>
      <c r="H6" s="1312"/>
      <c r="I6" s="1312"/>
      <c r="J6" s="1312"/>
      <c r="K6" s="1312"/>
      <c r="L6" s="1312"/>
      <c r="M6" s="80"/>
    </row>
    <row r="7" spans="2:12" ht="25.5">
      <c r="B7" s="1224"/>
      <c r="C7" s="1067" t="s">
        <v>42</v>
      </c>
      <c r="D7" s="1067" t="s">
        <v>40</v>
      </c>
      <c r="E7" s="1067" t="s">
        <v>39</v>
      </c>
      <c r="F7" s="1067" t="s">
        <v>66</v>
      </c>
      <c r="G7" s="1067" t="s">
        <v>109</v>
      </c>
      <c r="H7" s="1067" t="s">
        <v>41</v>
      </c>
      <c r="I7" s="1067" t="s">
        <v>37</v>
      </c>
      <c r="J7" s="1067" t="s">
        <v>38</v>
      </c>
      <c r="K7" s="1067" t="s">
        <v>36</v>
      </c>
      <c r="L7" s="1067" t="s">
        <v>68</v>
      </c>
    </row>
    <row r="8" spans="2:12" ht="15">
      <c r="B8" s="354" t="s">
        <v>69</v>
      </c>
      <c r="C8" s="1068">
        <f aca="true" t="shared" si="0" ref="C8:L8">SUM(C9:C32)</f>
        <v>5599893</v>
      </c>
      <c r="D8" s="1068">
        <f>SUM(D9:D32)</f>
        <v>11371639</v>
      </c>
      <c r="E8" s="1068">
        <f t="shared" si="0"/>
        <v>1801882</v>
      </c>
      <c r="F8" s="1068">
        <f t="shared" si="0"/>
        <v>478241.719092125</v>
      </c>
      <c r="G8" s="1068">
        <f t="shared" si="0"/>
        <v>541066.206435821</v>
      </c>
      <c r="H8" s="1068">
        <f t="shared" si="0"/>
        <v>940552.0273972602</v>
      </c>
      <c r="I8" s="1068">
        <f t="shared" si="0"/>
        <v>4456049</v>
      </c>
      <c r="J8" s="1068">
        <f t="shared" si="0"/>
        <v>1095921</v>
      </c>
      <c r="K8" s="1068">
        <f t="shared" si="0"/>
        <v>52662900.840135574</v>
      </c>
      <c r="L8" s="1068">
        <f t="shared" si="0"/>
        <v>3971222.8514355808</v>
      </c>
    </row>
    <row r="9" spans="2:12" ht="15">
      <c r="B9" s="72" t="s">
        <v>43</v>
      </c>
      <c r="C9" s="470">
        <f>'IB 3A1_3A2_3C6'!I16</f>
        <v>247855</v>
      </c>
      <c r="D9" s="470">
        <f>'IB 3A1_3A2_3C6'!G16</f>
        <v>23047</v>
      </c>
      <c r="E9" s="470">
        <f>'IB 3A1_3A2_3C6'!F16</f>
        <v>13975</v>
      </c>
      <c r="F9" s="470">
        <f>'IB 3A1_3A2_3C6'!C51</f>
        <v>25615.077959647682</v>
      </c>
      <c r="G9" s="470">
        <f>'IB 3A1_3A2_3C6'!D51</f>
        <v>9408.722519228751</v>
      </c>
      <c r="H9" s="470">
        <f>'IB 3A1_3A2_3C6'!H16*'IB 3A1_3A2_3C6'!$C$172/365</f>
        <v>25340.95890410959</v>
      </c>
      <c r="I9" s="476">
        <f>'IB 3A1_3A2_3C6'!D16</f>
        <v>0</v>
      </c>
      <c r="J9" s="476">
        <f>'IB 3A1_3A2_3C6'!E16</f>
        <v>0</v>
      </c>
      <c r="K9" s="470">
        <f>'IB 3A1_3A2_3C6'!C16*('IB 3A1_3A2_3C6'!$C$185*'IB 3A1_3A2_3C6'!$C$173/365+'IB 3A1_3A2_3C6'!$C$186+'IB 3A1_3A2_3C6'!$C$187+'IB 3A1_3A2_3C6'!$C$189*'IB 3A1_3A2_3C6'!$C$174/365+'IB 3A1_3A2_3C6'!$C$190)</f>
        <v>477853.9274961164</v>
      </c>
      <c r="L9" s="470">
        <f>'IB 3A1_3A2_3C6'!E51*'IB 3A1_3A2_3C6'!$C$175/365</f>
        <v>94608.64578825832</v>
      </c>
    </row>
    <row r="10" spans="2:12" ht="15">
      <c r="B10" s="72" t="s">
        <v>223</v>
      </c>
      <c r="C10" s="470">
        <f>'IB 3A1_3A2_3C6'!I17</f>
        <v>306065</v>
      </c>
      <c r="D10" s="470">
        <f>'IB 3A1_3A2_3C6'!G17</f>
        <v>671829</v>
      </c>
      <c r="E10" s="470">
        <f>'IB 3A1_3A2_3C6'!F17</f>
        <v>169697</v>
      </c>
      <c r="F10" s="470">
        <f>'IB 3A1_3A2_3C6'!C52</f>
        <v>37856.28055453067</v>
      </c>
      <c r="G10" s="470">
        <f>'IB 3A1_3A2_3C6'!D52</f>
        <v>74674.60345095719</v>
      </c>
      <c r="H10" s="470">
        <f>'IB 3A1_3A2_3C6'!H17*'IB 3A1_3A2_3C6'!$C$172/365</f>
        <v>49329</v>
      </c>
      <c r="I10" s="476">
        <f>'IB 3A1_3A2_3C6'!D17</f>
        <v>10200</v>
      </c>
      <c r="J10" s="476">
        <f>'IB 3A1_3A2_3C6'!E17</f>
        <v>0</v>
      </c>
      <c r="K10" s="470">
        <f>'IB 3A1_3A2_3C6'!C17*('IB 3A1_3A2_3C6'!$C$185*'IB 3A1_3A2_3C6'!$C$173/365+'IB 3A1_3A2_3C6'!$C$186+'IB 3A1_3A2_3C6'!$C$187+'IB 3A1_3A2_3C6'!$C$189*'IB 3A1_3A2_3C6'!$C$174/365+'IB 3A1_3A2_3C6'!$C$190)</f>
        <v>824473.8496257591</v>
      </c>
      <c r="L10" s="470">
        <f>'IB 3A1_3A2_3C6'!E52*'IB 3A1_3A2_3C6'!$C$175/365</f>
        <v>532565.1894486242</v>
      </c>
    </row>
    <row r="11" spans="2:12" ht="15">
      <c r="B11" s="72" t="s">
        <v>44</v>
      </c>
      <c r="C11" s="470">
        <f>'IB 3A1_3A2_3C6'!I18</f>
        <v>296567</v>
      </c>
      <c r="D11" s="470">
        <f>'IB 3A1_3A2_3C6'!G18</f>
        <v>456405</v>
      </c>
      <c r="E11" s="470">
        <f>'IB 3A1_3A2_3C6'!F18</f>
        <v>109518</v>
      </c>
      <c r="F11" s="470">
        <f>'IB 3A1_3A2_3C6'!C53</f>
        <v>77426.97075067766</v>
      </c>
      <c r="G11" s="470">
        <f>'IB 3A1_3A2_3C6'!D53</f>
        <v>9867.788047153295</v>
      </c>
      <c r="H11" s="470">
        <f>'IB 3A1_3A2_3C6'!H18*'IB 3A1_3A2_3C6'!$C$172/365</f>
        <v>38270.77397260274</v>
      </c>
      <c r="I11" s="476">
        <f>'IB 3A1_3A2_3C6'!D18</f>
        <v>215340</v>
      </c>
      <c r="J11" s="476">
        <f>'IB 3A1_3A2_3C6'!E18</f>
        <v>72611</v>
      </c>
      <c r="K11" s="470">
        <f>'IB 3A1_3A2_3C6'!C18*('IB 3A1_3A2_3C6'!$C$185*'IB 3A1_3A2_3C6'!$C$173/365+'IB 3A1_3A2_3C6'!$C$186+'IB 3A1_3A2_3C6'!$C$187+'IB 3A1_3A2_3C6'!$C$189*'IB 3A1_3A2_3C6'!$C$174/365+'IB 3A1_3A2_3C6'!$C$190)</f>
        <v>96994.10515463918</v>
      </c>
      <c r="L11" s="470">
        <f>'IB 3A1_3A2_3C6'!E53*'IB 3A1_3A2_3C6'!$C$175/365</f>
        <v>337616.6766878263</v>
      </c>
    </row>
    <row r="12" spans="2:12" ht="15">
      <c r="B12" s="72" t="s">
        <v>45</v>
      </c>
      <c r="C12" s="470">
        <f>'IB 3A1_3A2_3C6'!I19</f>
        <v>212744</v>
      </c>
      <c r="D12" s="470">
        <f>'IB 3A1_3A2_3C6'!G19</f>
        <v>188221</v>
      </c>
      <c r="E12" s="470">
        <f>'IB 3A1_3A2_3C6'!F19</f>
        <v>16611</v>
      </c>
      <c r="F12" s="470">
        <f>'IB 3A1_3A2_3C6'!C54</f>
        <v>7099.007884987785</v>
      </c>
      <c r="G12" s="470">
        <f>'IB 3A1_3A2_3C6'!D54</f>
        <v>16670.757714447962</v>
      </c>
      <c r="H12" s="470">
        <f>'IB 3A1_3A2_3C6'!H19*'IB 3A1_3A2_3C6'!$C$172/365</f>
        <v>30815.342465753423</v>
      </c>
      <c r="I12" s="476">
        <f>'IB 3A1_3A2_3C6'!D19</f>
        <v>430134</v>
      </c>
      <c r="J12" s="476">
        <f>'IB 3A1_3A2_3C6'!E19</f>
        <v>88209</v>
      </c>
      <c r="K12" s="470">
        <f>'IB 3A1_3A2_3C6'!C19*('IB 3A1_3A2_3C6'!$C$185*'IB 3A1_3A2_3C6'!$C$173/365+'IB 3A1_3A2_3C6'!$C$186+'IB 3A1_3A2_3C6'!$C$187+'IB 3A1_3A2_3C6'!$C$189*'IB 3A1_3A2_3C6'!$C$174/365+'IB 3A1_3A2_3C6'!$C$190)</f>
        <v>5369420.47806807</v>
      </c>
      <c r="L12" s="470">
        <f>'IB 3A1_3A2_3C6'!E54*'IB 3A1_3A2_3C6'!$C$175/365</f>
        <v>133709.42833887367</v>
      </c>
    </row>
    <row r="13" spans="2:12" ht="15">
      <c r="B13" s="72" t="s">
        <v>46</v>
      </c>
      <c r="C13" s="470">
        <f>'IB 3A1_3A2_3C6'!I20</f>
        <v>453426</v>
      </c>
      <c r="D13" s="470">
        <f>'IB 3A1_3A2_3C6'!G20</f>
        <v>617461</v>
      </c>
      <c r="E13" s="470">
        <f>'IB 3A1_3A2_3C6'!F20</f>
        <v>192115</v>
      </c>
      <c r="F13" s="470">
        <f>'IB 3A1_3A2_3C6'!C55</f>
        <v>31550.383273089355</v>
      </c>
      <c r="G13" s="470">
        <f>'IB 3A1_3A2_3C6'!D55</f>
        <v>34774.37916881522</v>
      </c>
      <c r="H13" s="470">
        <f>'IB 3A1_3A2_3C6'!H20*'IB 3A1_3A2_3C6'!$C$172/365</f>
        <v>34075.808219178085</v>
      </c>
      <c r="I13" s="476">
        <f>'IB 3A1_3A2_3C6'!D20</f>
        <v>309833</v>
      </c>
      <c r="J13" s="476">
        <f>'IB 3A1_3A2_3C6'!E20</f>
        <v>79754</v>
      </c>
      <c r="K13" s="470">
        <f>'IB 3A1_3A2_3C6'!C20*('IB 3A1_3A2_3C6'!$C$185*'IB 3A1_3A2_3C6'!$C$173/365+'IB 3A1_3A2_3C6'!$C$186+'IB 3A1_3A2_3C6'!$C$187+'IB 3A1_3A2_3C6'!$C$189*'IB 3A1_3A2_3C6'!$C$174/365+'IB 3A1_3A2_3C6'!$C$190)</f>
        <v>208090.19790989973</v>
      </c>
      <c r="L13" s="470">
        <f>'IB 3A1_3A2_3C6'!E55*'IB 3A1_3A2_3C6'!$C$175/365</f>
        <v>185053.87502441744</v>
      </c>
    </row>
    <row r="14" spans="2:12" ht="15">
      <c r="B14" s="72" t="s">
        <v>47</v>
      </c>
      <c r="C14" s="470">
        <f>'IB 3A1_3A2_3C6'!I21</f>
        <v>655840</v>
      </c>
      <c r="D14" s="470">
        <f>'IB 3A1_3A2_3C6'!G21</f>
        <v>480072</v>
      </c>
      <c r="E14" s="470">
        <f>'IB 3A1_3A2_3C6'!F21</f>
        <v>107350</v>
      </c>
      <c r="F14" s="470">
        <f>'IB 3A1_3A2_3C6'!C56</f>
        <v>37064.52473953978</v>
      </c>
      <c r="G14" s="470">
        <f>'IB 3A1_3A2_3C6'!D56</f>
        <v>72778.5231095049</v>
      </c>
      <c r="H14" s="470">
        <f>'IB 3A1_3A2_3C6'!H21*'IB 3A1_3A2_3C6'!$C$172/365</f>
        <v>82921.80821917808</v>
      </c>
      <c r="I14" s="476">
        <f>'IB 3A1_3A2_3C6'!D21</f>
        <v>1190</v>
      </c>
      <c r="J14" s="476">
        <f>'IB 3A1_3A2_3C6'!E21</f>
        <v>0</v>
      </c>
      <c r="K14" s="470">
        <f>'IB 3A1_3A2_3C6'!C21*('IB 3A1_3A2_3C6'!$C$185*'IB 3A1_3A2_3C6'!$C$173/365+'IB 3A1_3A2_3C6'!$C$186+'IB 3A1_3A2_3C6'!$C$187+'IB 3A1_3A2_3C6'!$C$189*'IB 3A1_3A2_3C6'!$C$174/365+'IB 3A1_3A2_3C6'!$C$190)</f>
        <v>272593.3336534388</v>
      </c>
      <c r="L14" s="470">
        <f>'IB 3A1_3A2_3C6'!E56*'IB 3A1_3A2_3C6'!$C$175/365</f>
        <v>781635.3814956513</v>
      </c>
    </row>
    <row r="15" spans="2:12" ht="15">
      <c r="B15" s="72" t="s">
        <v>48</v>
      </c>
      <c r="C15" s="470">
        <f>'IB 3A1_3A2_3C6'!I22</f>
        <v>439168</v>
      </c>
      <c r="D15" s="470">
        <f>'IB 3A1_3A2_3C6'!G22</f>
        <v>1443471</v>
      </c>
      <c r="E15" s="470">
        <f>'IB 3A1_3A2_3C6'!F22</f>
        <v>34907</v>
      </c>
      <c r="F15" s="470">
        <f>'IB 3A1_3A2_3C6'!C57</f>
        <v>58571.872552577224</v>
      </c>
      <c r="G15" s="470">
        <f>'IB 3A1_3A2_3C6'!D57</f>
        <v>39727.49450796316</v>
      </c>
      <c r="H15" s="470">
        <f>'IB 3A1_3A2_3C6'!H22*'IB 3A1_3A2_3C6'!$C$172/365</f>
        <v>36746.54794520548</v>
      </c>
      <c r="I15" s="476">
        <f>'IB 3A1_3A2_3C6'!D22</f>
        <v>669365</v>
      </c>
      <c r="J15" s="476">
        <f>'IB 3A1_3A2_3C6'!E22</f>
        <v>150801</v>
      </c>
      <c r="K15" s="470">
        <f>'IB 3A1_3A2_3C6'!C22*('IB 3A1_3A2_3C6'!$C$185*'IB 3A1_3A2_3C6'!$C$173/365+'IB 3A1_3A2_3C6'!$C$186+'IB 3A1_3A2_3C6'!$C$187+'IB 3A1_3A2_3C6'!$C$189*'IB 3A1_3A2_3C6'!$C$174/365+'IB 3A1_3A2_3C6'!$C$190)</f>
        <v>376177.94867956504</v>
      </c>
      <c r="L15" s="470">
        <f>'IB 3A1_3A2_3C6'!E57*'IB 3A1_3A2_3C6'!$C$175/365</f>
        <v>551387.8059688923</v>
      </c>
    </row>
    <row r="16" spans="2:12" ht="15">
      <c r="B16" s="72" t="s">
        <v>49</v>
      </c>
      <c r="C16" s="470">
        <f>'IB 3A1_3A2_3C6'!I23</f>
        <v>182010</v>
      </c>
      <c r="D16" s="470">
        <f>'IB 3A1_3A2_3C6'!G23</f>
        <v>625574</v>
      </c>
      <c r="E16" s="470">
        <f>'IB 3A1_3A2_3C6'!F23</f>
        <v>181228</v>
      </c>
      <c r="F16" s="470">
        <f>'IB 3A1_3A2_3C6'!C58</f>
        <v>18583.956095116257</v>
      </c>
      <c r="G16" s="470">
        <f>'IB 3A1_3A2_3C6'!D58</f>
        <v>14725.932336110338</v>
      </c>
      <c r="H16" s="470">
        <f>'IB 3A1_3A2_3C6'!H23*'IB 3A1_3A2_3C6'!$C$172/365</f>
        <v>45321.16438356164</v>
      </c>
      <c r="I16" s="476">
        <f>'IB 3A1_3A2_3C6'!D23</f>
        <v>270053</v>
      </c>
      <c r="J16" s="476">
        <f>'IB 3A1_3A2_3C6'!E23</f>
        <v>131322</v>
      </c>
      <c r="K16" s="470">
        <f>'IB 3A1_3A2_3C6'!C23*('IB 3A1_3A2_3C6'!$C$185*'IB 3A1_3A2_3C6'!$C$173/365+'IB 3A1_3A2_3C6'!$C$186+'IB 3A1_3A2_3C6'!$C$187+'IB 3A1_3A2_3C6'!$C$189*'IB 3A1_3A2_3C6'!$C$174/365+'IB 3A1_3A2_3C6'!$C$190)</f>
        <v>121824.85160288095</v>
      </c>
      <c r="L16" s="470">
        <f>'IB 3A1_3A2_3C6'!E58*'IB 3A1_3A2_3C6'!$C$175/365</f>
        <v>95119.26930175963</v>
      </c>
    </row>
    <row r="17" spans="2:12" ht="15">
      <c r="B17" s="72" t="s">
        <v>50</v>
      </c>
      <c r="C17" s="470">
        <f>'IB 3A1_3A2_3C6'!I24</f>
        <v>292866</v>
      </c>
      <c r="D17" s="470">
        <f>'IB 3A1_3A2_3C6'!G24</f>
        <v>529832</v>
      </c>
      <c r="E17" s="470">
        <f>'IB 3A1_3A2_3C6'!F24</f>
        <v>102260</v>
      </c>
      <c r="F17" s="470">
        <f>'IB 3A1_3A2_3C6'!C59</f>
        <v>37791.71395585299</v>
      </c>
      <c r="G17" s="470">
        <f>'IB 3A1_3A2_3C6'!D59</f>
        <v>33805.80778811709</v>
      </c>
      <c r="H17" s="470">
        <f>'IB 3A1_3A2_3C6'!H24*'IB 3A1_3A2_3C6'!$C$172/365</f>
        <v>116715.4109589041</v>
      </c>
      <c r="I17" s="476">
        <f>'IB 3A1_3A2_3C6'!D24</f>
        <v>6760</v>
      </c>
      <c r="J17" s="476">
        <f>'IB 3A1_3A2_3C6'!E24</f>
        <v>3512</v>
      </c>
      <c r="K17" s="470">
        <f>'IB 3A1_3A2_3C6'!C24*('IB 3A1_3A2_3C6'!$C$185*'IB 3A1_3A2_3C6'!$C$173/365+'IB 3A1_3A2_3C6'!$C$186+'IB 3A1_3A2_3C6'!$C$187+'IB 3A1_3A2_3C6'!$C$189*'IB 3A1_3A2_3C6'!$C$174/365+'IB 3A1_3A2_3C6'!$C$190)</f>
        <v>551588.6621663606</v>
      </c>
      <c r="L17" s="470">
        <f>'IB 3A1_3A2_3C6'!E59*'IB 3A1_3A2_3C6'!$C$175/365</f>
        <v>181428.88932943594</v>
      </c>
    </row>
    <row r="18" spans="2:12" ht="15">
      <c r="B18" s="72" t="s">
        <v>51</v>
      </c>
      <c r="C18" s="470">
        <f>'IB 3A1_3A2_3C6'!I25</f>
        <v>50530</v>
      </c>
      <c r="D18" s="470">
        <f>'IB 3A1_3A2_3C6'!G25</f>
        <v>26695</v>
      </c>
      <c r="E18" s="470">
        <f>'IB 3A1_3A2_3C6'!F25</f>
        <v>75880</v>
      </c>
      <c r="F18" s="470">
        <f>'IB 3A1_3A2_3C6'!C60</f>
        <v>2472.9665991333277</v>
      </c>
      <c r="G18" s="470">
        <f>'IB 3A1_3A2_3C6'!D60</f>
        <v>2931.0347569631176</v>
      </c>
      <c r="H18" s="470">
        <f>'IB 3A1_3A2_3C6'!H25*'IB 3A1_3A2_3C6'!$C$172/365</f>
        <v>29563.109589041094</v>
      </c>
      <c r="I18" s="476">
        <f>'IB 3A1_3A2_3C6'!D25</f>
        <v>0</v>
      </c>
      <c r="J18" s="476">
        <f>'IB 3A1_3A2_3C6'!E25</f>
        <v>0</v>
      </c>
      <c r="K18" s="470">
        <f>'IB 3A1_3A2_3C6'!C25*('IB 3A1_3A2_3C6'!$C$185*'IB 3A1_3A2_3C6'!$C$173/365+'IB 3A1_3A2_3C6'!$C$186+'IB 3A1_3A2_3C6'!$C$187+'IB 3A1_3A2_3C6'!$C$189*'IB 3A1_3A2_3C6'!$C$174/365+'IB 3A1_3A2_3C6'!$C$190)</f>
        <v>5469861.0885750605</v>
      </c>
      <c r="L18" s="470">
        <f>'IB 3A1_3A2_3C6'!E60*'IB 3A1_3A2_3C6'!$C$175/365</f>
        <v>17050.795118779817</v>
      </c>
    </row>
    <row r="19" spans="2:12" ht="15">
      <c r="B19" s="72" t="s">
        <v>52</v>
      </c>
      <c r="C19" s="470">
        <f>'IB 3A1_3A2_3C6'!I26</f>
        <v>326506</v>
      </c>
      <c r="D19" s="470">
        <f>'IB 3A1_3A2_3C6'!G26</f>
        <v>1614094</v>
      </c>
      <c r="E19" s="470">
        <f>'IB 3A1_3A2_3C6'!F26</f>
        <v>12015</v>
      </c>
      <c r="F19" s="470">
        <f>'IB 3A1_3A2_3C6'!C61</f>
        <v>9245.912355763136</v>
      </c>
      <c r="G19" s="470">
        <f>'IB 3A1_3A2_3C6'!D61</f>
        <v>26919.990550398994</v>
      </c>
      <c r="H19" s="470">
        <f>'IB 3A1_3A2_3C6'!H26*'IB 3A1_3A2_3C6'!$C$172/365</f>
        <v>49451.83561643836</v>
      </c>
      <c r="I19" s="476">
        <f>'IB 3A1_3A2_3C6'!D26</f>
        <v>100532</v>
      </c>
      <c r="J19" s="476">
        <f>'IB 3A1_3A2_3C6'!E26</f>
        <v>67302</v>
      </c>
      <c r="K19" s="470">
        <f>'IB 3A1_3A2_3C6'!C26*('IB 3A1_3A2_3C6'!$C$185*'IB 3A1_3A2_3C6'!$C$173/365+'IB 3A1_3A2_3C6'!$C$186+'IB 3A1_3A2_3C6'!$C$187+'IB 3A1_3A2_3C6'!$C$189*'IB 3A1_3A2_3C6'!$C$174/365+'IB 3A1_3A2_3C6'!$C$190)</f>
        <v>1115565.1405451207</v>
      </c>
      <c r="L19" s="470">
        <f>'IB 3A1_3A2_3C6'!E61*'IB 3A1_3A2_3C6'!$C$175/365</f>
        <v>266607.93286965793</v>
      </c>
    </row>
    <row r="20" spans="2:12" ht="15">
      <c r="B20" s="72" t="s">
        <v>53</v>
      </c>
      <c r="C20" s="470">
        <f>'IB 3A1_3A2_3C6'!I27</f>
        <v>235457</v>
      </c>
      <c r="D20" s="470">
        <f>'IB 3A1_3A2_3C6'!G27</f>
        <v>360982</v>
      </c>
      <c r="E20" s="470">
        <f>'IB 3A1_3A2_3C6'!F27</f>
        <v>82812</v>
      </c>
      <c r="F20" s="470">
        <f>'IB 3A1_3A2_3C6'!C62</f>
        <v>38999.2212157126</v>
      </c>
      <c r="G20" s="470">
        <f>'IB 3A1_3A2_3C6'!D62</f>
        <v>49061.71287720886</v>
      </c>
      <c r="H20" s="470">
        <f>'IB 3A1_3A2_3C6'!H27*'IB 3A1_3A2_3C6'!$C$172/365</f>
        <v>32927.42465753425</v>
      </c>
      <c r="I20" s="476">
        <f>'IB 3A1_3A2_3C6'!D27</f>
        <v>7710</v>
      </c>
      <c r="J20" s="476">
        <f>'IB 3A1_3A2_3C6'!E27</f>
        <v>0</v>
      </c>
      <c r="K20" s="470">
        <f>'IB 3A1_3A2_3C6'!C27*('IB 3A1_3A2_3C6'!$C$185*'IB 3A1_3A2_3C6'!$C$173/365+'IB 3A1_3A2_3C6'!$C$186+'IB 3A1_3A2_3C6'!$C$187+'IB 3A1_3A2_3C6'!$C$189*'IB 3A1_3A2_3C6'!$C$174/365+'IB 3A1_3A2_3C6'!$C$190)</f>
        <v>7817201.793277786</v>
      </c>
      <c r="L20" s="470">
        <f>'IB 3A1_3A2_3C6'!E62*'IB 3A1_3A2_3C6'!$C$175/365</f>
        <v>205594.69180104398</v>
      </c>
    </row>
    <row r="21" spans="2:12" ht="15">
      <c r="B21" s="72" t="s">
        <v>54</v>
      </c>
      <c r="C21" s="470">
        <f>'IB 3A1_3A2_3C6'!I28</f>
        <v>113602</v>
      </c>
      <c r="D21" s="470">
        <f>'IB 3A1_3A2_3C6'!G28</f>
        <v>68325</v>
      </c>
      <c r="E21" s="470">
        <f>'IB 3A1_3A2_3C6'!F28</f>
        <v>106151</v>
      </c>
      <c r="F21" s="470">
        <f>'IB 3A1_3A2_3C6'!C63</f>
        <v>6265.0782971701165</v>
      </c>
      <c r="G21" s="470">
        <f>'IB 3A1_3A2_3C6'!D63</f>
        <v>10753.666558466482</v>
      </c>
      <c r="H21" s="470">
        <f>'IB 3A1_3A2_3C6'!H28*'IB 3A1_3A2_3C6'!$C$172/365</f>
        <v>21123.12328767123</v>
      </c>
      <c r="I21" s="476">
        <f>'IB 3A1_3A2_3C6'!D28</f>
        <v>0</v>
      </c>
      <c r="J21" s="476">
        <f>'IB 3A1_3A2_3C6'!E28</f>
        <v>0</v>
      </c>
      <c r="K21" s="470">
        <f>'IB 3A1_3A2_3C6'!C28*('IB 3A1_3A2_3C6'!$C$185*'IB 3A1_3A2_3C6'!$C$173/365+'IB 3A1_3A2_3C6'!$C$186+'IB 3A1_3A2_3C6'!$C$187+'IB 3A1_3A2_3C6'!$C$189*'IB 3A1_3A2_3C6'!$C$174/365+'IB 3A1_3A2_3C6'!$C$190)</f>
        <v>779569.6990255613</v>
      </c>
      <c r="L21" s="470">
        <f>'IB 3A1_3A2_3C6'!E63*'IB 3A1_3A2_3C6'!$C$175/365</f>
        <v>74438.61972759101</v>
      </c>
    </row>
    <row r="22" spans="2:12" ht="15">
      <c r="B22" s="73" t="s">
        <v>55</v>
      </c>
      <c r="C22" s="470">
        <f>'IB 3A1_3A2_3C6'!I29</f>
        <v>250851</v>
      </c>
      <c r="D22" s="470">
        <f>'IB 3A1_3A2_3C6'!G29</f>
        <v>315962</v>
      </c>
      <c r="E22" s="470">
        <f>'IB 3A1_3A2_3C6'!F29</f>
        <v>169383</v>
      </c>
      <c r="F22" s="470">
        <f>'IB 3A1_3A2_3C6'!C64</f>
        <v>11378.6201932818</v>
      </c>
      <c r="G22" s="470">
        <f>'IB 3A1_3A2_3C6'!D64</f>
        <v>21480.8984773847</v>
      </c>
      <c r="H22" s="470">
        <f>'IB 3A1_3A2_3C6'!H29*'IB 3A1_3A2_3C6'!$C$172/365</f>
        <v>133738.2123287671</v>
      </c>
      <c r="I22" s="476">
        <f>'IB 3A1_3A2_3C6'!D29</f>
        <v>46747.5</v>
      </c>
      <c r="J22" s="476">
        <f>'IB 3A1_3A2_3C6'!E29</f>
        <v>21780</v>
      </c>
      <c r="K22" s="470">
        <f>'IB 3A1_3A2_3C6'!C29*('IB 3A1_3A2_3C6'!$C$185*'IB 3A1_3A2_3C6'!$C$173/365+'IB 3A1_3A2_3C6'!$C$186+'IB 3A1_3A2_3C6'!$C$187+'IB 3A1_3A2_3C6'!$C$189*'IB 3A1_3A2_3C6'!$C$174/365+'IB 3A1_3A2_3C6'!$C$190)</f>
        <v>21569446.13500918</v>
      </c>
      <c r="L22" s="470">
        <f>'IB 3A1_3A2_3C6'!E64*'IB 3A1_3A2_3C6'!$C$175/365</f>
        <v>249020.70765146136</v>
      </c>
    </row>
    <row r="23" spans="2:12" ht="15">
      <c r="B23" s="72" t="s">
        <v>56</v>
      </c>
      <c r="C23" s="470">
        <f>'IB 3A1_3A2_3C6'!I30</f>
        <v>46190</v>
      </c>
      <c r="D23" s="470">
        <f>'IB 3A1_3A2_3C6'!G30</f>
        <v>11303</v>
      </c>
      <c r="E23" s="470">
        <f>'IB 3A1_3A2_3C6'!F30</f>
        <v>291</v>
      </c>
      <c r="F23" s="470">
        <f>'IB 3A1_3A2_3C6'!C65</f>
        <v>4092.9268734528137</v>
      </c>
      <c r="G23" s="470">
        <f>'IB 3A1_3A2_3C6'!D65</f>
        <v>616.811331477455</v>
      </c>
      <c r="H23" s="470">
        <f>'IB 3A1_3A2_3C6'!H30*'IB 3A1_3A2_3C6'!$C$172/365</f>
        <v>27452.465753424658</v>
      </c>
      <c r="I23" s="476">
        <f>'IB 3A1_3A2_3C6'!D30</f>
        <v>0</v>
      </c>
      <c r="J23" s="476">
        <f>'IB 3A1_3A2_3C6'!E30</f>
        <v>0</v>
      </c>
      <c r="K23" s="470">
        <f>'IB 3A1_3A2_3C6'!C30*('IB 3A1_3A2_3C6'!$C$185*'IB 3A1_3A2_3C6'!$C$173/365+'IB 3A1_3A2_3C6'!$C$186+'IB 3A1_3A2_3C6'!$C$187+'IB 3A1_3A2_3C6'!$C$189*'IB 3A1_3A2_3C6'!$C$174/365+'IB 3A1_3A2_3C6'!$C$190)</f>
        <v>1310062.2161276657</v>
      </c>
      <c r="L23" s="470">
        <f>'IB 3A1_3A2_3C6'!E65*'IB 3A1_3A2_3C6'!$C$175/365</f>
        <v>4586.337957123972</v>
      </c>
    </row>
    <row r="24" spans="2:12" ht="15">
      <c r="B24" s="72" t="s">
        <v>57</v>
      </c>
      <c r="C24" s="470">
        <f>'IB 3A1_3A2_3C6'!I31</f>
        <v>56880</v>
      </c>
      <c r="D24" s="470">
        <f>'IB 3A1_3A2_3C6'!G31</f>
        <v>8287</v>
      </c>
      <c r="E24" s="470">
        <f>'IB 3A1_3A2_3C6'!F31</f>
        <v>220</v>
      </c>
      <c r="F24" s="470">
        <f>'IB 3A1_3A2_3C6'!C66</f>
        <v>501.0085943960365</v>
      </c>
      <c r="G24" s="470">
        <f>'IB 3A1_3A2_3C6'!D66</f>
        <v>21.48672611728187</v>
      </c>
      <c r="H24" s="470">
        <f>'IB 3A1_3A2_3C6'!H31*'IB 3A1_3A2_3C6'!$C$172/365</f>
        <v>3082.3972602739727</v>
      </c>
      <c r="I24" s="476">
        <f>'IB 3A1_3A2_3C6'!D31</f>
        <v>0</v>
      </c>
      <c r="J24" s="476">
        <f>'IB 3A1_3A2_3C6'!E31</f>
        <v>0</v>
      </c>
      <c r="K24" s="470">
        <f>'IB 3A1_3A2_3C6'!C31*('IB 3A1_3A2_3C6'!$C$185*'IB 3A1_3A2_3C6'!$C$173/365+'IB 3A1_3A2_3C6'!$C$186+'IB 3A1_3A2_3C6'!$C$187+'IB 3A1_3A2_3C6'!$C$189*'IB 3A1_3A2_3C6'!$C$174/365+'IB 3A1_3A2_3C6'!$C$190)</f>
        <v>152361.4652167773</v>
      </c>
      <c r="L24" s="470">
        <f>'IB 3A1_3A2_3C6'!E66*'IB 3A1_3A2_3C6'!$C$175/365</f>
        <v>630.6928939312764</v>
      </c>
    </row>
    <row r="25" spans="2:12" ht="15">
      <c r="B25" s="72" t="s">
        <v>58</v>
      </c>
      <c r="C25" s="470">
        <f>'IB 3A1_3A2_3C6'!I32</f>
        <v>23721</v>
      </c>
      <c r="D25" s="470">
        <f>'IB 3A1_3A2_3C6'!G32</f>
        <v>49291</v>
      </c>
      <c r="E25" s="470">
        <f>'IB 3A1_3A2_3C6'!F32</f>
        <v>8333</v>
      </c>
      <c r="F25" s="470">
        <f>'IB 3A1_3A2_3C6'!C67</f>
        <v>583.3496439396521</v>
      </c>
      <c r="G25" s="470">
        <f>'IB 3A1_3A2_3C6'!D67</f>
        <v>5301.483979346992</v>
      </c>
      <c r="H25" s="470">
        <f>'IB 3A1_3A2_3C6'!H32*'IB 3A1_3A2_3C6'!$C$172/365</f>
        <v>3804.4520547945203</v>
      </c>
      <c r="I25" s="476">
        <f>'IB 3A1_3A2_3C6'!D32</f>
        <v>144970</v>
      </c>
      <c r="J25" s="476">
        <f>'IB 3A1_3A2_3C6'!E32</f>
        <v>38655</v>
      </c>
      <c r="K25" s="470">
        <f>'IB 3A1_3A2_3C6'!C32*('IB 3A1_3A2_3C6'!$C$185*'IB 3A1_3A2_3C6'!$C$173/365+'IB 3A1_3A2_3C6'!$C$186+'IB 3A1_3A2_3C6'!$C$187+'IB 3A1_3A2_3C6'!$C$189*'IB 3A1_3A2_3C6'!$C$174/365+'IB 3A1_3A2_3C6'!$C$190)</f>
        <v>18799.518655557127</v>
      </c>
      <c r="L25" s="470">
        <f>'IB 3A1_3A2_3C6'!E67*'IB 3A1_3A2_3C6'!$C$175/365</f>
        <v>43872.177979607106</v>
      </c>
    </row>
    <row r="26" spans="2:12" ht="15">
      <c r="B26" s="72" t="s">
        <v>59</v>
      </c>
      <c r="C26" s="470">
        <f>'IB 3A1_3A2_3C6'!I33</f>
        <v>119542</v>
      </c>
      <c r="D26" s="470">
        <f>'IB 3A1_3A2_3C6'!G33</f>
        <v>691923</v>
      </c>
      <c r="E26" s="470">
        <f>'IB 3A1_3A2_3C6'!F33</f>
        <v>6345</v>
      </c>
      <c r="F26" s="470">
        <f>'IB 3A1_3A2_3C6'!C68</f>
        <v>9107.869899540408</v>
      </c>
      <c r="G26" s="470">
        <f>'IB 3A1_3A2_3C6'!D68</f>
        <v>8494.05231804396</v>
      </c>
      <c r="H26" s="470">
        <f>'IB 3A1_3A2_3C6'!H33*'IB 3A1_3A2_3C6'!$C$172/365</f>
        <v>15409.684931506848</v>
      </c>
      <c r="I26" s="476">
        <f>'IB 3A1_3A2_3C6'!D33</f>
        <v>130777.5</v>
      </c>
      <c r="J26" s="476">
        <f>'IB 3A1_3A2_3C6'!E33</f>
        <v>43880</v>
      </c>
      <c r="K26" s="470">
        <f>'IB 3A1_3A2_3C6'!C33*('IB 3A1_3A2_3C6'!$C$185*'IB 3A1_3A2_3C6'!$C$173/365+'IB 3A1_3A2_3C6'!$C$186+'IB 3A1_3A2_3C6'!$C$187+'IB 3A1_3A2_3C6'!$C$189*'IB 3A1_3A2_3C6'!$C$174/365+'IB 3A1_3A2_3C6'!$C$190)</f>
        <v>43807.81994068634</v>
      </c>
      <c r="L26" s="470">
        <f>'IB 3A1_3A2_3C6'!E68*'IB 3A1_3A2_3C6'!$C$175/365</f>
        <v>23324.698538732977</v>
      </c>
    </row>
    <row r="27" spans="2:12" ht="15">
      <c r="B27" s="72" t="s">
        <v>60</v>
      </c>
      <c r="C27" s="470">
        <f>'IB 3A1_3A2_3C6'!I34</f>
        <v>258181</v>
      </c>
      <c r="D27" s="470">
        <f>'IB 3A1_3A2_3C6'!G34</f>
        <v>274350</v>
      </c>
      <c r="E27" s="470">
        <f>'IB 3A1_3A2_3C6'!F34</f>
        <v>330221</v>
      </c>
      <c r="F27" s="470">
        <f>'IB 3A1_3A2_3C6'!C69</f>
        <v>27998.4746045075</v>
      </c>
      <c r="G27" s="470">
        <f>'IB 3A1_3A2_3C6'!D69</f>
        <v>38789.43598582466</v>
      </c>
      <c r="H27" s="470">
        <f>'IB 3A1_3A2_3C6'!H34*'IB 3A1_3A2_3C6'!$C$172/365</f>
        <v>48323.01369863014</v>
      </c>
      <c r="I27" s="476">
        <f>'IB 3A1_3A2_3C6'!D34</f>
        <v>100</v>
      </c>
      <c r="J27" s="476">
        <f>'IB 3A1_3A2_3C6'!E34</f>
        <v>0</v>
      </c>
      <c r="K27" s="470">
        <f>'IB 3A1_3A2_3C6'!C34*('IB 3A1_3A2_3C6'!$C$185*'IB 3A1_3A2_3C6'!$C$173/365+'IB 3A1_3A2_3C6'!$C$186+'IB 3A1_3A2_3C6'!$C$187+'IB 3A1_3A2_3C6'!$C$189*'IB 3A1_3A2_3C6'!$C$174/365+'IB 3A1_3A2_3C6'!$C$190)</f>
        <v>1834492.190651038</v>
      </c>
      <c r="L27" s="470">
        <f>'IB 3A1_3A2_3C6'!E69*'IB 3A1_3A2_3C6'!$C$175/365</f>
        <v>27902.261390289776</v>
      </c>
    </row>
    <row r="28" spans="2:12" ht="15">
      <c r="B28" s="72" t="s">
        <v>61</v>
      </c>
      <c r="C28" s="470">
        <f>'IB 3A1_3A2_3C6'!I35</f>
        <v>733260</v>
      </c>
      <c r="D28" s="470">
        <f>'IB 3A1_3A2_3C6'!G35</f>
        <v>2852165</v>
      </c>
      <c r="E28" s="470">
        <f>'IB 3A1_3A2_3C6'!F35</f>
        <v>0</v>
      </c>
      <c r="F28" s="470">
        <f>'IB 3A1_3A2_3C6'!C70</f>
        <v>8117.6214525417145</v>
      </c>
      <c r="G28" s="470">
        <f>'IB 3A1_3A2_3C6'!D70</f>
        <v>53525.787022586934</v>
      </c>
      <c r="H28" s="470">
        <f>'IB 3A1_3A2_3C6'!H35*'IB 3A1_3A2_3C6'!$C$172/365</f>
        <v>34451.50684931507</v>
      </c>
      <c r="I28" s="476">
        <f>'IB 3A1_3A2_3C6'!D35</f>
        <v>2035280</v>
      </c>
      <c r="J28" s="476">
        <f>'IB 3A1_3A2_3C6'!E35</f>
        <v>369690</v>
      </c>
      <c r="K28" s="470">
        <f>'IB 3A1_3A2_3C6'!C35*('IB 3A1_3A2_3C6'!$C$185*'IB 3A1_3A2_3C6'!$C$173/365+'IB 3A1_3A2_3C6'!$C$186+'IB 3A1_3A2_3C6'!$C$187+'IB 3A1_3A2_3C6'!$C$189*'IB 3A1_3A2_3C6'!$C$174/365+'IB 3A1_3A2_3C6'!$C$190)</f>
        <v>531964.6251941817</v>
      </c>
      <c r="L28" s="470">
        <f>'IB 3A1_3A2_3C6'!E70*'IB 3A1_3A2_3C6'!$C$175/365</f>
        <v>29250.74029962912</v>
      </c>
    </row>
    <row r="29" spans="2:12" ht="15">
      <c r="B29" s="72" t="s">
        <v>62</v>
      </c>
      <c r="C29" s="470">
        <f>'IB 3A1_3A2_3C6'!I36</f>
        <v>211843</v>
      </c>
      <c r="D29" s="470">
        <f>'IB 3A1_3A2_3C6'!G36</f>
        <v>9269</v>
      </c>
      <c r="E29" s="470">
        <f>'IB 3A1_3A2_3C6'!F36</f>
        <v>0</v>
      </c>
      <c r="F29" s="470">
        <f>'IB 3A1_3A2_3C6'!C71</f>
        <v>22871.138932304264</v>
      </c>
      <c r="G29" s="470">
        <f>'IB 3A1_3A2_3C6'!D71</f>
        <v>13088.068736036012</v>
      </c>
      <c r="H29" s="470">
        <f>'IB 3A1_3A2_3C6'!H36*'IB 3A1_3A2_3C6'!$C$172/365</f>
        <v>48987.82191780822</v>
      </c>
      <c r="I29" s="476">
        <f>'IB 3A1_3A2_3C6'!D36</f>
        <v>0</v>
      </c>
      <c r="J29" s="476">
        <f>'IB 3A1_3A2_3C6'!E36</f>
        <v>0</v>
      </c>
      <c r="K29" s="470">
        <f>'IB 3A1_3A2_3C6'!C36*('IB 3A1_3A2_3C6'!$C$185*'IB 3A1_3A2_3C6'!$C$173/365+'IB 3A1_3A2_3C6'!$C$186+'IB 3A1_3A2_3C6'!$C$187+'IB 3A1_3A2_3C6'!$C$189*'IB 3A1_3A2_3C6'!$C$174/365+'IB 3A1_3A2_3C6'!$C$190)</f>
        <v>1420741.1959327778</v>
      </c>
      <c r="L29" s="470">
        <f>'IB 3A1_3A2_3C6'!E71*'IB 3A1_3A2_3C6'!$C$175/365</f>
        <v>100453.49626050149</v>
      </c>
    </row>
    <row r="30" spans="2:12" ht="15">
      <c r="B30" s="72" t="s">
        <v>63</v>
      </c>
      <c r="C30" s="470">
        <f>'IB 3A1_3A2_3C6'!I37</f>
        <v>18884</v>
      </c>
      <c r="D30" s="470">
        <f>'IB 3A1_3A2_3C6'!G37</f>
        <v>36005</v>
      </c>
      <c r="E30" s="470">
        <f>'IB 3A1_3A2_3C6'!F37</f>
        <v>17080</v>
      </c>
      <c r="F30" s="470">
        <f>'IB 3A1_3A2_3C6'!C72</f>
        <v>615.3548408338808</v>
      </c>
      <c r="G30" s="470">
        <f>'IB 3A1_3A2_3C6'!D72</f>
        <v>1257.4098721983403</v>
      </c>
      <c r="H30" s="470">
        <f>'IB 3A1_3A2_3C6'!H37*'IB 3A1_3A2_3C6'!$C$172/365</f>
        <v>10422.90410958904</v>
      </c>
      <c r="I30" s="476">
        <f>'IB 3A1_3A2_3C6'!D37</f>
        <v>77057</v>
      </c>
      <c r="J30" s="476">
        <f>'IB 3A1_3A2_3C6'!E37</f>
        <v>28405</v>
      </c>
      <c r="K30" s="470">
        <f>'IB 3A1_3A2_3C6'!C37*('IB 3A1_3A2_3C6'!$C$185*'IB 3A1_3A2_3C6'!$C$173/365+'IB 3A1_3A2_3C6'!$C$186+'IB 3A1_3A2_3C6'!$C$187+'IB 3A1_3A2_3C6'!$C$189*'IB 3A1_3A2_3C6'!$C$174/365+'IB 3A1_3A2_3C6'!$C$190)</f>
        <v>371092.11427764443</v>
      </c>
      <c r="L30" s="470">
        <f>'IB 3A1_3A2_3C6'!E72*'IB 3A1_3A2_3C6'!$C$175/365</f>
        <v>31546.975618331937</v>
      </c>
    </row>
    <row r="31" spans="2:12" ht="15">
      <c r="B31" s="72" t="s">
        <v>64</v>
      </c>
      <c r="C31" s="470">
        <f>'IB 3A1_3A2_3C6'!I38</f>
        <v>22200</v>
      </c>
      <c r="D31" s="470">
        <f>'IB 3A1_3A2_3C6'!G38</f>
        <v>7515</v>
      </c>
      <c r="E31" s="470">
        <f>'IB 3A1_3A2_3C6'!F38</f>
        <v>65320</v>
      </c>
      <c r="F31" s="470">
        <f>'IB 3A1_3A2_3C6'!C73</f>
        <v>2165.5475110619936</v>
      </c>
      <c r="G31" s="470">
        <f>'IB 3A1_3A2_3C6'!D73</f>
        <v>2202.886171174328</v>
      </c>
      <c r="H31" s="470">
        <f>'IB 3A1_3A2_3C6'!H38*'IB 3A1_3A2_3C6'!$C$172/365</f>
        <v>8633.013698630137</v>
      </c>
      <c r="I31" s="476">
        <f>'IB 3A1_3A2_3C6'!D38</f>
        <v>0</v>
      </c>
      <c r="J31" s="476">
        <f>'IB 3A1_3A2_3C6'!E38</f>
        <v>0</v>
      </c>
      <c r="K31" s="470">
        <f>'IB 3A1_3A2_3C6'!C38*('IB 3A1_3A2_3C6'!$C$185*'IB 3A1_3A2_3C6'!$C$173/365+'IB 3A1_3A2_3C6'!$C$186+'IB 3A1_3A2_3C6'!$C$187+'IB 3A1_3A2_3C6'!$C$189*'IB 3A1_3A2_3C6'!$C$174/365+'IB 3A1_3A2_3C6'!$C$190)</f>
        <v>49233.10662335828</v>
      </c>
      <c r="L31" s="470">
        <f>'IB 3A1_3A2_3C6'!E73*'IB 3A1_3A2_3C6'!$C$175/365</f>
        <v>634.0757386681131</v>
      </c>
    </row>
    <row r="32" spans="2:12" ht="15">
      <c r="B32" s="72" t="s">
        <v>65</v>
      </c>
      <c r="C32" s="470">
        <f>'IB 3A1_3A2_3C6'!I39</f>
        <v>45705</v>
      </c>
      <c r="D32" s="470">
        <f>'IB 3A1_3A2_3C6'!G39</f>
        <v>9561</v>
      </c>
      <c r="E32" s="470">
        <f>'IB 3A1_3A2_3C6'!F39</f>
        <v>170</v>
      </c>
      <c r="F32" s="470">
        <f>'IB 3A1_3A2_3C6'!C74</f>
        <v>2266.8403124664146</v>
      </c>
      <c r="G32" s="470">
        <f>'IB 3A1_3A2_3C6'!D74</f>
        <v>187.47243029484102</v>
      </c>
      <c r="H32" s="470">
        <f>'IB 3A1_3A2_3C6'!H39*'IB 3A1_3A2_3C6'!$C$172/365</f>
        <v>13644.246575342466</v>
      </c>
      <c r="I32" s="476">
        <f>'IB 3A1_3A2_3C6'!D39</f>
        <v>0</v>
      </c>
      <c r="J32" s="476">
        <f>'IB 3A1_3A2_3C6'!E39</f>
        <v>0</v>
      </c>
      <c r="K32" s="470">
        <f>'IB 3A1_3A2_3C6'!C39*('IB 3A1_3A2_3C6'!$C$185*'IB 3A1_3A2_3C6'!$C$173/365+'IB 3A1_3A2_3C6'!$C$186+'IB 3A1_3A2_3C6'!$C$187+'IB 3A1_3A2_3C6'!$C$189*'IB 3A1_3A2_3C6'!$C$174/365+'IB 3A1_3A2_3C6'!$C$190)</f>
        <v>1879685.376726451</v>
      </c>
      <c r="L32" s="470">
        <f>'IB 3A1_3A2_3C6'!E74*'IB 3A1_3A2_3C6'!$C$175/365</f>
        <v>3183.4862064921267</v>
      </c>
    </row>
    <row r="34" spans="2:45" ht="15">
      <c r="B34" s="303" t="s">
        <v>1081</v>
      </c>
      <c r="C34" s="1066"/>
      <c r="D34" s="1066"/>
      <c r="E34" s="1066"/>
      <c r="F34" s="1066"/>
      <c r="G34" s="1066"/>
      <c r="H34" s="1066"/>
      <c r="I34" s="1066"/>
      <c r="J34" s="1066"/>
      <c r="AE34" s="53"/>
      <c r="AF34" s="53"/>
      <c r="AG34" s="53"/>
      <c r="AH34" s="53"/>
      <c r="AI34" s="53"/>
      <c r="AJ34" s="53"/>
      <c r="AK34" s="53"/>
      <c r="AL34" s="53"/>
      <c r="AM34" s="53"/>
      <c r="AN34" s="53"/>
      <c r="AO34" s="53"/>
      <c r="AP34" s="53"/>
      <c r="AQ34" s="53"/>
      <c r="AR34" s="53"/>
      <c r="AS34" s="53"/>
    </row>
    <row r="35" spans="2:45" ht="15">
      <c r="B35"/>
      <c r="C35" s="585"/>
      <c r="D35" s="585"/>
      <c r="E35" s="585"/>
      <c r="F35" s="585"/>
      <c r="G35" s="585"/>
      <c r="H35" s="585"/>
      <c r="I35" s="585"/>
      <c r="J35" s="585"/>
      <c r="K35" s="585"/>
      <c r="L35" s="585"/>
      <c r="M35"/>
      <c r="N35"/>
      <c r="O35"/>
      <c r="P35"/>
      <c r="Q35"/>
      <c r="R35"/>
      <c r="S35"/>
      <c r="T35"/>
      <c r="U35"/>
      <c r="V35"/>
      <c r="W35"/>
      <c r="X35"/>
      <c r="Y35"/>
      <c r="AE35" s="53"/>
      <c r="AF35" s="53"/>
      <c r="AG35" s="53"/>
      <c r="AH35" s="53"/>
      <c r="AI35" s="53"/>
      <c r="AJ35" s="53"/>
      <c r="AK35" s="53"/>
      <c r="AL35" s="53"/>
      <c r="AM35" s="53"/>
      <c r="AN35" s="53"/>
      <c r="AO35" s="53"/>
      <c r="AP35" s="53"/>
      <c r="AQ35" s="53"/>
      <c r="AR35" s="53"/>
      <c r="AS35" s="53"/>
    </row>
    <row r="36" spans="2:45" ht="15">
      <c r="B36" s="1224" t="s">
        <v>35</v>
      </c>
      <c r="C36" s="1313" t="s">
        <v>1065</v>
      </c>
      <c r="D36" s="1314"/>
      <c r="E36" s="585"/>
      <c r="F36" s="585"/>
      <c r="G36" s="585"/>
      <c r="H36" s="585"/>
      <c r="I36" s="585"/>
      <c r="J36" s="585"/>
      <c r="K36" s="585"/>
      <c r="L36" s="585"/>
      <c r="M36"/>
      <c r="N36"/>
      <c r="O36"/>
      <c r="P36"/>
      <c r="Q36"/>
      <c r="R36"/>
      <c r="S36"/>
      <c r="T36"/>
      <c r="U36"/>
      <c r="V36"/>
      <c r="W36"/>
      <c r="X36"/>
      <c r="Y36"/>
      <c r="AE36" s="53"/>
      <c r="AF36" s="53"/>
      <c r="AG36" s="53"/>
      <c r="AH36" s="53"/>
      <c r="AI36" s="53"/>
      <c r="AJ36" s="53"/>
      <c r="AK36" s="53"/>
      <c r="AL36" s="53"/>
      <c r="AM36" s="53"/>
      <c r="AN36" s="53"/>
      <c r="AO36" s="53"/>
      <c r="AP36" s="53"/>
      <c r="AQ36" s="53"/>
      <c r="AR36" s="53"/>
      <c r="AS36" s="53"/>
    </row>
    <row r="37" spans="2:12" ht="26.25">
      <c r="B37" s="1224"/>
      <c r="C37" s="1067" t="s">
        <v>1319</v>
      </c>
      <c r="D37" s="1067" t="s">
        <v>1447</v>
      </c>
      <c r="F37" s="1069"/>
      <c r="G37" s="1069"/>
      <c r="H37" s="1069"/>
      <c r="I37" s="1069"/>
      <c r="J37" s="1069"/>
      <c r="K37" s="1069"/>
      <c r="L37" s="1069"/>
    </row>
    <row r="38" spans="2:12" ht="15">
      <c r="B38" s="354" t="s">
        <v>69</v>
      </c>
      <c r="C38" s="1068">
        <f>SUM(C39:C62)</f>
        <v>905818</v>
      </c>
      <c r="D38" s="1068">
        <f>SUM(D39:D62)</f>
        <v>4694075</v>
      </c>
      <c r="F38" s="1069"/>
      <c r="G38" s="1069"/>
      <c r="H38" s="1069"/>
      <c r="I38" s="1069"/>
      <c r="J38" s="1069"/>
      <c r="K38" s="1069"/>
      <c r="L38" s="1069"/>
    </row>
    <row r="39" spans="2:12" ht="15">
      <c r="B39" s="72" t="s">
        <v>43</v>
      </c>
      <c r="C39" s="470">
        <f>'IB 3A1_3A2_3C6'!C85</f>
        <v>79623</v>
      </c>
      <c r="D39" s="470">
        <f>C9-C39</f>
        <v>168232</v>
      </c>
      <c r="F39" s="1069"/>
      <c r="G39" s="1069"/>
      <c r="H39" s="1069"/>
      <c r="I39" s="1069"/>
      <c r="J39" s="1069"/>
      <c r="K39" s="1069"/>
      <c r="L39" s="1069"/>
    </row>
    <row r="40" spans="2:12" ht="15">
      <c r="B40" s="72" t="s">
        <v>223</v>
      </c>
      <c r="C40" s="470">
        <f>'IB 3A1_3A2_3C6'!C86</f>
        <v>14847</v>
      </c>
      <c r="D40" s="470">
        <f aca="true" t="shared" si="1" ref="D40:D62">C10-C40</f>
        <v>291218</v>
      </c>
      <c r="F40" s="1069"/>
      <c r="G40" s="1069"/>
      <c r="H40" s="1069"/>
      <c r="I40" s="1069"/>
      <c r="J40" s="1069"/>
      <c r="K40" s="1069"/>
      <c r="L40" s="1069"/>
    </row>
    <row r="41" spans="2:12" ht="15">
      <c r="B41" s="72" t="s">
        <v>44</v>
      </c>
      <c r="C41" s="470">
        <f>'IB 3A1_3A2_3C6'!C87</f>
        <v>31825</v>
      </c>
      <c r="D41" s="470">
        <f t="shared" si="1"/>
        <v>264742</v>
      </c>
      <c r="F41" s="1069"/>
      <c r="G41" s="1069"/>
      <c r="H41" s="1069"/>
      <c r="I41" s="1069"/>
      <c r="J41" s="1069"/>
      <c r="K41" s="1069"/>
      <c r="L41" s="1069"/>
    </row>
    <row r="42" spans="2:12" ht="15">
      <c r="B42" s="72" t="s">
        <v>45</v>
      </c>
      <c r="C42" s="470">
        <f>'IB 3A1_3A2_3C6'!C88</f>
        <v>75737</v>
      </c>
      <c r="D42" s="470">
        <f t="shared" si="1"/>
        <v>137007</v>
      </c>
      <c r="F42" s="1069"/>
      <c r="G42" s="1069"/>
      <c r="H42" s="1069"/>
      <c r="I42" s="1069"/>
      <c r="J42" s="1069"/>
      <c r="K42" s="1069"/>
      <c r="L42" s="1069"/>
    </row>
    <row r="43" spans="2:12" ht="15">
      <c r="B43" s="72" t="s">
        <v>46</v>
      </c>
      <c r="C43" s="470">
        <f>'IB 3A1_3A2_3C6'!C89</f>
        <v>33695</v>
      </c>
      <c r="D43" s="470">
        <f t="shared" si="1"/>
        <v>419731</v>
      </c>
      <c r="F43" s="1069"/>
      <c r="G43" s="1069"/>
      <c r="H43" s="1069"/>
      <c r="I43" s="1069"/>
      <c r="J43" s="1069"/>
      <c r="K43" s="1069"/>
      <c r="L43" s="1069"/>
    </row>
    <row r="44" spans="2:12" ht="15">
      <c r="B44" s="72" t="s">
        <v>47</v>
      </c>
      <c r="C44" s="470">
        <f>'IB 3A1_3A2_3C6'!C90</f>
        <v>164222</v>
      </c>
      <c r="D44" s="470">
        <f t="shared" si="1"/>
        <v>491618</v>
      </c>
      <c r="F44" s="1069"/>
      <c r="G44" s="1069"/>
      <c r="H44" s="1069"/>
      <c r="I44" s="1069"/>
      <c r="J44" s="1069"/>
      <c r="K44" s="1069"/>
      <c r="L44" s="1069"/>
    </row>
    <row r="45" spans="2:12" ht="15">
      <c r="B45" s="72" t="s">
        <v>48</v>
      </c>
      <c r="C45" s="470">
        <f>'IB 3A1_3A2_3C6'!C91</f>
        <v>80570</v>
      </c>
      <c r="D45" s="470">
        <f t="shared" si="1"/>
        <v>358598</v>
      </c>
      <c r="F45" s="1069"/>
      <c r="G45" s="1069"/>
      <c r="H45" s="1069"/>
      <c r="I45" s="1069"/>
      <c r="J45" s="1069"/>
      <c r="K45" s="1069"/>
      <c r="L45" s="1069"/>
    </row>
    <row r="46" spans="2:12" ht="15">
      <c r="B46" s="72" t="s">
        <v>49</v>
      </c>
      <c r="C46" s="470">
        <f>'IB 3A1_3A2_3C6'!C92</f>
        <v>12120</v>
      </c>
      <c r="D46" s="470">
        <f t="shared" si="1"/>
        <v>169890</v>
      </c>
      <c r="F46" s="1069"/>
      <c r="G46" s="1069"/>
      <c r="H46" s="1069"/>
      <c r="I46" s="1069"/>
      <c r="J46" s="1069"/>
      <c r="K46" s="1069"/>
      <c r="L46" s="1069"/>
    </row>
    <row r="47" spans="2:12" ht="15">
      <c r="B47" s="72" t="s">
        <v>50</v>
      </c>
      <c r="C47" s="470">
        <f>'IB 3A1_3A2_3C6'!C93</f>
        <v>34916</v>
      </c>
      <c r="D47" s="470">
        <f t="shared" si="1"/>
        <v>257950</v>
      </c>
      <c r="F47" s="1069"/>
      <c r="G47" s="1069"/>
      <c r="H47" s="1069"/>
      <c r="I47" s="1069"/>
      <c r="J47" s="1069"/>
      <c r="K47" s="1069"/>
      <c r="L47" s="1069"/>
    </row>
    <row r="48" spans="2:12" ht="15">
      <c r="B48" s="72" t="s">
        <v>51</v>
      </c>
      <c r="C48" s="470">
        <f>'IB 3A1_3A2_3C6'!C94</f>
        <v>12537</v>
      </c>
      <c r="D48" s="470">
        <f t="shared" si="1"/>
        <v>37993</v>
      </c>
      <c r="F48" s="1069"/>
      <c r="G48" s="1069"/>
      <c r="H48" s="1069"/>
      <c r="I48" s="1069"/>
      <c r="J48" s="1069"/>
      <c r="K48" s="1069"/>
      <c r="L48" s="1069"/>
    </row>
    <row r="49" spans="2:12" ht="15">
      <c r="B49" s="72" t="s">
        <v>52</v>
      </c>
      <c r="C49" s="470">
        <f>'IB 3A1_3A2_3C6'!C95</f>
        <v>40669</v>
      </c>
      <c r="D49" s="470">
        <f t="shared" si="1"/>
        <v>285837</v>
      </c>
      <c r="F49" s="1069"/>
      <c r="G49" s="1069"/>
      <c r="H49" s="1069"/>
      <c r="I49" s="1069"/>
      <c r="J49" s="1069"/>
      <c r="K49" s="1069"/>
      <c r="L49" s="1069"/>
    </row>
    <row r="50" spans="2:12" ht="15">
      <c r="B50" s="72" t="s">
        <v>53</v>
      </c>
      <c r="C50" s="470">
        <f>'IB 3A1_3A2_3C6'!C96</f>
        <v>48823</v>
      </c>
      <c r="D50" s="470">
        <f t="shared" si="1"/>
        <v>186634</v>
      </c>
      <c r="F50" s="1069"/>
      <c r="G50" s="1069"/>
      <c r="H50" s="1069"/>
      <c r="I50" s="1069"/>
      <c r="J50" s="1069"/>
      <c r="K50" s="1069"/>
      <c r="L50" s="1069"/>
    </row>
    <row r="51" spans="2:12" ht="15">
      <c r="B51" s="72" t="s">
        <v>54</v>
      </c>
      <c r="C51" s="470">
        <f>'IB 3A1_3A2_3C6'!C97</f>
        <v>17837</v>
      </c>
      <c r="D51" s="470">
        <f t="shared" si="1"/>
        <v>95765</v>
      </c>
      <c r="F51" s="1069"/>
      <c r="G51" s="1069"/>
      <c r="H51" s="1069"/>
      <c r="I51" s="1069"/>
      <c r="J51" s="1069"/>
      <c r="K51" s="1069"/>
      <c r="L51" s="1069"/>
    </row>
    <row r="52" spans="2:12" ht="15">
      <c r="B52" s="73" t="s">
        <v>55</v>
      </c>
      <c r="C52" s="470">
        <f>'IB 3A1_3A2_3C6'!C98</f>
        <v>71092</v>
      </c>
      <c r="D52" s="470">
        <f t="shared" si="1"/>
        <v>179759</v>
      </c>
      <c r="F52" s="1069"/>
      <c r="G52" s="1069"/>
      <c r="H52" s="1069"/>
      <c r="I52" s="1069"/>
      <c r="J52" s="1069"/>
      <c r="K52" s="1069"/>
      <c r="L52" s="1069"/>
    </row>
    <row r="53" spans="2:12" ht="15">
      <c r="B53" s="72" t="s">
        <v>56</v>
      </c>
      <c r="C53" s="470">
        <f>'IB 3A1_3A2_3C6'!C99</f>
        <v>1228</v>
      </c>
      <c r="D53" s="470">
        <f t="shared" si="1"/>
        <v>44962</v>
      </c>
      <c r="F53" s="1069"/>
      <c r="G53" s="1069"/>
      <c r="H53" s="1069"/>
      <c r="I53" s="1069"/>
      <c r="J53" s="1069"/>
      <c r="K53" s="1069"/>
      <c r="L53" s="1069"/>
    </row>
    <row r="54" spans="2:12" ht="15">
      <c r="B54" s="72" t="s">
        <v>57</v>
      </c>
      <c r="C54" s="470">
        <f>'IB 3A1_3A2_3C6'!C100</f>
        <v>1354</v>
      </c>
      <c r="D54" s="470">
        <f t="shared" si="1"/>
        <v>55526</v>
      </c>
      <c r="F54" s="1069"/>
      <c r="G54" s="1069"/>
      <c r="H54" s="1069"/>
      <c r="I54" s="1069"/>
      <c r="J54" s="1069"/>
      <c r="K54" s="1069"/>
      <c r="L54" s="1069"/>
    </row>
    <row r="55" spans="2:12" ht="15">
      <c r="B55" s="72" t="s">
        <v>58</v>
      </c>
      <c r="C55" s="470">
        <f>'IB 3A1_3A2_3C6'!C101</f>
        <v>5671</v>
      </c>
      <c r="D55" s="470">
        <f t="shared" si="1"/>
        <v>18050</v>
      </c>
      <c r="F55" s="1069"/>
      <c r="G55" s="1069"/>
      <c r="H55" s="1069"/>
      <c r="I55" s="1069"/>
      <c r="J55" s="1069"/>
      <c r="K55" s="1069"/>
      <c r="L55" s="1069"/>
    </row>
    <row r="56" spans="2:12" ht="15">
      <c r="B56" s="72" t="s">
        <v>59</v>
      </c>
      <c r="C56" s="470">
        <f>'IB 3A1_3A2_3C6'!C102</f>
        <v>29614</v>
      </c>
      <c r="D56" s="470">
        <f t="shared" si="1"/>
        <v>89928</v>
      </c>
      <c r="F56" s="1069"/>
      <c r="G56" s="1069"/>
      <c r="H56" s="1069"/>
      <c r="I56" s="1069"/>
      <c r="J56" s="1069"/>
      <c r="K56" s="1069"/>
      <c r="L56" s="1069"/>
    </row>
    <row r="57" spans="2:4" ht="15">
      <c r="B57" s="72" t="s">
        <v>60</v>
      </c>
      <c r="C57" s="470">
        <f>'IB 3A1_3A2_3C6'!C103</f>
        <v>24072</v>
      </c>
      <c r="D57" s="470">
        <f t="shared" si="1"/>
        <v>234109</v>
      </c>
    </row>
    <row r="58" spans="2:4" ht="15">
      <c r="B58" s="72" t="s">
        <v>61</v>
      </c>
      <c r="C58" s="470">
        <f>'IB 3A1_3A2_3C6'!C104</f>
        <v>95949</v>
      </c>
      <c r="D58" s="470">
        <f t="shared" si="1"/>
        <v>637311</v>
      </c>
    </row>
    <row r="59" spans="2:4" ht="15">
      <c r="B59" s="72" t="s">
        <v>62</v>
      </c>
      <c r="C59" s="470">
        <f>'IB 3A1_3A2_3C6'!C105</f>
        <v>19732</v>
      </c>
      <c r="D59" s="470">
        <f t="shared" si="1"/>
        <v>192111</v>
      </c>
    </row>
    <row r="60" spans="2:4" ht="15">
      <c r="B60" s="72" t="s">
        <v>63</v>
      </c>
      <c r="C60" s="470">
        <f>'IB 3A1_3A2_3C6'!C106</f>
        <v>5692</v>
      </c>
      <c r="D60" s="470">
        <f t="shared" si="1"/>
        <v>13192</v>
      </c>
    </row>
    <row r="61" spans="2:4" ht="15">
      <c r="B61" s="72" t="s">
        <v>64</v>
      </c>
      <c r="C61" s="470">
        <f>'IB 3A1_3A2_3C6'!C107</f>
        <v>362</v>
      </c>
      <c r="D61" s="470">
        <f t="shared" si="1"/>
        <v>21838</v>
      </c>
    </row>
    <row r="62" spans="2:4" ht="15">
      <c r="B62" s="72" t="s">
        <v>65</v>
      </c>
      <c r="C62" s="470">
        <f>'IB 3A1_3A2_3C6'!C108</f>
        <v>3631</v>
      </c>
      <c r="D62" s="470">
        <f t="shared" si="1"/>
        <v>42074</v>
      </c>
    </row>
    <row r="63" spans="2:13" ht="15">
      <c r="B63" s="63"/>
      <c r="C63" s="982"/>
      <c r="D63" s="982"/>
      <c r="E63" s="982"/>
      <c r="F63" s="982"/>
      <c r="H63" s="982"/>
      <c r="I63" s="982"/>
      <c r="J63" s="1070"/>
      <c r="K63" s="1070"/>
      <c r="L63" s="982"/>
      <c r="M63" s="85"/>
    </row>
    <row r="64" spans="2:45" ht="15">
      <c r="B64" s="303" t="s">
        <v>1063</v>
      </c>
      <c r="C64" s="1066"/>
      <c r="D64" s="1066"/>
      <c r="E64" s="1066"/>
      <c r="F64" s="1066"/>
      <c r="G64" s="1066"/>
      <c r="H64" s="1066"/>
      <c r="I64" s="1066"/>
      <c r="J64" s="1066"/>
      <c r="AE64" s="53"/>
      <c r="AF64" s="53"/>
      <c r="AG64" s="53"/>
      <c r="AH64" s="53"/>
      <c r="AI64" s="53"/>
      <c r="AJ64" s="53"/>
      <c r="AK64" s="53"/>
      <c r="AL64" s="53"/>
      <c r="AM64" s="53"/>
      <c r="AN64" s="53"/>
      <c r="AO64" s="53"/>
      <c r="AP64" s="53"/>
      <c r="AQ64" s="53"/>
      <c r="AR64" s="53"/>
      <c r="AS64" s="53"/>
    </row>
    <row r="65" spans="3:30" ht="15">
      <c r="C65" s="1071"/>
      <c r="D65" s="1071"/>
      <c r="AC65"/>
      <c r="AD65"/>
    </row>
    <row r="66" spans="2:30" ht="25.5">
      <c r="B66" s="1216" t="s">
        <v>1064</v>
      </c>
      <c r="C66" s="1308"/>
      <c r="D66" s="1072" t="s">
        <v>1073</v>
      </c>
      <c r="E66" s="1073" t="s">
        <v>1050</v>
      </c>
      <c r="F66" s="1072" t="s">
        <v>1065</v>
      </c>
      <c r="I66" s="1074"/>
      <c r="J66" s="1074"/>
      <c r="K66" s="1074"/>
      <c r="L66" s="1074"/>
      <c r="AC66"/>
      <c r="AD66"/>
    </row>
    <row r="67" spans="2:30" ht="27" customHeight="1">
      <c r="B67" s="350" t="str">
        <f>+C37</f>
        <v>Ganado vacuno lechero</v>
      </c>
      <c r="C67" s="1075" t="s">
        <v>1545</v>
      </c>
      <c r="D67" s="1310">
        <f>+'IB 3A1_3A2_3C6'!E118</f>
        <v>0.3962622792587024</v>
      </c>
      <c r="E67" s="1076">
        <f>+C38/C8</f>
        <v>0.1617563049865417</v>
      </c>
      <c r="F67" s="351">
        <f aca="true" t="shared" si="2" ref="F67:F73">+E67*$C$8</f>
        <v>905818</v>
      </c>
      <c r="AC67"/>
      <c r="AD67"/>
    </row>
    <row r="68" spans="2:30" ht="27" customHeight="1">
      <c r="B68" s="1309" t="str">
        <f>+D37</f>
        <v>Otro ganado
 vacuno</v>
      </c>
      <c r="C68" s="1075" t="s">
        <v>365</v>
      </c>
      <c r="D68" s="1311"/>
      <c r="E68" s="1076">
        <f>+D67-E67</f>
        <v>0.2345059742721607</v>
      </c>
      <c r="F68" s="351">
        <f t="shared" si="2"/>
        <v>1313208.3637848527</v>
      </c>
      <c r="AC68"/>
      <c r="AD68"/>
    </row>
    <row r="69" spans="2:30" ht="27" customHeight="1">
      <c r="B69" s="1309"/>
      <c r="C69" s="1075" t="s">
        <v>366</v>
      </c>
      <c r="D69" s="1076">
        <f>+'IB 3A1_3A2_3C6'!E119+'IB 3A1_3A2_3C6'!E120</f>
        <v>0.13701144545560667</v>
      </c>
      <c r="E69" s="1076">
        <f>+D69</f>
        <v>0.13701144545560667</v>
      </c>
      <c r="F69" s="351">
        <f t="shared" si="2"/>
        <v>767249.4343267336</v>
      </c>
      <c r="AC69"/>
      <c r="AD69"/>
    </row>
    <row r="70" spans="2:30" ht="27" customHeight="1">
      <c r="B70" s="1309"/>
      <c r="C70" s="1075" t="s">
        <v>1074</v>
      </c>
      <c r="D70" s="1310">
        <f>+'IB 3A1_3A2_3C6'!E121+'IB 3A1_3A2_3C6'!E122</f>
        <v>0.16506207339870244</v>
      </c>
      <c r="E70" s="1076">
        <f>+D70*'IB 3A1_3A2_3C6'!E127</f>
        <v>0.04538892621380798</v>
      </c>
      <c r="F70" s="351">
        <f t="shared" si="2"/>
        <v>254173.13018221981</v>
      </c>
      <c r="AC70"/>
      <c r="AD70"/>
    </row>
    <row r="71" spans="2:30" ht="27" customHeight="1">
      <c r="B71" s="1309"/>
      <c r="C71" s="1075" t="s">
        <v>1075</v>
      </c>
      <c r="D71" s="1311"/>
      <c r="E71" s="1076">
        <f>+D70*'IB 3A1_3A2_3C6'!E128</f>
        <v>0.11967314718489445</v>
      </c>
      <c r="F71" s="351">
        <f t="shared" si="2"/>
        <v>670156.8192086602</v>
      </c>
      <c r="AC71"/>
      <c r="AD71"/>
    </row>
    <row r="72" spans="2:30" ht="27" customHeight="1">
      <c r="B72" s="1309"/>
      <c r="C72" s="1075" t="s">
        <v>367</v>
      </c>
      <c r="D72" s="1076">
        <f>+'IB 3A1_3A2_3C6'!E123</f>
        <v>0.07776601848134188</v>
      </c>
      <c r="E72" s="1076">
        <f>+D72</f>
        <v>0.07776601848134188</v>
      </c>
      <c r="F72" s="351">
        <f t="shared" si="2"/>
        <v>435481.382531537</v>
      </c>
      <c r="AC72"/>
      <c r="AD72"/>
    </row>
    <row r="73" spans="2:30" ht="27" customHeight="1">
      <c r="B73" s="1309"/>
      <c r="C73" s="1075" t="s">
        <v>736</v>
      </c>
      <c r="D73" s="1076">
        <f>+'IB 3A1_3A2_3C6'!E124</f>
        <v>0.2238981834056466</v>
      </c>
      <c r="E73" s="1076">
        <f>+D73</f>
        <v>0.2238981834056466</v>
      </c>
      <c r="F73" s="351">
        <f t="shared" si="2"/>
        <v>1253805.8699659966</v>
      </c>
      <c r="AC73"/>
      <c r="AD73"/>
    </row>
    <row r="74" spans="2:13" ht="15">
      <c r="B74" s="63"/>
      <c r="C74" s="982"/>
      <c r="D74" s="982"/>
      <c r="E74" s="982"/>
      <c r="F74" s="982"/>
      <c r="H74" s="982"/>
      <c r="I74" s="982"/>
      <c r="J74" s="1070"/>
      <c r="K74" s="1070"/>
      <c r="L74" s="982"/>
      <c r="M74" s="85"/>
    </row>
    <row r="75" spans="2:13" ht="15">
      <c r="B75" s="303" t="s">
        <v>356</v>
      </c>
      <c r="C75" s="1066"/>
      <c r="D75" s="1066"/>
      <c r="E75" s="1066"/>
      <c r="F75" s="1066"/>
      <c r="G75" s="1066"/>
      <c r="H75" s="1066"/>
      <c r="I75" s="1066"/>
      <c r="J75" s="1066"/>
      <c r="K75" s="1070"/>
      <c r="L75" s="982"/>
      <c r="M75" s="85"/>
    </row>
    <row r="76" spans="3:6" ht="15">
      <c r="C76" s="1077"/>
      <c r="D76" s="1077"/>
      <c r="E76" s="1077"/>
      <c r="F76" s="1077"/>
    </row>
    <row r="77" spans="2:6" ht="15">
      <c r="B77" s="474" t="s">
        <v>1158</v>
      </c>
      <c r="C77" s="1078" t="s">
        <v>76</v>
      </c>
      <c r="D77" s="1079" t="s">
        <v>77</v>
      </c>
      <c r="E77" s="1078" t="s">
        <v>78</v>
      </c>
      <c r="F77" s="1079" t="s">
        <v>79</v>
      </c>
    </row>
    <row r="78" spans="2:6" ht="15">
      <c r="B78" s="86" t="s">
        <v>69</v>
      </c>
      <c r="C78" s="1080">
        <f>SUM(C79:C102)</f>
        <v>2121365.8522205018</v>
      </c>
      <c r="D78" s="1080">
        <f>SUM(D79:D102)</f>
        <v>2121365852.2205005</v>
      </c>
      <c r="E78" s="1080">
        <f>SUM(E79:E102)</f>
        <v>5811961.238960275</v>
      </c>
      <c r="F78" s="1080">
        <f>AVERAGE(F79:F102)</f>
        <v>6.176273728773975</v>
      </c>
    </row>
    <row r="79" spans="2:6" ht="15">
      <c r="B79" s="72" t="s">
        <v>43</v>
      </c>
      <c r="C79" s="1081">
        <f>'IB 3A1_3A2_3C6'!C139</f>
        <v>98574.14841210001</v>
      </c>
      <c r="D79" s="1081">
        <f>C79*'F. de Conversión'!$C$17</f>
        <v>98574148.41210002</v>
      </c>
      <c r="E79" s="1081">
        <f aca="true" t="shared" si="3" ref="E79:E102">D79/365</f>
        <v>270066.16003315075</v>
      </c>
      <c r="F79" s="1081">
        <f>E79/'IB 3A1_3A2_3C6'!C85</f>
        <v>3.3918109093245765</v>
      </c>
    </row>
    <row r="80" spans="2:6" ht="15">
      <c r="B80" s="72" t="s">
        <v>223</v>
      </c>
      <c r="C80" s="1081">
        <f>'IB 3A1_3A2_3C6'!C140</f>
        <v>18180.571300000003</v>
      </c>
      <c r="D80" s="1081">
        <f>C80*'F. de Conversión'!$C$17</f>
        <v>18180571.300000004</v>
      </c>
      <c r="E80" s="1081">
        <f t="shared" si="3"/>
        <v>49809.78438356166</v>
      </c>
      <c r="F80" s="1081">
        <f>E80/'IB 3A1_3A2_3C6'!C86</f>
        <v>3.354871986499741</v>
      </c>
    </row>
    <row r="81" spans="2:6" ht="15">
      <c r="B81" s="72" t="s">
        <v>44</v>
      </c>
      <c r="C81" s="1081">
        <f>'IB 3A1_3A2_3C6'!C141</f>
        <v>33399.52044</v>
      </c>
      <c r="D81" s="1081">
        <f>C81*'F. de Conversión'!$C$17</f>
        <v>33399520.44</v>
      </c>
      <c r="E81" s="1081">
        <f t="shared" si="3"/>
        <v>91505.5354520548</v>
      </c>
      <c r="F81" s="1081">
        <f>E81/'IB 3A1_3A2_3C6'!C87</f>
        <v>2.87527212732301</v>
      </c>
    </row>
    <row r="82" spans="2:6" ht="15">
      <c r="B82" s="72" t="s">
        <v>45</v>
      </c>
      <c r="C82" s="1081">
        <f>'IB 3A1_3A2_3C6'!C142</f>
        <v>357459.77829</v>
      </c>
      <c r="D82" s="1081">
        <f>C82*'F. de Conversión'!$C$17</f>
        <v>357459778.28999996</v>
      </c>
      <c r="E82" s="1081">
        <f t="shared" si="3"/>
        <v>979341.858328767</v>
      </c>
      <c r="F82" s="1081">
        <f>E82/'IB 3A1_3A2_3C6'!C88</f>
        <v>12.9308245418853</v>
      </c>
    </row>
    <row r="83" spans="2:6" ht="15">
      <c r="B83" s="72" t="s">
        <v>46</v>
      </c>
      <c r="C83" s="1081">
        <f>'IB 3A1_3A2_3C6'!C143</f>
        <v>66387.4743015</v>
      </c>
      <c r="D83" s="1081">
        <f>C83*'F. de Conversión'!$C$17</f>
        <v>66387474.3015</v>
      </c>
      <c r="E83" s="1081">
        <f t="shared" si="3"/>
        <v>181883.4912369863</v>
      </c>
      <c r="F83" s="1081">
        <f>E83/'IB 3A1_3A2_3C6'!C89</f>
        <v>5.397937119364484</v>
      </c>
    </row>
    <row r="84" spans="2:6" ht="15">
      <c r="B84" s="72" t="s">
        <v>47</v>
      </c>
      <c r="C84" s="1081">
        <f>'IB 3A1_3A2_3C6'!C144</f>
        <v>383135.70026262605</v>
      </c>
      <c r="D84" s="1081">
        <f>C84*'F. de Conversión'!$C$17</f>
        <v>383135700.26262605</v>
      </c>
      <c r="E84" s="1081">
        <f t="shared" si="3"/>
        <v>1049686.850034592</v>
      </c>
      <c r="F84" s="1081">
        <f>E84/'IB 3A1_3A2_3C6'!C90</f>
        <v>6.3918771543069255</v>
      </c>
    </row>
    <row r="85" spans="2:6" ht="15">
      <c r="B85" s="72" t="s">
        <v>48</v>
      </c>
      <c r="C85" s="1081">
        <f>'IB 3A1_3A2_3C6'!C145</f>
        <v>110781.09178290001</v>
      </c>
      <c r="D85" s="1081">
        <f>C85*'F. de Conversión'!$C$17</f>
        <v>110781091.7829</v>
      </c>
      <c r="E85" s="1081">
        <f t="shared" si="3"/>
        <v>303509.8405010959</v>
      </c>
      <c r="F85" s="1081">
        <f>E85/'IB 3A1_3A2_3C6'!C91</f>
        <v>3.7670328968734754</v>
      </c>
    </row>
    <row r="86" spans="2:6" ht="15">
      <c r="B86" s="72" t="s">
        <v>49</v>
      </c>
      <c r="C86" s="1081">
        <f>'IB 3A1_3A2_3C6'!C146</f>
        <v>23253.80115310201</v>
      </c>
      <c r="D86" s="1081">
        <f>C86*'F. de Conversión'!$C$17</f>
        <v>23253801.15310201</v>
      </c>
      <c r="E86" s="1081">
        <f t="shared" si="3"/>
        <v>63709.044255074004</v>
      </c>
      <c r="F86" s="1081">
        <f>E86/'IB 3A1_3A2_3C6'!C92</f>
        <v>5.256521803223928</v>
      </c>
    </row>
    <row r="87" spans="2:6" ht="15">
      <c r="B87" s="72" t="s">
        <v>50</v>
      </c>
      <c r="C87" s="1081">
        <f>'IB 3A1_3A2_3C6'!C147</f>
        <v>54681.512412006</v>
      </c>
      <c r="D87" s="1081">
        <f>C87*'F. de Conversión'!$C$17</f>
        <v>54681512.412006</v>
      </c>
      <c r="E87" s="1081">
        <f t="shared" si="3"/>
        <v>149812.36277261918</v>
      </c>
      <c r="F87" s="1081">
        <f>E87/'IB 3A1_3A2_3C6'!C93</f>
        <v>4.290650783956329</v>
      </c>
    </row>
    <row r="88" spans="2:6" ht="15">
      <c r="B88" s="72" t="s">
        <v>51</v>
      </c>
      <c r="C88" s="1081">
        <f>'IB 3A1_3A2_3C6'!C148</f>
        <v>68271.0252687</v>
      </c>
      <c r="D88" s="1081">
        <f>C88*'F. de Conversión'!$C$17</f>
        <v>68271025.2687</v>
      </c>
      <c r="E88" s="1081">
        <f t="shared" si="3"/>
        <v>187043.90484575342</v>
      </c>
      <c r="F88" s="1081">
        <f>E88/'IB 3A1_3A2_3C6'!C94</f>
        <v>14.919351108379471</v>
      </c>
    </row>
    <row r="89" spans="2:6" ht="15">
      <c r="B89" s="72" t="s">
        <v>52</v>
      </c>
      <c r="C89" s="1081">
        <f>'IB 3A1_3A2_3C6'!C149</f>
        <v>57189.61593870601</v>
      </c>
      <c r="D89" s="1081">
        <f>C89*'F. de Conversión'!$C$17</f>
        <v>57189615.93870601</v>
      </c>
      <c r="E89" s="1081">
        <f t="shared" si="3"/>
        <v>156683.87928412604</v>
      </c>
      <c r="F89" s="1081">
        <f>E89/'IB 3A1_3A2_3C6'!C95</f>
        <v>3.8526612231460335</v>
      </c>
    </row>
    <row r="90" spans="2:6" ht="15">
      <c r="B90" s="72" t="s">
        <v>53</v>
      </c>
      <c r="C90" s="1081">
        <f>'IB 3A1_3A2_3C6'!C150</f>
        <v>151171.35508000004</v>
      </c>
      <c r="D90" s="1081">
        <f>C90*'F. de Conversión'!$C$17</f>
        <v>151171355.08000004</v>
      </c>
      <c r="E90" s="1081">
        <f t="shared" si="3"/>
        <v>414168.09610958915</v>
      </c>
      <c r="F90" s="1081">
        <f>E90/'IB 3A1_3A2_3C6'!C96</f>
        <v>8.48305298956617</v>
      </c>
    </row>
    <row r="91" spans="2:6" ht="15">
      <c r="B91" s="72" t="s">
        <v>54</v>
      </c>
      <c r="C91" s="1081">
        <f>'IB 3A1_3A2_3C6'!C151</f>
        <v>56664.945999999996</v>
      </c>
      <c r="D91" s="1081">
        <f>C91*'F. de Conversión'!$C$17</f>
        <v>56664946</v>
      </c>
      <c r="E91" s="1081">
        <f t="shared" si="3"/>
        <v>155246.42739726027</v>
      </c>
      <c r="F91" s="1081">
        <f>E91/'IB 3A1_3A2_3C6'!C97</f>
        <v>8.703617614916201</v>
      </c>
    </row>
    <row r="92" spans="2:6" ht="15">
      <c r="B92" s="73" t="s">
        <v>55</v>
      </c>
      <c r="C92" s="1081">
        <f>'IB 3A1_3A2_3C6'!C152</f>
        <v>352867.930640825</v>
      </c>
      <c r="D92" s="1081">
        <f>C92*'F. de Conversión'!$C$17</f>
        <v>352867930.64082503</v>
      </c>
      <c r="E92" s="1081">
        <f t="shared" si="3"/>
        <v>966761.4538104795</v>
      </c>
      <c r="F92" s="1081">
        <f>E92/'IB 3A1_3A2_3C6'!C98</f>
        <v>13.598737604941196</v>
      </c>
    </row>
    <row r="93" spans="2:6" ht="15">
      <c r="B93" s="72" t="s">
        <v>56</v>
      </c>
      <c r="C93" s="1081">
        <f>'IB 3A1_3A2_3C6'!C153</f>
        <v>1765.5585042</v>
      </c>
      <c r="D93" s="1081">
        <f>C93*'F. de Conversión'!$C$17</f>
        <v>1765558.5042</v>
      </c>
      <c r="E93" s="1081">
        <f t="shared" si="3"/>
        <v>4837.146586849315</v>
      </c>
      <c r="F93" s="1081">
        <f>E93/'IB 3A1_3A2_3C6'!C99</f>
        <v>3.93904445183169</v>
      </c>
    </row>
    <row r="94" spans="2:6" ht="15">
      <c r="B94" s="72" t="s">
        <v>57</v>
      </c>
      <c r="C94" s="1081">
        <f>'IB 3A1_3A2_3C6'!C154</f>
        <v>1687.4708356610001</v>
      </c>
      <c r="D94" s="1081">
        <f>C94*'F. de Conversión'!$C$17</f>
        <v>1687470.835661</v>
      </c>
      <c r="E94" s="1081">
        <f t="shared" si="3"/>
        <v>4623.207768934247</v>
      </c>
      <c r="F94" s="1081">
        <f>E94/'IB 3A1_3A2_3C6'!C100</f>
        <v>3.4144813655348942</v>
      </c>
    </row>
    <row r="95" spans="2:6" ht="15">
      <c r="B95" s="72" t="s">
        <v>58</v>
      </c>
      <c r="C95" s="1081">
        <f>'IB 3A1_3A2_3C6'!C155</f>
        <v>17576.1958104</v>
      </c>
      <c r="D95" s="1081">
        <f>C95*'F. de Conversión'!$C$17</f>
        <v>17576195.8104</v>
      </c>
      <c r="E95" s="1081">
        <f t="shared" si="3"/>
        <v>48153.96112438357</v>
      </c>
      <c r="F95" s="1081">
        <f>E95/'IB 3A1_3A2_3C6'!C101</f>
        <v>8.491264525548152</v>
      </c>
    </row>
    <row r="96" spans="2:6" ht="15">
      <c r="B96" s="72" t="s">
        <v>59</v>
      </c>
      <c r="C96" s="1081">
        <f>'IB 3A1_3A2_3C6'!C156</f>
        <v>34999.069031432</v>
      </c>
      <c r="D96" s="1081">
        <f>C96*'F. de Conversión'!$C$17</f>
        <v>34999069.031432</v>
      </c>
      <c r="E96" s="1081">
        <f t="shared" si="3"/>
        <v>95887.86036008768</v>
      </c>
      <c r="F96" s="1081">
        <f>E96/'IB 3A1_3A2_3C6'!C102</f>
        <v>3.2379232916893255</v>
      </c>
    </row>
    <row r="97" spans="2:6" ht="15">
      <c r="B97" s="72" t="s">
        <v>60</v>
      </c>
      <c r="C97" s="1081">
        <f>'IB 3A1_3A2_3C6'!C157</f>
        <v>42121.71450830964</v>
      </c>
      <c r="D97" s="1081">
        <f>C97*'F. de Conversión'!$C$17</f>
        <v>42121714.50830964</v>
      </c>
      <c r="E97" s="1081">
        <f t="shared" si="3"/>
        <v>115401.9575570127</v>
      </c>
      <c r="F97" s="1081">
        <f>E97/'IB 3A1_3A2_3C6'!C103</f>
        <v>4.794032799809434</v>
      </c>
    </row>
    <row r="98" spans="2:6" ht="15">
      <c r="B98" s="72" t="s">
        <v>61</v>
      </c>
      <c r="C98" s="1081">
        <f>'IB 3A1_3A2_3C6'!C158</f>
        <v>127009.357</v>
      </c>
      <c r="D98" s="1081">
        <f>C98*'F. de Conversión'!$C$17</f>
        <v>127009357</v>
      </c>
      <c r="E98" s="1081">
        <f t="shared" si="3"/>
        <v>347970.8410958904</v>
      </c>
      <c r="F98" s="1081">
        <f>E98/'IB 3A1_3A2_3C6'!C104</f>
        <v>3.626622904833718</v>
      </c>
    </row>
    <row r="99" spans="2:6" ht="15">
      <c r="B99" s="72" t="s">
        <v>62</v>
      </c>
      <c r="C99" s="1081">
        <f>'IB 3A1_3A2_3C6'!C159</f>
        <v>33766.15528143001</v>
      </c>
      <c r="D99" s="1081">
        <f>C99*'F. de Conversión'!$C$17</f>
        <v>33766155.281430006</v>
      </c>
      <c r="E99" s="1081">
        <f t="shared" si="3"/>
        <v>92510.01446967125</v>
      </c>
      <c r="F99" s="1081">
        <f>E99/'IB 3A1_3A2_3C6'!C105</f>
        <v>4.688324268683927</v>
      </c>
    </row>
    <row r="100" spans="2:6" ht="15">
      <c r="B100" s="72" t="s">
        <v>63</v>
      </c>
      <c r="C100" s="1081">
        <f>'IB 3A1_3A2_3C6'!C160</f>
        <v>24451.253937000005</v>
      </c>
      <c r="D100" s="1081">
        <f>C100*'F. de Conversión'!$C$17</f>
        <v>24451253.937000006</v>
      </c>
      <c r="E100" s="1081">
        <f t="shared" si="3"/>
        <v>66989.73681369865</v>
      </c>
      <c r="F100" s="1081">
        <f>E100/'IB 3A1_3A2_3C6'!C106</f>
        <v>11.769103445836024</v>
      </c>
    </row>
    <row r="101" spans="2:6" ht="15">
      <c r="B101" s="72" t="s">
        <v>64</v>
      </c>
      <c r="C101" s="1081">
        <f>'IB 3A1_3A2_3C6'!C161</f>
        <v>374.3165964</v>
      </c>
      <c r="D101" s="1081">
        <f>C101*'F. de Conversión'!$C$17</f>
        <v>374316.5964</v>
      </c>
      <c r="E101" s="1081">
        <f t="shared" si="3"/>
        <v>1025.5249216438356</v>
      </c>
      <c r="F101" s="1081">
        <f>E101/'IB 3A1_3A2_3C6'!C107</f>
        <v>2.8329417724967834</v>
      </c>
    </row>
    <row r="102" spans="2:6" ht="15">
      <c r="B102" s="72" t="s">
        <v>65</v>
      </c>
      <c r="C102" s="1081">
        <f>'IB 3A1_3A2_3C6'!C162</f>
        <v>5596.289433203289</v>
      </c>
      <c r="D102" s="1081">
        <f>C102*'F. de Conversión'!$C$17</f>
        <v>5596289.433203289</v>
      </c>
      <c r="E102" s="1081">
        <f t="shared" si="3"/>
        <v>15332.299816995313</v>
      </c>
      <c r="F102" s="1081">
        <f>E102/'IB 3A1_3A2_3C6'!C108</f>
        <v>4.222610800604603</v>
      </c>
    </row>
    <row r="104" spans="2:10" ht="15">
      <c r="B104" s="303" t="s">
        <v>1083</v>
      </c>
      <c r="C104" s="1066"/>
      <c r="D104" s="1066"/>
      <c r="E104" s="1066"/>
      <c r="F104" s="1066"/>
      <c r="G104" s="1066"/>
      <c r="H104" s="1066"/>
      <c r="I104" s="1066"/>
      <c r="J104" s="1066"/>
    </row>
    <row r="105" spans="3:4" ht="15">
      <c r="C105" s="1071"/>
      <c r="D105" s="1071"/>
    </row>
    <row r="106" spans="2:4" ht="15">
      <c r="B106" s="69" t="s">
        <v>70</v>
      </c>
      <c r="C106" s="1082" t="s">
        <v>110</v>
      </c>
      <c r="D106" s="1082" t="s">
        <v>112</v>
      </c>
    </row>
    <row r="107" spans="2:4" ht="15">
      <c r="B107" s="215" t="s">
        <v>43</v>
      </c>
      <c r="C107" s="1083">
        <f>'IB 3A1_3A2_3C6'!C202</f>
        <v>15</v>
      </c>
      <c r="D107" s="1083" t="s">
        <v>116</v>
      </c>
    </row>
    <row r="108" spans="2:4" ht="15">
      <c r="B108" s="216" t="s">
        <v>223</v>
      </c>
      <c r="C108" s="1084">
        <f>'IB 3A1_3A2_3C6'!C203</f>
        <v>12.5</v>
      </c>
      <c r="D108" s="1084" t="s">
        <v>113</v>
      </c>
    </row>
    <row r="109" spans="2:4" ht="15">
      <c r="B109" s="216" t="s">
        <v>44</v>
      </c>
      <c r="C109" s="1084">
        <f>'IB 3A1_3A2_3C6'!C204</f>
        <v>14.6</v>
      </c>
      <c r="D109" s="1084" t="s">
        <v>113</v>
      </c>
    </row>
    <row r="110" spans="2:4" ht="15">
      <c r="B110" s="215" t="s">
        <v>45</v>
      </c>
      <c r="C110" s="1083">
        <f>'IB 3A1_3A2_3C6'!C205</f>
        <v>17</v>
      </c>
      <c r="D110" s="1083" t="s">
        <v>116</v>
      </c>
    </row>
    <row r="111" spans="2:4" ht="15">
      <c r="B111" s="215" t="s">
        <v>46</v>
      </c>
      <c r="C111" s="1083">
        <f>'IB 3A1_3A2_3C6'!C206</f>
        <v>17</v>
      </c>
      <c r="D111" s="1083" t="s">
        <v>116</v>
      </c>
    </row>
    <row r="112" spans="2:4" ht="15">
      <c r="B112" s="215" t="s">
        <v>47</v>
      </c>
      <c r="C112" s="1083">
        <f>'IB 3A1_3A2_3C6'!C207</f>
        <v>15</v>
      </c>
      <c r="D112" s="1083" t="s">
        <v>116</v>
      </c>
    </row>
    <row r="113" spans="2:4" ht="15">
      <c r="B113" s="217" t="s">
        <v>48</v>
      </c>
      <c r="C113" s="992">
        <f>'IB 3A1_3A2_3C6'!C208</f>
        <v>12.9</v>
      </c>
      <c r="D113" s="992" t="s">
        <v>114</v>
      </c>
    </row>
    <row r="114" spans="2:4" ht="15">
      <c r="B114" s="217" t="s">
        <v>49</v>
      </c>
      <c r="C114" s="992">
        <f>'IB 3A1_3A2_3C6'!C209</f>
        <v>10.7</v>
      </c>
      <c r="D114" s="992" t="s">
        <v>114</v>
      </c>
    </row>
    <row r="115" spans="2:4" ht="15">
      <c r="B115" s="215" t="s">
        <v>50</v>
      </c>
      <c r="C115" s="1083">
        <f>'IB 3A1_3A2_3C6'!C210</f>
        <v>20.4</v>
      </c>
      <c r="D115" s="1083" t="s">
        <v>116</v>
      </c>
    </row>
    <row r="116" spans="2:4" ht="15">
      <c r="B116" s="215" t="s">
        <v>51</v>
      </c>
      <c r="C116" s="1083">
        <f>'IB 3A1_3A2_3C6'!C211</f>
        <v>22.1</v>
      </c>
      <c r="D116" s="1083" t="s">
        <v>116</v>
      </c>
    </row>
    <row r="117" spans="2:4" ht="15">
      <c r="B117" s="217" t="s">
        <v>52</v>
      </c>
      <c r="C117" s="992">
        <f>'IB 3A1_3A2_3C6'!C212</f>
        <v>12.3</v>
      </c>
      <c r="D117" s="992" t="s">
        <v>114</v>
      </c>
    </row>
    <row r="118" spans="2:4" ht="15">
      <c r="B118" s="215" t="s">
        <v>53</v>
      </c>
      <c r="C118" s="1083">
        <f>'IB 3A1_3A2_3C6'!C213</f>
        <v>20.6</v>
      </c>
      <c r="D118" s="1083" t="s">
        <v>116</v>
      </c>
    </row>
    <row r="119" spans="2:4" ht="15">
      <c r="B119" s="215" t="s">
        <v>54</v>
      </c>
      <c r="C119" s="1083">
        <f>'IB 3A1_3A2_3C6'!C214</f>
        <v>21.5</v>
      </c>
      <c r="D119" s="1083" t="s">
        <v>116</v>
      </c>
    </row>
    <row r="120" spans="2:4" ht="15">
      <c r="B120" s="215" t="s">
        <v>55</v>
      </c>
      <c r="C120" s="1083">
        <f>'IB 3A1_3A2_3C6'!C215</f>
        <v>19.6</v>
      </c>
      <c r="D120" s="1083" t="s">
        <v>116</v>
      </c>
    </row>
    <row r="121" spans="2:4" ht="15">
      <c r="B121" s="218" t="s">
        <v>56</v>
      </c>
      <c r="C121" s="1085">
        <f>'IB 3A1_3A2_3C6'!C216</f>
        <v>27.4</v>
      </c>
      <c r="D121" s="1085" t="s">
        <v>115</v>
      </c>
    </row>
    <row r="122" spans="2:4" ht="15">
      <c r="B122" s="218" t="s">
        <v>57</v>
      </c>
      <c r="C122" s="1085">
        <f>'IB 3A1_3A2_3C6'!C217</f>
        <v>26.6</v>
      </c>
      <c r="D122" s="1085" t="s">
        <v>115</v>
      </c>
    </row>
    <row r="123" spans="2:4" ht="15">
      <c r="B123" s="215" t="s">
        <v>58</v>
      </c>
      <c r="C123" s="1083">
        <f>'IB 3A1_3A2_3C6'!C218</f>
        <v>20</v>
      </c>
      <c r="D123" s="1083" t="s">
        <v>116</v>
      </c>
    </row>
    <row r="124" spans="2:4" ht="15">
      <c r="B124" s="217" t="s">
        <v>59</v>
      </c>
      <c r="C124" s="992">
        <f>'IB 3A1_3A2_3C6'!C219</f>
        <v>5.5</v>
      </c>
      <c r="D124" s="992" t="s">
        <v>114</v>
      </c>
    </row>
    <row r="125" spans="2:4" ht="15">
      <c r="B125" s="218" t="s">
        <v>60</v>
      </c>
      <c r="C125" s="1085">
        <f>'IB 3A1_3A2_3C6'!C220</f>
        <v>25.4</v>
      </c>
      <c r="D125" s="1085" t="s">
        <v>115</v>
      </c>
    </row>
    <row r="126" spans="2:4" ht="15">
      <c r="B126" s="217" t="s">
        <v>61</v>
      </c>
      <c r="C126" s="992">
        <f>'IB 3A1_3A2_3C6'!C221</f>
        <v>10.7</v>
      </c>
      <c r="D126" s="992" t="s">
        <v>114</v>
      </c>
    </row>
    <row r="127" spans="2:4" ht="15">
      <c r="B127" s="215" t="s">
        <v>62</v>
      </c>
      <c r="C127" s="1083">
        <f>'IB 3A1_3A2_3C6'!C222</f>
        <v>23</v>
      </c>
      <c r="D127" s="1083" t="s">
        <v>116</v>
      </c>
    </row>
    <row r="128" spans="2:4" ht="15">
      <c r="B128" s="215" t="s">
        <v>63</v>
      </c>
      <c r="C128" s="1083">
        <f>'IB 3A1_3A2_3C6'!C223</f>
        <v>18.2</v>
      </c>
      <c r="D128" s="1083" t="s">
        <v>116</v>
      </c>
    </row>
    <row r="129" spans="2:4" ht="15">
      <c r="B129" s="218" t="s">
        <v>64</v>
      </c>
      <c r="C129" s="1085">
        <f>'IB 3A1_3A2_3C6'!C224</f>
        <v>26.3</v>
      </c>
      <c r="D129" s="1085" t="s">
        <v>115</v>
      </c>
    </row>
    <row r="130" spans="2:4" ht="15">
      <c r="B130" s="218" t="s">
        <v>65</v>
      </c>
      <c r="C130" s="1085">
        <f>'IB 3A1_3A2_3C6'!C225</f>
        <v>25.7</v>
      </c>
      <c r="D130" s="1085" t="s">
        <v>115</v>
      </c>
    </row>
    <row r="131" spans="2:12" ht="15">
      <c r="B131" s="1296" t="s">
        <v>1674</v>
      </c>
      <c r="C131" s="1296"/>
      <c r="D131" s="1296"/>
      <c r="E131" s="1296"/>
      <c r="F131" s="1074"/>
      <c r="G131" s="1074"/>
      <c r="H131" s="1074"/>
      <c r="I131" s="1074"/>
      <c r="J131" s="1074"/>
      <c r="K131" s="1074"/>
      <c r="L131" s="1074"/>
    </row>
    <row r="133" spans="2:14" ht="15">
      <c r="B133" s="1301" t="s">
        <v>120</v>
      </c>
      <c r="C133" s="1301"/>
      <c r="D133" s="1301"/>
      <c r="E133" s="1301"/>
      <c r="F133" s="1301"/>
      <c r="G133" s="1301"/>
      <c r="H133" s="1301"/>
      <c r="I133" s="1301"/>
      <c r="J133" s="1301"/>
      <c r="K133" s="1301"/>
      <c r="L133" s="1301"/>
      <c r="M133" s="1301"/>
      <c r="N133" s="1301"/>
    </row>
    <row r="134" spans="2:21" ht="15">
      <c r="B134" s="88" t="s">
        <v>70</v>
      </c>
      <c r="C134" s="1082" t="s">
        <v>112</v>
      </c>
      <c r="D134" s="1067" t="s">
        <v>107</v>
      </c>
      <c r="E134" s="1067" t="s">
        <v>108</v>
      </c>
      <c r="F134" s="1067" t="s">
        <v>40</v>
      </c>
      <c r="G134" s="1067" t="s">
        <v>39</v>
      </c>
      <c r="H134" s="1067" t="s">
        <v>66</v>
      </c>
      <c r="I134" s="1067" t="s">
        <v>109</v>
      </c>
      <c r="J134" s="1067" t="s">
        <v>41</v>
      </c>
      <c r="K134" s="1067" t="s">
        <v>37</v>
      </c>
      <c r="L134" s="1067" t="s">
        <v>38</v>
      </c>
      <c r="M134" s="54" t="s">
        <v>36</v>
      </c>
      <c r="N134" s="54" t="s">
        <v>68</v>
      </c>
      <c r="P134" t="s">
        <v>695</v>
      </c>
      <c r="Q134" s="3"/>
      <c r="R134" s="3"/>
      <c r="S134" s="3"/>
      <c r="T134" s="3"/>
      <c r="U134" s="3"/>
    </row>
    <row r="135" spans="2:21" ht="12.75">
      <c r="B135" s="89" t="s">
        <v>71</v>
      </c>
      <c r="C135" s="1305" t="s">
        <v>121</v>
      </c>
      <c r="D135" s="1086">
        <f>C40</f>
        <v>14847</v>
      </c>
      <c r="E135" s="1086">
        <f>D40</f>
        <v>291218</v>
      </c>
      <c r="F135" s="1086">
        <f aca="true" t="shared" si="4" ref="F135:N136">D10</f>
        <v>671829</v>
      </c>
      <c r="G135" s="1086">
        <f t="shared" si="4"/>
        <v>169697</v>
      </c>
      <c r="H135" s="1086">
        <f t="shared" si="4"/>
        <v>37856.28055453067</v>
      </c>
      <c r="I135" s="1086">
        <f t="shared" si="4"/>
        <v>74674.60345095719</v>
      </c>
      <c r="J135" s="1086">
        <f t="shared" si="4"/>
        <v>49329</v>
      </c>
      <c r="K135" s="1086">
        <f t="shared" si="4"/>
        <v>10200</v>
      </c>
      <c r="L135" s="1086">
        <f t="shared" si="4"/>
        <v>0</v>
      </c>
      <c r="M135" s="90">
        <f t="shared" si="4"/>
        <v>824473.8496257591</v>
      </c>
      <c r="N135" s="90">
        <f t="shared" si="4"/>
        <v>532565.1894486242</v>
      </c>
      <c r="P135" s="3"/>
      <c r="Q135" s="3"/>
      <c r="R135" s="3"/>
      <c r="S135" s="3"/>
      <c r="T135" s="3"/>
      <c r="U135" s="3"/>
    </row>
    <row r="136" spans="2:21" ht="12.75">
      <c r="B136" s="89" t="s">
        <v>44</v>
      </c>
      <c r="C136" s="1306"/>
      <c r="D136" s="1086">
        <f>C41</f>
        <v>31825</v>
      </c>
      <c r="E136" s="1086">
        <f>D41</f>
        <v>264742</v>
      </c>
      <c r="F136" s="1086">
        <f t="shared" si="4"/>
        <v>456405</v>
      </c>
      <c r="G136" s="1086">
        <f t="shared" si="4"/>
        <v>109518</v>
      </c>
      <c r="H136" s="1086">
        <f t="shared" si="4"/>
        <v>77426.97075067766</v>
      </c>
      <c r="I136" s="1086">
        <f t="shared" si="4"/>
        <v>9867.788047153295</v>
      </c>
      <c r="J136" s="1086">
        <f t="shared" si="4"/>
        <v>38270.77397260274</v>
      </c>
      <c r="K136" s="1086">
        <f t="shared" si="4"/>
        <v>215340</v>
      </c>
      <c r="L136" s="1086">
        <f t="shared" si="4"/>
        <v>72611</v>
      </c>
      <c r="M136" s="90">
        <f t="shared" si="4"/>
        <v>96994.10515463918</v>
      </c>
      <c r="N136" s="90">
        <f t="shared" si="4"/>
        <v>337616.6766878263</v>
      </c>
      <c r="P136" s="3"/>
      <c r="Q136" s="3"/>
      <c r="R136" s="3"/>
      <c r="S136" s="3"/>
      <c r="T136" s="3"/>
      <c r="U136" s="3"/>
    </row>
    <row r="137" spans="2:21" ht="12.75">
      <c r="B137" s="89" t="s">
        <v>48</v>
      </c>
      <c r="C137" s="1306"/>
      <c r="D137" s="1086">
        <f>C45</f>
        <v>80570</v>
      </c>
      <c r="E137" s="1086">
        <f>D45</f>
        <v>358598</v>
      </c>
      <c r="F137" s="1086">
        <f aca="true" t="shared" si="5" ref="F137:N138">D15</f>
        <v>1443471</v>
      </c>
      <c r="G137" s="1086">
        <f t="shared" si="5"/>
        <v>34907</v>
      </c>
      <c r="H137" s="1086">
        <f t="shared" si="5"/>
        <v>58571.872552577224</v>
      </c>
      <c r="I137" s="1086">
        <f t="shared" si="5"/>
        <v>39727.49450796316</v>
      </c>
      <c r="J137" s="1086">
        <f t="shared" si="5"/>
        <v>36746.54794520548</v>
      </c>
      <c r="K137" s="1086">
        <f t="shared" si="5"/>
        <v>669365</v>
      </c>
      <c r="L137" s="1086">
        <f t="shared" si="5"/>
        <v>150801</v>
      </c>
      <c r="M137" s="90">
        <f t="shared" si="5"/>
        <v>376177.94867956504</v>
      </c>
      <c r="N137" s="90">
        <f t="shared" si="5"/>
        <v>551387.8059688923</v>
      </c>
      <c r="P137" s="3"/>
      <c r="Q137" s="3"/>
      <c r="R137" s="3"/>
      <c r="S137" s="3"/>
      <c r="T137" s="3"/>
      <c r="U137" s="3"/>
    </row>
    <row r="138" spans="2:21" ht="15">
      <c r="B138" s="89" t="s">
        <v>49</v>
      </c>
      <c r="C138" s="1306"/>
      <c r="D138" s="1086">
        <f>C46</f>
        <v>12120</v>
      </c>
      <c r="E138" s="1086">
        <f>D46</f>
        <v>169890</v>
      </c>
      <c r="F138" s="1086">
        <f t="shared" si="5"/>
        <v>625574</v>
      </c>
      <c r="G138" s="1086">
        <f t="shared" si="5"/>
        <v>181228</v>
      </c>
      <c r="H138" s="1086">
        <f t="shared" si="5"/>
        <v>18583.956095116257</v>
      </c>
      <c r="I138" s="1086">
        <f t="shared" si="5"/>
        <v>14725.932336110338</v>
      </c>
      <c r="J138" s="1086">
        <f t="shared" si="5"/>
        <v>45321.16438356164</v>
      </c>
      <c r="K138" s="1086">
        <f t="shared" si="5"/>
        <v>270053</v>
      </c>
      <c r="L138" s="1086">
        <f t="shared" si="5"/>
        <v>131322</v>
      </c>
      <c r="M138" s="90">
        <f t="shared" si="5"/>
        <v>121824.85160288095</v>
      </c>
      <c r="N138" s="90">
        <f t="shared" si="5"/>
        <v>95119.26930175963</v>
      </c>
      <c r="P138" s="3"/>
      <c r="Q138" s="3"/>
      <c r="R138" s="3"/>
      <c r="S138" s="3"/>
      <c r="T138" s="3"/>
      <c r="U138" s="3"/>
    </row>
    <row r="139" spans="2:21" ht="15">
      <c r="B139" s="89" t="s">
        <v>52</v>
      </c>
      <c r="C139" s="1306"/>
      <c r="D139" s="1086">
        <f>C49</f>
        <v>40669</v>
      </c>
      <c r="E139" s="1086">
        <f>D49</f>
        <v>285837</v>
      </c>
      <c r="F139" s="1086">
        <f aca="true" t="shared" si="6" ref="F139:N139">D19</f>
        <v>1614094</v>
      </c>
      <c r="G139" s="1086">
        <f t="shared" si="6"/>
        <v>12015</v>
      </c>
      <c r="H139" s="1086">
        <f t="shared" si="6"/>
        <v>9245.912355763136</v>
      </c>
      <c r="I139" s="1086">
        <f t="shared" si="6"/>
        <v>26919.990550398994</v>
      </c>
      <c r="J139" s="1086">
        <f t="shared" si="6"/>
        <v>49451.83561643836</v>
      </c>
      <c r="K139" s="1086">
        <f t="shared" si="6"/>
        <v>100532</v>
      </c>
      <c r="L139" s="1086">
        <f t="shared" si="6"/>
        <v>67302</v>
      </c>
      <c r="M139" s="90">
        <f t="shared" si="6"/>
        <v>1115565.1405451207</v>
      </c>
      <c r="N139" s="90">
        <f t="shared" si="6"/>
        <v>266607.93286965793</v>
      </c>
      <c r="P139" s="3"/>
      <c r="Q139" s="3"/>
      <c r="R139" s="3"/>
      <c r="S139" s="3"/>
      <c r="T139" s="3"/>
      <c r="U139" s="3"/>
    </row>
    <row r="140" spans="2:21" ht="15">
      <c r="B140" s="89" t="s">
        <v>59</v>
      </c>
      <c r="C140" s="1306"/>
      <c r="D140" s="1086">
        <f>C56</f>
        <v>29614</v>
      </c>
      <c r="E140" s="1086">
        <f>D56</f>
        <v>89928</v>
      </c>
      <c r="F140" s="1086">
        <f aca="true" t="shared" si="7" ref="F140:N140">D26</f>
        <v>691923</v>
      </c>
      <c r="G140" s="1086">
        <f t="shared" si="7"/>
        <v>6345</v>
      </c>
      <c r="H140" s="1086">
        <f t="shared" si="7"/>
        <v>9107.869899540408</v>
      </c>
      <c r="I140" s="1086">
        <f t="shared" si="7"/>
        <v>8494.05231804396</v>
      </c>
      <c r="J140" s="1086">
        <f t="shared" si="7"/>
        <v>15409.684931506848</v>
      </c>
      <c r="K140" s="1086">
        <f t="shared" si="7"/>
        <v>130777.5</v>
      </c>
      <c r="L140" s="1086">
        <f t="shared" si="7"/>
        <v>43880</v>
      </c>
      <c r="M140" s="90">
        <f t="shared" si="7"/>
        <v>43807.81994068634</v>
      </c>
      <c r="N140" s="90">
        <f t="shared" si="7"/>
        <v>23324.698538732977</v>
      </c>
      <c r="P140" s="3"/>
      <c r="Q140" s="3"/>
      <c r="R140" s="3"/>
      <c r="S140" s="3"/>
      <c r="T140" s="3"/>
      <c r="U140" s="3"/>
    </row>
    <row r="141" spans="2:14" ht="15">
      <c r="B141" s="89" t="s">
        <v>61</v>
      </c>
      <c r="C141" s="1306"/>
      <c r="D141" s="1086">
        <f>C58</f>
        <v>95949</v>
      </c>
      <c r="E141" s="1086">
        <f>D58</f>
        <v>637311</v>
      </c>
      <c r="F141" s="1086">
        <f aca="true" t="shared" si="8" ref="F141:N141">D28</f>
        <v>2852165</v>
      </c>
      <c r="G141" s="1086">
        <f t="shared" si="8"/>
        <v>0</v>
      </c>
      <c r="H141" s="1086">
        <f t="shared" si="8"/>
        <v>8117.6214525417145</v>
      </c>
      <c r="I141" s="1086">
        <f t="shared" si="8"/>
        <v>53525.787022586934</v>
      </c>
      <c r="J141" s="1086">
        <f t="shared" si="8"/>
        <v>34451.50684931507</v>
      </c>
      <c r="K141" s="1086">
        <f t="shared" si="8"/>
        <v>2035280</v>
      </c>
      <c r="L141" s="1086">
        <f t="shared" si="8"/>
        <v>369690</v>
      </c>
      <c r="M141" s="90">
        <f t="shared" si="8"/>
        <v>531964.6251941817</v>
      </c>
      <c r="N141" s="90">
        <f t="shared" si="8"/>
        <v>29250.74029962912</v>
      </c>
    </row>
    <row r="142" spans="2:14" ht="15">
      <c r="B142" s="91" t="s">
        <v>34</v>
      </c>
      <c r="C142" s="1307"/>
      <c r="D142" s="1087">
        <f>SUM(D135:D141)</f>
        <v>305594</v>
      </c>
      <c r="E142" s="1087">
        <f aca="true" t="shared" si="9" ref="E142:N142">SUM(E135:E141)</f>
        <v>2097524</v>
      </c>
      <c r="F142" s="1087">
        <f t="shared" si="9"/>
        <v>8355461</v>
      </c>
      <c r="G142" s="1087">
        <f t="shared" si="9"/>
        <v>513710</v>
      </c>
      <c r="H142" s="1087">
        <f t="shared" si="9"/>
        <v>218910.48366074706</v>
      </c>
      <c r="I142" s="1087">
        <f t="shared" si="9"/>
        <v>227935.64823321387</v>
      </c>
      <c r="J142" s="1087">
        <f t="shared" si="9"/>
        <v>268980.5136986301</v>
      </c>
      <c r="K142" s="1087">
        <f t="shared" si="9"/>
        <v>3431547.5</v>
      </c>
      <c r="L142" s="1087">
        <f t="shared" si="9"/>
        <v>835606</v>
      </c>
      <c r="M142" s="92">
        <f t="shared" si="9"/>
        <v>3110808.340742833</v>
      </c>
      <c r="N142" s="92">
        <f t="shared" si="9"/>
        <v>1835872.313115122</v>
      </c>
    </row>
    <row r="143" spans="2:14" ht="15" customHeight="1">
      <c r="B143" s="93" t="s">
        <v>43</v>
      </c>
      <c r="C143" s="1302" t="s">
        <v>122</v>
      </c>
      <c r="D143" s="1088">
        <f>C39</f>
        <v>79623</v>
      </c>
      <c r="E143" s="1088">
        <f>D39</f>
        <v>168232</v>
      </c>
      <c r="F143" s="1088">
        <f aca="true" t="shared" si="10" ref="F143:N143">D9</f>
        <v>23047</v>
      </c>
      <c r="G143" s="1088">
        <f t="shared" si="10"/>
        <v>13975</v>
      </c>
      <c r="H143" s="1088">
        <f t="shared" si="10"/>
        <v>25615.077959647682</v>
      </c>
      <c r="I143" s="1088">
        <f t="shared" si="10"/>
        <v>9408.722519228751</v>
      </c>
      <c r="J143" s="1088">
        <f t="shared" si="10"/>
        <v>25340.95890410959</v>
      </c>
      <c r="K143" s="1088">
        <f t="shared" si="10"/>
        <v>0</v>
      </c>
      <c r="L143" s="1088">
        <f t="shared" si="10"/>
        <v>0</v>
      </c>
      <c r="M143" s="94">
        <f t="shared" si="10"/>
        <v>477853.9274961164</v>
      </c>
      <c r="N143" s="94">
        <f t="shared" si="10"/>
        <v>94608.64578825832</v>
      </c>
    </row>
    <row r="144" spans="2:14" ht="15" customHeight="1">
      <c r="B144" s="93" t="s">
        <v>45</v>
      </c>
      <c r="C144" s="1303"/>
      <c r="D144" s="1088">
        <f aca="true" t="shared" si="11" ref="D144:E146">C42</f>
        <v>75737</v>
      </c>
      <c r="E144" s="1088">
        <f t="shared" si="11"/>
        <v>137007</v>
      </c>
      <c r="F144" s="1088">
        <f aca="true" t="shared" si="12" ref="F144:N146">D12</f>
        <v>188221</v>
      </c>
      <c r="G144" s="1088">
        <f t="shared" si="12"/>
        <v>16611</v>
      </c>
      <c r="H144" s="1088">
        <f t="shared" si="12"/>
        <v>7099.007884987785</v>
      </c>
      <c r="I144" s="1088">
        <f t="shared" si="12"/>
        <v>16670.757714447962</v>
      </c>
      <c r="J144" s="1088">
        <f t="shared" si="12"/>
        <v>30815.342465753423</v>
      </c>
      <c r="K144" s="1088">
        <f t="shared" si="12"/>
        <v>430134</v>
      </c>
      <c r="L144" s="1088">
        <f t="shared" si="12"/>
        <v>88209</v>
      </c>
      <c r="M144" s="94">
        <f t="shared" si="12"/>
        <v>5369420.47806807</v>
      </c>
      <c r="N144" s="94">
        <f t="shared" si="12"/>
        <v>133709.42833887367</v>
      </c>
    </row>
    <row r="145" spans="2:14" ht="15">
      <c r="B145" s="93" t="s">
        <v>46</v>
      </c>
      <c r="C145" s="1303"/>
      <c r="D145" s="1088">
        <f t="shared" si="11"/>
        <v>33695</v>
      </c>
      <c r="E145" s="1088">
        <f t="shared" si="11"/>
        <v>419731</v>
      </c>
      <c r="F145" s="1088">
        <f t="shared" si="12"/>
        <v>617461</v>
      </c>
      <c r="G145" s="1088">
        <f t="shared" si="12"/>
        <v>192115</v>
      </c>
      <c r="H145" s="1088">
        <f t="shared" si="12"/>
        <v>31550.383273089355</v>
      </c>
      <c r="I145" s="1088">
        <f t="shared" si="12"/>
        <v>34774.37916881522</v>
      </c>
      <c r="J145" s="1088">
        <f t="shared" si="12"/>
        <v>34075.808219178085</v>
      </c>
      <c r="K145" s="1088">
        <f t="shared" si="12"/>
        <v>309833</v>
      </c>
      <c r="L145" s="1088">
        <f t="shared" si="12"/>
        <v>79754</v>
      </c>
      <c r="M145" s="94">
        <f t="shared" si="12"/>
        <v>208090.19790989973</v>
      </c>
      <c r="N145" s="94">
        <f t="shared" si="12"/>
        <v>185053.87502441744</v>
      </c>
    </row>
    <row r="146" spans="2:14" ht="15">
      <c r="B146" s="93" t="s">
        <v>47</v>
      </c>
      <c r="C146" s="1303"/>
      <c r="D146" s="1088">
        <f t="shared" si="11"/>
        <v>164222</v>
      </c>
      <c r="E146" s="1088">
        <f t="shared" si="11"/>
        <v>491618</v>
      </c>
      <c r="F146" s="1088">
        <f t="shared" si="12"/>
        <v>480072</v>
      </c>
      <c r="G146" s="1088">
        <f t="shared" si="12"/>
        <v>107350</v>
      </c>
      <c r="H146" s="1088">
        <f t="shared" si="12"/>
        <v>37064.52473953978</v>
      </c>
      <c r="I146" s="1088">
        <f t="shared" si="12"/>
        <v>72778.5231095049</v>
      </c>
      <c r="J146" s="1088">
        <f t="shared" si="12"/>
        <v>82921.80821917808</v>
      </c>
      <c r="K146" s="1088">
        <f t="shared" si="12"/>
        <v>1190</v>
      </c>
      <c r="L146" s="1088">
        <f t="shared" si="12"/>
        <v>0</v>
      </c>
      <c r="M146" s="94">
        <f t="shared" si="12"/>
        <v>272593.3336534388</v>
      </c>
      <c r="N146" s="94">
        <f t="shared" si="12"/>
        <v>781635.3814956513</v>
      </c>
    </row>
    <row r="147" spans="2:14" ht="15">
      <c r="B147" s="93" t="s">
        <v>50</v>
      </c>
      <c r="C147" s="1303"/>
      <c r="D147" s="1088">
        <f>C47</f>
        <v>34916</v>
      </c>
      <c r="E147" s="1088">
        <f>D47</f>
        <v>257950</v>
      </c>
      <c r="F147" s="1088">
        <f aca="true" t="shared" si="13" ref="F147:N148">D17</f>
        <v>529832</v>
      </c>
      <c r="G147" s="1088">
        <f t="shared" si="13"/>
        <v>102260</v>
      </c>
      <c r="H147" s="1088">
        <f t="shared" si="13"/>
        <v>37791.71395585299</v>
      </c>
      <c r="I147" s="1088">
        <f t="shared" si="13"/>
        <v>33805.80778811709</v>
      </c>
      <c r="J147" s="1088">
        <f t="shared" si="13"/>
        <v>116715.4109589041</v>
      </c>
      <c r="K147" s="1088">
        <f t="shared" si="13"/>
        <v>6760</v>
      </c>
      <c r="L147" s="1088">
        <f t="shared" si="13"/>
        <v>3512</v>
      </c>
      <c r="M147" s="94">
        <f t="shared" si="13"/>
        <v>551588.6621663606</v>
      </c>
      <c r="N147" s="94">
        <f t="shared" si="13"/>
        <v>181428.88932943594</v>
      </c>
    </row>
    <row r="148" spans="2:14" ht="15">
      <c r="B148" s="93" t="s">
        <v>51</v>
      </c>
      <c r="C148" s="1303"/>
      <c r="D148" s="1088">
        <f>C48</f>
        <v>12537</v>
      </c>
      <c r="E148" s="1088">
        <f>D48</f>
        <v>37993</v>
      </c>
      <c r="F148" s="1088">
        <f t="shared" si="13"/>
        <v>26695</v>
      </c>
      <c r="G148" s="1088">
        <f t="shared" si="13"/>
        <v>75880</v>
      </c>
      <c r="H148" s="1088">
        <f t="shared" si="13"/>
        <v>2472.9665991333277</v>
      </c>
      <c r="I148" s="1088">
        <f t="shared" si="13"/>
        <v>2931.0347569631176</v>
      </c>
      <c r="J148" s="1088">
        <f t="shared" si="13"/>
        <v>29563.109589041094</v>
      </c>
      <c r="K148" s="1088">
        <f t="shared" si="13"/>
        <v>0</v>
      </c>
      <c r="L148" s="1088">
        <f t="shared" si="13"/>
        <v>0</v>
      </c>
      <c r="M148" s="94">
        <f t="shared" si="13"/>
        <v>5469861.0885750605</v>
      </c>
      <c r="N148" s="94">
        <f t="shared" si="13"/>
        <v>17050.795118779817</v>
      </c>
    </row>
    <row r="149" spans="2:14" ht="15">
      <c r="B149" s="93" t="s">
        <v>53</v>
      </c>
      <c r="C149" s="1303"/>
      <c r="D149" s="1088">
        <f aca="true" t="shared" si="14" ref="D149:E151">C50</f>
        <v>48823</v>
      </c>
      <c r="E149" s="1088">
        <f t="shared" si="14"/>
        <v>186634</v>
      </c>
      <c r="F149" s="1088">
        <f aca="true" t="shared" si="15" ref="F149:N151">D20</f>
        <v>360982</v>
      </c>
      <c r="G149" s="1088">
        <f t="shared" si="15"/>
        <v>82812</v>
      </c>
      <c r="H149" s="1088">
        <f t="shared" si="15"/>
        <v>38999.2212157126</v>
      </c>
      <c r="I149" s="1088">
        <f t="shared" si="15"/>
        <v>49061.71287720886</v>
      </c>
      <c r="J149" s="1088">
        <f t="shared" si="15"/>
        <v>32927.42465753425</v>
      </c>
      <c r="K149" s="1088">
        <f t="shared" si="15"/>
        <v>7710</v>
      </c>
      <c r="L149" s="1088">
        <f t="shared" si="15"/>
        <v>0</v>
      </c>
      <c r="M149" s="94">
        <f t="shared" si="15"/>
        <v>7817201.793277786</v>
      </c>
      <c r="N149" s="94">
        <f t="shared" si="15"/>
        <v>205594.69180104398</v>
      </c>
    </row>
    <row r="150" spans="2:14" ht="15">
      <c r="B150" s="93" t="s">
        <v>54</v>
      </c>
      <c r="C150" s="1303"/>
      <c r="D150" s="1088">
        <f t="shared" si="14"/>
        <v>17837</v>
      </c>
      <c r="E150" s="1088">
        <f t="shared" si="14"/>
        <v>95765</v>
      </c>
      <c r="F150" s="1088">
        <f t="shared" si="15"/>
        <v>68325</v>
      </c>
      <c r="G150" s="1088">
        <f t="shared" si="15"/>
        <v>106151</v>
      </c>
      <c r="H150" s="1088">
        <f t="shared" si="15"/>
        <v>6265.0782971701165</v>
      </c>
      <c r="I150" s="1088">
        <f t="shared" si="15"/>
        <v>10753.666558466482</v>
      </c>
      <c r="J150" s="1088">
        <f t="shared" si="15"/>
        <v>21123.12328767123</v>
      </c>
      <c r="K150" s="1088">
        <f t="shared" si="15"/>
        <v>0</v>
      </c>
      <c r="L150" s="1088">
        <f t="shared" si="15"/>
        <v>0</v>
      </c>
      <c r="M150" s="94">
        <f t="shared" si="15"/>
        <v>779569.6990255613</v>
      </c>
      <c r="N150" s="94">
        <f t="shared" si="15"/>
        <v>74438.61972759101</v>
      </c>
    </row>
    <row r="151" spans="2:14" ht="15">
      <c r="B151" s="93" t="s">
        <v>55</v>
      </c>
      <c r="C151" s="1303"/>
      <c r="D151" s="1088">
        <f t="shared" si="14"/>
        <v>71092</v>
      </c>
      <c r="E151" s="1088">
        <f t="shared" si="14"/>
        <v>179759</v>
      </c>
      <c r="F151" s="1088">
        <f t="shared" si="15"/>
        <v>315962</v>
      </c>
      <c r="G151" s="1088">
        <f t="shared" si="15"/>
        <v>169383</v>
      </c>
      <c r="H151" s="1088">
        <f t="shared" si="15"/>
        <v>11378.6201932818</v>
      </c>
      <c r="I151" s="1088">
        <f t="shared" si="15"/>
        <v>21480.8984773847</v>
      </c>
      <c r="J151" s="1088">
        <f t="shared" si="15"/>
        <v>133738.2123287671</v>
      </c>
      <c r="K151" s="1088">
        <f t="shared" si="15"/>
        <v>46747.5</v>
      </c>
      <c r="L151" s="1088">
        <f t="shared" si="15"/>
        <v>21780</v>
      </c>
      <c r="M151" s="94">
        <f t="shared" si="15"/>
        <v>21569446.13500918</v>
      </c>
      <c r="N151" s="94">
        <f t="shared" si="15"/>
        <v>249020.70765146136</v>
      </c>
    </row>
    <row r="152" spans="2:14" ht="15">
      <c r="B152" s="93" t="s">
        <v>58</v>
      </c>
      <c r="C152" s="1303"/>
      <c r="D152" s="1088">
        <f>C55</f>
        <v>5671</v>
      </c>
      <c r="E152" s="1088">
        <f>D55</f>
        <v>18050</v>
      </c>
      <c r="F152" s="1088">
        <f aca="true" t="shared" si="16" ref="F152:N152">D25</f>
        <v>49291</v>
      </c>
      <c r="G152" s="1088">
        <f t="shared" si="16"/>
        <v>8333</v>
      </c>
      <c r="H152" s="1088">
        <f t="shared" si="16"/>
        <v>583.3496439396521</v>
      </c>
      <c r="I152" s="1088">
        <f t="shared" si="16"/>
        <v>5301.483979346992</v>
      </c>
      <c r="J152" s="1088">
        <f t="shared" si="16"/>
        <v>3804.4520547945203</v>
      </c>
      <c r="K152" s="1088">
        <f t="shared" si="16"/>
        <v>144970</v>
      </c>
      <c r="L152" s="1088">
        <f t="shared" si="16"/>
        <v>38655</v>
      </c>
      <c r="M152" s="94">
        <f t="shared" si="16"/>
        <v>18799.518655557127</v>
      </c>
      <c r="N152" s="94">
        <f t="shared" si="16"/>
        <v>43872.177979607106</v>
      </c>
    </row>
    <row r="153" spans="2:14" ht="15">
      <c r="B153" s="93" t="s">
        <v>62</v>
      </c>
      <c r="C153" s="1303"/>
      <c r="D153" s="1088">
        <f>C59</f>
        <v>19732</v>
      </c>
      <c r="E153" s="1088">
        <f>D59</f>
        <v>192111</v>
      </c>
      <c r="F153" s="1088">
        <f aca="true" t="shared" si="17" ref="F153:N154">D29</f>
        <v>9269</v>
      </c>
      <c r="G153" s="1088">
        <f t="shared" si="17"/>
        <v>0</v>
      </c>
      <c r="H153" s="1088">
        <f t="shared" si="17"/>
        <v>22871.138932304264</v>
      </c>
      <c r="I153" s="1088">
        <f t="shared" si="17"/>
        <v>13088.068736036012</v>
      </c>
      <c r="J153" s="1088">
        <f t="shared" si="17"/>
        <v>48987.82191780822</v>
      </c>
      <c r="K153" s="1088">
        <f t="shared" si="17"/>
        <v>0</v>
      </c>
      <c r="L153" s="1088">
        <f t="shared" si="17"/>
        <v>0</v>
      </c>
      <c r="M153" s="94">
        <f t="shared" si="17"/>
        <v>1420741.1959327778</v>
      </c>
      <c r="N153" s="94">
        <f t="shared" si="17"/>
        <v>100453.49626050149</v>
      </c>
    </row>
    <row r="154" spans="2:14" ht="15">
      <c r="B154" s="93" t="s">
        <v>63</v>
      </c>
      <c r="C154" s="1303"/>
      <c r="D154" s="1088">
        <f>C60</f>
        <v>5692</v>
      </c>
      <c r="E154" s="1088">
        <f>D60</f>
        <v>13192</v>
      </c>
      <c r="F154" s="1088">
        <f t="shared" si="17"/>
        <v>36005</v>
      </c>
      <c r="G154" s="1088">
        <f t="shared" si="17"/>
        <v>17080</v>
      </c>
      <c r="H154" s="1088">
        <f t="shared" si="17"/>
        <v>615.3548408338808</v>
      </c>
      <c r="I154" s="1088">
        <f t="shared" si="17"/>
        <v>1257.4098721983403</v>
      </c>
      <c r="J154" s="1088">
        <f t="shared" si="17"/>
        <v>10422.90410958904</v>
      </c>
      <c r="K154" s="1088">
        <f t="shared" si="17"/>
        <v>77057</v>
      </c>
      <c r="L154" s="1088">
        <f t="shared" si="17"/>
        <v>28405</v>
      </c>
      <c r="M154" s="94">
        <f t="shared" si="17"/>
        <v>371092.11427764443</v>
      </c>
      <c r="N154" s="94">
        <f t="shared" si="17"/>
        <v>31546.975618331937</v>
      </c>
    </row>
    <row r="155" spans="2:14" ht="15">
      <c r="B155" s="91" t="s">
        <v>34</v>
      </c>
      <c r="C155" s="1304"/>
      <c r="D155" s="1087">
        <f>SUM(D143:D154)</f>
        <v>569577</v>
      </c>
      <c r="E155" s="1087">
        <f aca="true" t="shared" si="18" ref="E155:N155">SUM(E143:E154)</f>
        <v>2198042</v>
      </c>
      <c r="F155" s="1087">
        <f t="shared" si="18"/>
        <v>2705162</v>
      </c>
      <c r="G155" s="1087">
        <f t="shared" si="18"/>
        <v>891950</v>
      </c>
      <c r="H155" s="1087">
        <f t="shared" si="18"/>
        <v>222306.4375354932</v>
      </c>
      <c r="I155" s="1087">
        <f t="shared" si="18"/>
        <v>271312.4655577184</v>
      </c>
      <c r="J155" s="1087">
        <f t="shared" si="18"/>
        <v>570436.3767123288</v>
      </c>
      <c r="K155" s="1087">
        <f t="shared" si="18"/>
        <v>1024401.5</v>
      </c>
      <c r="L155" s="1087">
        <f t="shared" si="18"/>
        <v>260315</v>
      </c>
      <c r="M155" s="92">
        <f t="shared" si="18"/>
        <v>44326258.14404745</v>
      </c>
      <c r="N155" s="92">
        <f t="shared" si="18"/>
        <v>2098413.684133954</v>
      </c>
    </row>
    <row r="156" spans="2:14" ht="15" customHeight="1">
      <c r="B156" s="95" t="s">
        <v>56</v>
      </c>
      <c r="C156" s="1298" t="s">
        <v>123</v>
      </c>
      <c r="D156" s="1089">
        <f>C53</f>
        <v>1228</v>
      </c>
      <c r="E156" s="1089">
        <f>D53</f>
        <v>44962</v>
      </c>
      <c r="F156" s="1089">
        <f aca="true" t="shared" si="19" ref="F156:N157">D23</f>
        <v>11303</v>
      </c>
      <c r="G156" s="1089">
        <f t="shared" si="19"/>
        <v>291</v>
      </c>
      <c r="H156" s="1089">
        <f t="shared" si="19"/>
        <v>4092.9268734528137</v>
      </c>
      <c r="I156" s="1089">
        <f t="shared" si="19"/>
        <v>616.811331477455</v>
      </c>
      <c r="J156" s="1089">
        <f t="shared" si="19"/>
        <v>27452.465753424658</v>
      </c>
      <c r="K156" s="1089">
        <f t="shared" si="19"/>
        <v>0</v>
      </c>
      <c r="L156" s="1089">
        <f t="shared" si="19"/>
        <v>0</v>
      </c>
      <c r="M156" s="96">
        <f t="shared" si="19"/>
        <v>1310062.2161276657</v>
      </c>
      <c r="N156" s="96">
        <f t="shared" si="19"/>
        <v>4586.337957123972</v>
      </c>
    </row>
    <row r="157" spans="2:14" ht="15">
      <c r="B157" s="95" t="s">
        <v>57</v>
      </c>
      <c r="C157" s="1299"/>
      <c r="D157" s="1089">
        <f>C54</f>
        <v>1354</v>
      </c>
      <c r="E157" s="1089">
        <f>D54</f>
        <v>55526</v>
      </c>
      <c r="F157" s="1089">
        <f t="shared" si="19"/>
        <v>8287</v>
      </c>
      <c r="G157" s="1089">
        <f t="shared" si="19"/>
        <v>220</v>
      </c>
      <c r="H157" s="1089">
        <f t="shared" si="19"/>
        <v>501.0085943960365</v>
      </c>
      <c r="I157" s="1089">
        <f t="shared" si="19"/>
        <v>21.48672611728187</v>
      </c>
      <c r="J157" s="1089">
        <f t="shared" si="19"/>
        <v>3082.3972602739727</v>
      </c>
      <c r="K157" s="1089">
        <f t="shared" si="19"/>
        <v>0</v>
      </c>
      <c r="L157" s="1089">
        <f t="shared" si="19"/>
        <v>0</v>
      </c>
      <c r="M157" s="96">
        <f t="shared" si="19"/>
        <v>152361.4652167773</v>
      </c>
      <c r="N157" s="96">
        <f t="shared" si="19"/>
        <v>630.6928939312764</v>
      </c>
    </row>
    <row r="158" spans="2:14" ht="15">
      <c r="B158" s="95" t="s">
        <v>60</v>
      </c>
      <c r="C158" s="1299"/>
      <c r="D158" s="1089">
        <f>C57</f>
        <v>24072</v>
      </c>
      <c r="E158" s="1089">
        <f>D57</f>
        <v>234109</v>
      </c>
      <c r="F158" s="1089">
        <f aca="true" t="shared" si="20" ref="F158:N158">D27</f>
        <v>274350</v>
      </c>
      <c r="G158" s="1089">
        <f t="shared" si="20"/>
        <v>330221</v>
      </c>
      <c r="H158" s="1089">
        <f t="shared" si="20"/>
        <v>27998.4746045075</v>
      </c>
      <c r="I158" s="1089">
        <f t="shared" si="20"/>
        <v>38789.43598582466</v>
      </c>
      <c r="J158" s="1089">
        <f t="shared" si="20"/>
        <v>48323.01369863014</v>
      </c>
      <c r="K158" s="1089">
        <f t="shared" si="20"/>
        <v>100</v>
      </c>
      <c r="L158" s="1089">
        <f t="shared" si="20"/>
        <v>0</v>
      </c>
      <c r="M158" s="96">
        <f t="shared" si="20"/>
        <v>1834492.190651038</v>
      </c>
      <c r="N158" s="96">
        <f t="shared" si="20"/>
        <v>27902.261390289776</v>
      </c>
    </row>
    <row r="159" spans="2:14" ht="15">
      <c r="B159" s="95" t="s">
        <v>64</v>
      </c>
      <c r="C159" s="1299"/>
      <c r="D159" s="1089">
        <f>C61</f>
        <v>362</v>
      </c>
      <c r="E159" s="1089">
        <f>D61</f>
        <v>21838</v>
      </c>
      <c r="F159" s="1089">
        <f aca="true" t="shared" si="21" ref="F159:N160">D31</f>
        <v>7515</v>
      </c>
      <c r="G159" s="1089">
        <f t="shared" si="21"/>
        <v>65320</v>
      </c>
      <c r="H159" s="1089">
        <f t="shared" si="21"/>
        <v>2165.5475110619936</v>
      </c>
      <c r="I159" s="1089">
        <f t="shared" si="21"/>
        <v>2202.886171174328</v>
      </c>
      <c r="J159" s="1089">
        <f t="shared" si="21"/>
        <v>8633.013698630137</v>
      </c>
      <c r="K159" s="1089">
        <f t="shared" si="21"/>
        <v>0</v>
      </c>
      <c r="L159" s="1089">
        <f t="shared" si="21"/>
        <v>0</v>
      </c>
      <c r="M159" s="96">
        <f t="shared" si="21"/>
        <v>49233.10662335828</v>
      </c>
      <c r="N159" s="96">
        <f t="shared" si="21"/>
        <v>634.0757386681131</v>
      </c>
    </row>
    <row r="160" spans="2:14" ht="15">
      <c r="B160" s="95" t="s">
        <v>65</v>
      </c>
      <c r="C160" s="1299"/>
      <c r="D160" s="1089">
        <f>C62</f>
        <v>3631</v>
      </c>
      <c r="E160" s="1089">
        <f>D62</f>
        <v>42074</v>
      </c>
      <c r="F160" s="1089">
        <f t="shared" si="21"/>
        <v>9561</v>
      </c>
      <c r="G160" s="1089">
        <f t="shared" si="21"/>
        <v>170</v>
      </c>
      <c r="H160" s="1089">
        <f t="shared" si="21"/>
        <v>2266.8403124664146</v>
      </c>
      <c r="I160" s="1089">
        <f t="shared" si="21"/>
        <v>187.47243029484102</v>
      </c>
      <c r="J160" s="1089">
        <f t="shared" si="21"/>
        <v>13644.246575342466</v>
      </c>
      <c r="K160" s="1089">
        <f t="shared" si="21"/>
        <v>0</v>
      </c>
      <c r="L160" s="1089">
        <f t="shared" si="21"/>
        <v>0</v>
      </c>
      <c r="M160" s="96">
        <f t="shared" si="21"/>
        <v>1879685.376726451</v>
      </c>
      <c r="N160" s="96">
        <f t="shared" si="21"/>
        <v>3183.4862064921267</v>
      </c>
    </row>
    <row r="161" spans="2:14" ht="15">
      <c r="B161" s="91" t="s">
        <v>34</v>
      </c>
      <c r="C161" s="1300"/>
      <c r="D161" s="1087">
        <f>SUM(D156:D160)</f>
        <v>30647</v>
      </c>
      <c r="E161" s="1087">
        <f aca="true" t="shared" si="22" ref="E161:N161">SUM(E156:E160)</f>
        <v>398509</v>
      </c>
      <c r="F161" s="1087">
        <f t="shared" si="22"/>
        <v>311016</v>
      </c>
      <c r="G161" s="1087">
        <f t="shared" si="22"/>
        <v>396222</v>
      </c>
      <c r="H161" s="1087">
        <f t="shared" si="22"/>
        <v>37024.79789588475</v>
      </c>
      <c r="I161" s="1087">
        <f t="shared" si="22"/>
        <v>41818.092644888566</v>
      </c>
      <c r="J161" s="1087">
        <f t="shared" si="22"/>
        <v>101135.13698630137</v>
      </c>
      <c r="K161" s="1087">
        <f t="shared" si="22"/>
        <v>100</v>
      </c>
      <c r="L161" s="1087">
        <f t="shared" si="22"/>
        <v>0</v>
      </c>
      <c r="M161" s="92">
        <f t="shared" si="22"/>
        <v>5225834.35534529</v>
      </c>
      <c r="N161" s="92">
        <f t="shared" si="22"/>
        <v>36936.85418650526</v>
      </c>
    </row>
    <row r="162" spans="2:14" ht="15">
      <c r="B162" s="91" t="s">
        <v>124</v>
      </c>
      <c r="C162" s="1090"/>
      <c r="D162" s="1087">
        <f>SUM(D142,D155,D161)</f>
        <v>905818</v>
      </c>
      <c r="E162" s="1087">
        <f aca="true" t="shared" si="23" ref="E162:N162">SUM(E142,E155,E161)</f>
        <v>4694075</v>
      </c>
      <c r="F162" s="1087">
        <f t="shared" si="23"/>
        <v>11371639</v>
      </c>
      <c r="G162" s="1087">
        <f t="shared" si="23"/>
        <v>1801882</v>
      </c>
      <c r="H162" s="1087">
        <f t="shared" si="23"/>
        <v>478241.71909212496</v>
      </c>
      <c r="I162" s="1087">
        <f t="shared" si="23"/>
        <v>541066.2064358209</v>
      </c>
      <c r="J162" s="1087">
        <f t="shared" si="23"/>
        <v>940552.0273972602</v>
      </c>
      <c r="K162" s="1087">
        <f t="shared" si="23"/>
        <v>4456049</v>
      </c>
      <c r="L162" s="1087">
        <f t="shared" si="23"/>
        <v>1095921</v>
      </c>
      <c r="M162" s="92">
        <f t="shared" si="23"/>
        <v>52662900.840135574</v>
      </c>
      <c r="N162" s="92">
        <f t="shared" si="23"/>
        <v>3971222.851435581</v>
      </c>
    </row>
    <row r="163" spans="2:14" ht="15">
      <c r="B163" s="1295" t="s">
        <v>1672</v>
      </c>
      <c r="C163" s="1295"/>
      <c r="D163" s="1295"/>
      <c r="E163" s="1295"/>
      <c r="F163" s="1295"/>
      <c r="G163" s="1295"/>
      <c r="H163" s="1295"/>
      <c r="I163" s="1295"/>
      <c r="J163" s="1295"/>
      <c r="K163" s="1295"/>
      <c r="L163" s="1295"/>
      <c r="M163" s="1295"/>
      <c r="N163" s="1295"/>
    </row>
    <row r="165" spans="2:7" ht="15">
      <c r="B165" s="477" t="s">
        <v>125</v>
      </c>
      <c r="C165" s="1091"/>
      <c r="D165" s="1091"/>
      <c r="E165" s="1091"/>
      <c r="F165" s="1091"/>
      <c r="G165" s="1091"/>
    </row>
    <row r="166" spans="2:6" ht="25.5">
      <c r="B166" s="1092" t="s">
        <v>111</v>
      </c>
      <c r="C166" s="1093" t="s">
        <v>121</v>
      </c>
      <c r="D166" s="1093" t="s">
        <v>122</v>
      </c>
      <c r="E166" s="1093" t="s">
        <v>123</v>
      </c>
      <c r="F166" s="1094" t="s">
        <v>124</v>
      </c>
    </row>
    <row r="167" spans="2:6" ht="15">
      <c r="B167" s="56" t="s">
        <v>107</v>
      </c>
      <c r="C167" s="1086">
        <f>D142/D$162</f>
        <v>0.3373679922456829</v>
      </c>
      <c r="D167" s="1088">
        <f>D155/D$162</f>
        <v>0.6287985003609997</v>
      </c>
      <c r="E167" s="1089">
        <f>D161/D$162</f>
        <v>0.03383350739331742</v>
      </c>
      <c r="F167" s="1087">
        <f aca="true" t="shared" si="24" ref="F167:F177">SUM(C167:E167)</f>
        <v>1</v>
      </c>
    </row>
    <row r="168" spans="2:6" ht="15">
      <c r="B168" s="56" t="s">
        <v>375</v>
      </c>
      <c r="C168" s="1086">
        <f>E142/E$162</f>
        <v>0.4468450120630795</v>
      </c>
      <c r="D168" s="1088">
        <f>E155/E$162</f>
        <v>0.4682588156346032</v>
      </c>
      <c r="E168" s="1089">
        <f>E161/E$162</f>
        <v>0.08489617230231729</v>
      </c>
      <c r="F168" s="1087">
        <f t="shared" si="24"/>
        <v>1</v>
      </c>
    </row>
    <row r="169" spans="2:6" ht="15">
      <c r="B169" s="56" t="s">
        <v>40</v>
      </c>
      <c r="C169" s="1086">
        <f>F142/F$162</f>
        <v>0.7347631242954512</v>
      </c>
      <c r="D169" s="1088">
        <f>F155/F$162</f>
        <v>0.2378867285533774</v>
      </c>
      <c r="E169" s="1089">
        <f>F161/F$162</f>
        <v>0.027350147151171435</v>
      </c>
      <c r="F169" s="1087">
        <f t="shared" si="24"/>
        <v>1</v>
      </c>
    </row>
    <row r="170" spans="2:6" ht="15">
      <c r="B170" s="56" t="s">
        <v>39</v>
      </c>
      <c r="C170" s="1086">
        <f>G142/G$162</f>
        <v>0.28509636036100033</v>
      </c>
      <c r="D170" s="1088">
        <f>G155/G$162</f>
        <v>0.49501021709523707</v>
      </c>
      <c r="E170" s="1089">
        <f>G161/G$162</f>
        <v>0.21989342254376257</v>
      </c>
      <c r="F170" s="1087">
        <f t="shared" si="24"/>
        <v>1</v>
      </c>
    </row>
    <row r="171" spans="2:6" ht="15">
      <c r="B171" s="56" t="s">
        <v>66</v>
      </c>
      <c r="C171" s="1086">
        <f>H142/H$162</f>
        <v>0.4577402491700599</v>
      </c>
      <c r="D171" s="1088">
        <f>H155/H$162</f>
        <v>0.4648411643331972</v>
      </c>
      <c r="E171" s="1089">
        <f>H161/H$162</f>
        <v>0.07741858649674302</v>
      </c>
      <c r="F171" s="1087">
        <f t="shared" si="24"/>
        <v>1</v>
      </c>
    </row>
    <row r="172" spans="2:6" ht="15">
      <c r="B172" s="56" t="s">
        <v>109</v>
      </c>
      <c r="C172" s="1086">
        <f>I142/I$162</f>
        <v>0.42127127054321156</v>
      </c>
      <c r="D172" s="1088">
        <f>I155/I$162</f>
        <v>0.5014404195466982</v>
      </c>
      <c r="E172" s="1089">
        <f>I161/I$162</f>
        <v>0.0772883099100902</v>
      </c>
      <c r="F172" s="1087">
        <f t="shared" si="24"/>
        <v>0.9999999999999999</v>
      </c>
    </row>
    <row r="173" spans="2:6" ht="15">
      <c r="B173" s="56" t="s">
        <v>41</v>
      </c>
      <c r="C173" s="1086">
        <f>J142/J$162</f>
        <v>0.28598153622927763</v>
      </c>
      <c r="D173" s="1088">
        <f>J155/J$162</f>
        <v>0.6064910394067908</v>
      </c>
      <c r="E173" s="1089">
        <f>J161/J$162</f>
        <v>0.10752742436393155</v>
      </c>
      <c r="F173" s="1087">
        <f t="shared" si="24"/>
        <v>1</v>
      </c>
    </row>
    <row r="174" spans="2:6" ht="15">
      <c r="B174" s="56" t="s">
        <v>37</v>
      </c>
      <c r="C174" s="1086">
        <f>K142/K$162</f>
        <v>0.7700874698639983</v>
      </c>
      <c r="D174" s="1088">
        <f>K155/K$162</f>
        <v>0.22989008873107095</v>
      </c>
      <c r="E174" s="1089">
        <f>K161/K$162</f>
        <v>2.2441404930690843E-05</v>
      </c>
      <c r="F174" s="1087">
        <f t="shared" si="24"/>
        <v>1</v>
      </c>
    </row>
    <row r="175" spans="2:6" ht="15">
      <c r="B175" s="56" t="s">
        <v>38</v>
      </c>
      <c r="C175" s="1086">
        <f>L142/L$162</f>
        <v>0.7624691925786622</v>
      </c>
      <c r="D175" s="1088">
        <f>L155/L$162</f>
        <v>0.23753080742133786</v>
      </c>
      <c r="E175" s="1089">
        <f>L161/L$162</f>
        <v>0</v>
      </c>
      <c r="F175" s="1087">
        <f t="shared" si="24"/>
        <v>1</v>
      </c>
    </row>
    <row r="176" spans="2:6" ht="15">
      <c r="B176" s="56" t="s">
        <v>36</v>
      </c>
      <c r="C176" s="1086">
        <f>M142/M$162</f>
        <v>0.0590702048522936</v>
      </c>
      <c r="D176" s="1088">
        <f>M155/M$162</f>
        <v>0.8416979968233238</v>
      </c>
      <c r="E176" s="1089">
        <f>M161/M$162</f>
        <v>0.09923179832438256</v>
      </c>
      <c r="F176" s="1087">
        <f t="shared" si="24"/>
        <v>1</v>
      </c>
    </row>
    <row r="177" spans="2:6" ht="15">
      <c r="B177" s="56" t="s">
        <v>68</v>
      </c>
      <c r="C177" s="1086">
        <f>N142/N$162</f>
        <v>0.46229395372547816</v>
      </c>
      <c r="D177" s="1088">
        <f>N155/N$162</f>
        <v>0.5284049177384709</v>
      </c>
      <c r="E177" s="1089">
        <f>N161/N$162</f>
        <v>0.009301128536050989</v>
      </c>
      <c r="F177" s="1087">
        <f t="shared" si="24"/>
        <v>1</v>
      </c>
    </row>
  </sheetData>
  <mergeCells count="15">
    <mergeCell ref="B163:N163"/>
    <mergeCell ref="B131:E131"/>
    <mergeCell ref="B5:L5"/>
    <mergeCell ref="C156:C161"/>
    <mergeCell ref="B133:N133"/>
    <mergeCell ref="C143:C155"/>
    <mergeCell ref="C135:C142"/>
    <mergeCell ref="B66:C66"/>
    <mergeCell ref="B68:B73"/>
    <mergeCell ref="D67:D68"/>
    <mergeCell ref="D70:D71"/>
    <mergeCell ref="B6:B7"/>
    <mergeCell ref="C6:L6"/>
    <mergeCell ref="C36:D36"/>
    <mergeCell ref="B36:B3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Busso</dc:creator>
  <cp:keywords/>
  <dc:description/>
  <cp:lastModifiedBy>Nelly Berenice Cabrera Qquellhua</cp:lastModifiedBy>
  <dcterms:created xsi:type="dcterms:W3CDTF">2020-07-05T16:02:48Z</dcterms:created>
  <dcterms:modified xsi:type="dcterms:W3CDTF">2023-01-27T17:40:17Z</dcterms:modified>
  <cp:category/>
  <cp:version/>
  <cp:contentType/>
  <cp:contentStatus/>
</cp:coreProperties>
</file>